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kael.souami\Desktop\"/>
    </mc:Choice>
  </mc:AlternateContent>
  <bookViews>
    <workbookView xWindow="0" yWindow="0" windowWidth="20730" windowHeight="9510" tabRatio="1000" firstSheet="8" activeTab="27"/>
  </bookViews>
  <sheets>
    <sheet name="mapping_one_neo" sheetId="8" r:id="rId1"/>
    <sheet name="mapping_one" sheetId="9" state="hidden" r:id="rId2"/>
    <sheet name="2015 July actuals" sheetId="5" state="hidden" r:id="rId3"/>
    <sheet name="Actuals juin" sheetId="2" state="hidden" r:id="rId4"/>
    <sheet name="Actuals INP" sheetId="3" state="hidden" r:id="rId5"/>
    <sheet name="p&amp;l" sheetId="7" state="hidden" r:id="rId6"/>
    <sheet name="ForecastSept" sheetId="12" state="hidden" r:id="rId7"/>
    <sheet name="Janv" sheetId="50" r:id="rId8"/>
    <sheet name="p&amp;l Janv" sheetId="51" r:id="rId9"/>
    <sheet name="Fev" sheetId="52" r:id="rId10"/>
    <sheet name="p&amp;l Fev" sheetId="53" r:id="rId11"/>
    <sheet name="Mar" sheetId="54" r:id="rId12"/>
    <sheet name="p&amp;l Mar" sheetId="55" r:id="rId13"/>
    <sheet name="Avril" sheetId="56" r:id="rId14"/>
    <sheet name="p&amp;l Avril" sheetId="57" r:id="rId15"/>
    <sheet name="Mai" sheetId="58" r:id="rId16"/>
    <sheet name="p&amp;l Mai" sheetId="59" r:id="rId17"/>
    <sheet name="Juin" sheetId="61" r:id="rId18"/>
    <sheet name="p&amp;l Juin" sheetId="62" r:id="rId19"/>
    <sheet name="Juillet" sheetId="63" r:id="rId20"/>
    <sheet name="p&amp;l Juillet" sheetId="64" r:id="rId21"/>
    <sheet name="Août" sheetId="65" r:id="rId22"/>
    <sheet name="p&amp;l Août" sheetId="66" r:id="rId23"/>
    <sheet name="Sept" sheetId="69" r:id="rId24"/>
    <sheet name="p&amp;l Sept" sheetId="70" r:id="rId25"/>
    <sheet name="Octobre" sheetId="68" r:id="rId26"/>
    <sheet name="p&amp;l Octobre" sheetId="67" r:id="rId27"/>
    <sheet name="Novembre" sheetId="71" r:id="rId28"/>
    <sheet name="p&amp;l Novembre" sheetId="72" r:id="rId29"/>
  </sheets>
  <externalReferences>
    <externalReference r:id="rId30"/>
    <externalReference r:id="rId31"/>
    <externalReference r:id="rId32"/>
    <externalReference r:id="rId33"/>
  </externalReferences>
  <definedNames>
    <definedName name="_xlnm._FilterDatabase" localSheetId="2" hidden="1">'2015 July actuals'!$D$21:$AU$270</definedName>
    <definedName name="_xlnm._FilterDatabase" localSheetId="21" hidden="1">Août!$A$1:$A$219</definedName>
    <definedName name="_xlnm._FilterDatabase" localSheetId="13" hidden="1">Avril!$A$1:$A$215</definedName>
    <definedName name="_xlnm._FilterDatabase" localSheetId="9" hidden="1">Fev!$A$1:$A$215</definedName>
    <definedName name="_xlnm._FilterDatabase" localSheetId="19" hidden="1">Juillet!$A$1:$A$219</definedName>
    <definedName name="_xlnm._FilterDatabase" localSheetId="17" hidden="1">Juin!$A$1:$A$219</definedName>
    <definedName name="_xlnm._FilterDatabase" localSheetId="15" hidden="1">Mai!$A$1:$A$219</definedName>
    <definedName name="_xlnm._FilterDatabase" localSheetId="0" hidden="1">mapping_one_neo!$B$1:$C$191</definedName>
    <definedName name="_xlnm._FilterDatabase" localSheetId="11" hidden="1">Mar!$A$1:$A$215</definedName>
    <definedName name="_xlnm._FilterDatabase" localSheetId="27" hidden="1">Novembre!$A$1:$AH$221</definedName>
    <definedName name="_xlnm._FilterDatabase" localSheetId="25" hidden="1">Octobre!$A$1:$AE$219</definedName>
    <definedName name="_xlnm._FilterDatabase" localSheetId="23" hidden="1">Sept!$A$1:$A$219</definedName>
    <definedName name="_xlnm.Print_Titles" localSheetId="2">'2015 July actuals'!$21:$21</definedName>
    <definedName name="month" localSheetId="2">'2015 July actuals'!$E$3</definedName>
    <definedName name="month" localSheetId="21">#REF!</definedName>
    <definedName name="month" localSheetId="13">#REF!</definedName>
    <definedName name="month" localSheetId="9">#REF!</definedName>
    <definedName name="month" localSheetId="6">#REF!</definedName>
    <definedName name="month" localSheetId="7">#REF!</definedName>
    <definedName name="month" localSheetId="19">#REF!</definedName>
    <definedName name="month" localSheetId="17">#REF!</definedName>
    <definedName name="month" localSheetId="15">#REF!</definedName>
    <definedName name="month" localSheetId="11">#REF!</definedName>
    <definedName name="month" localSheetId="27">#REF!</definedName>
    <definedName name="month" localSheetId="25">#REF!</definedName>
    <definedName name="month" localSheetId="22">#REF!</definedName>
    <definedName name="month" localSheetId="14">#REF!</definedName>
    <definedName name="month" localSheetId="10">#REF!</definedName>
    <definedName name="month" localSheetId="8">#REF!</definedName>
    <definedName name="month" localSheetId="20">#REF!</definedName>
    <definedName name="month" localSheetId="18">#REF!</definedName>
    <definedName name="month" localSheetId="16">#REF!</definedName>
    <definedName name="month" localSheetId="12">#REF!</definedName>
    <definedName name="month" localSheetId="28">#REF!</definedName>
    <definedName name="month" localSheetId="26">#REF!</definedName>
    <definedName name="month" localSheetId="24">#REF!</definedName>
    <definedName name="month" localSheetId="23">#REF!</definedName>
    <definedName name="month">#REF!</definedName>
    <definedName name="month_previous" localSheetId="2">'2015 July actuals'!$E$4</definedName>
    <definedName name="month_previous">'[1]2015 Mars flash'!$E$4</definedName>
    <definedName name="pack_budg" localSheetId="2">'2015 July actuals'!$B$12</definedName>
    <definedName name="pack_budg" localSheetId="21">#REF!</definedName>
    <definedName name="pack_budg" localSheetId="13">#REF!</definedName>
    <definedName name="pack_budg" localSheetId="9">#REF!</definedName>
    <definedName name="pack_budg" localSheetId="6">#REF!</definedName>
    <definedName name="pack_budg" localSheetId="7">#REF!</definedName>
    <definedName name="pack_budg" localSheetId="19">#REF!</definedName>
    <definedName name="pack_budg" localSheetId="17">#REF!</definedName>
    <definedName name="pack_budg" localSheetId="15">#REF!</definedName>
    <definedName name="pack_budg" localSheetId="11">#REF!</definedName>
    <definedName name="pack_budg" localSheetId="27">#REF!</definedName>
    <definedName name="pack_budg" localSheetId="25">#REF!</definedName>
    <definedName name="pack_budg" localSheetId="22">#REF!</definedName>
    <definedName name="pack_budg" localSheetId="14">#REF!</definedName>
    <definedName name="pack_budg" localSheetId="10">#REF!</definedName>
    <definedName name="pack_budg" localSheetId="8">#REF!</definedName>
    <definedName name="pack_budg" localSheetId="20">#REF!</definedName>
    <definedName name="pack_budg" localSheetId="18">#REF!</definedName>
    <definedName name="pack_budg" localSheetId="16">#REF!</definedName>
    <definedName name="pack_budg" localSheetId="12">#REF!</definedName>
    <definedName name="pack_budg" localSheetId="28">#REF!</definedName>
    <definedName name="pack_budg" localSheetId="26">#REF!</definedName>
    <definedName name="pack_budg" localSheetId="24">#REF!</definedName>
    <definedName name="pack_budg" localSheetId="23">#REF!</definedName>
    <definedName name="pack_budg">#REF!</definedName>
    <definedName name="sept" localSheetId="21">#REF!</definedName>
    <definedName name="sept" localSheetId="13">#REF!</definedName>
    <definedName name="sept" localSheetId="9">#REF!</definedName>
    <definedName name="sept" localSheetId="7">#REF!</definedName>
    <definedName name="sept" localSheetId="19">#REF!</definedName>
    <definedName name="sept" localSheetId="17">#REF!</definedName>
    <definedName name="sept" localSheetId="15">#REF!</definedName>
    <definedName name="sept" localSheetId="11">#REF!</definedName>
    <definedName name="sept" localSheetId="27">#REF!</definedName>
    <definedName name="sept" localSheetId="25">#REF!</definedName>
    <definedName name="sept" localSheetId="22">#REF!</definedName>
    <definedName name="sept" localSheetId="14">#REF!</definedName>
    <definedName name="sept" localSheetId="10">#REF!</definedName>
    <definedName name="sept" localSheetId="8">#REF!</definedName>
    <definedName name="sept" localSheetId="20">#REF!</definedName>
    <definedName name="sept" localSheetId="18">#REF!</definedName>
    <definedName name="sept" localSheetId="16">#REF!</definedName>
    <definedName name="sept" localSheetId="12">#REF!</definedName>
    <definedName name="sept" localSheetId="28">#REF!</definedName>
    <definedName name="sept" localSheetId="26">#REF!</definedName>
    <definedName name="sept" localSheetId="24">#REF!</definedName>
    <definedName name="sept" localSheetId="23">#REF!</definedName>
    <definedName name="sept">#REF!</definedName>
    <definedName name="ù" localSheetId="21">#REF!</definedName>
    <definedName name="ù" localSheetId="13">#REF!</definedName>
    <definedName name="ù" localSheetId="9">#REF!</definedName>
    <definedName name="ù" localSheetId="7">#REF!</definedName>
    <definedName name="ù" localSheetId="19">#REF!</definedName>
    <definedName name="ù" localSheetId="17">#REF!</definedName>
    <definedName name="ù" localSheetId="15">#REF!</definedName>
    <definedName name="ù" localSheetId="11">#REF!</definedName>
    <definedName name="ù" localSheetId="27">#REF!</definedName>
    <definedName name="ù" localSheetId="25">#REF!</definedName>
    <definedName name="ù" localSheetId="22">#REF!</definedName>
    <definedName name="ù" localSheetId="14">#REF!</definedName>
    <definedName name="ù" localSheetId="10">#REF!</definedName>
    <definedName name="ù" localSheetId="8">#REF!</definedName>
    <definedName name="ù" localSheetId="20">#REF!</definedName>
    <definedName name="ù" localSheetId="18">#REF!</definedName>
    <definedName name="ù" localSheetId="16">#REF!</definedName>
    <definedName name="ù" localSheetId="12">#REF!</definedName>
    <definedName name="ù" localSheetId="28">#REF!</definedName>
    <definedName name="ù" localSheetId="26">#REF!</definedName>
    <definedName name="ù" localSheetId="24">#REF!</definedName>
    <definedName name="ù" localSheetId="23">#REF!</definedName>
    <definedName name="ù">#REF!</definedName>
    <definedName name="year_act" localSheetId="2">'2015 July actuals'!$E$2</definedName>
    <definedName name="year_act" localSheetId="21">#REF!</definedName>
    <definedName name="year_act" localSheetId="13">#REF!</definedName>
    <definedName name="year_act" localSheetId="9">#REF!</definedName>
    <definedName name="year_act" localSheetId="6">#REF!</definedName>
    <definedName name="year_act" localSheetId="7">#REF!</definedName>
    <definedName name="year_act" localSheetId="19">#REF!</definedName>
    <definedName name="year_act" localSheetId="17">#REF!</definedName>
    <definedName name="year_act" localSheetId="15">#REF!</definedName>
    <definedName name="year_act" localSheetId="11">#REF!</definedName>
    <definedName name="year_act" localSheetId="27">#REF!</definedName>
    <definedName name="year_act" localSheetId="25">#REF!</definedName>
    <definedName name="year_act" localSheetId="22">#REF!</definedName>
    <definedName name="year_act" localSheetId="14">#REF!</definedName>
    <definedName name="year_act" localSheetId="10">#REF!</definedName>
    <definedName name="year_act" localSheetId="8">#REF!</definedName>
    <definedName name="year_act" localSheetId="20">#REF!</definedName>
    <definedName name="year_act" localSheetId="18">#REF!</definedName>
    <definedName name="year_act" localSheetId="16">#REF!</definedName>
    <definedName name="year_act" localSheetId="12">#REF!</definedName>
    <definedName name="year_act" localSheetId="28">#REF!</definedName>
    <definedName name="year_act" localSheetId="26">#REF!</definedName>
    <definedName name="year_act" localSheetId="24">#REF!</definedName>
    <definedName name="year_act" localSheetId="23">#REF!</definedName>
    <definedName name="year_act">#REF!</definedName>
    <definedName name="_xlnm.Print_Area" localSheetId="2">'2015 July actuals'!$E$21:$AU$271</definedName>
    <definedName name="_xlnm.Print_Area" localSheetId="22">'p&amp;l Août'!$A$1:$F$66</definedName>
    <definedName name="_xlnm.Print_Area" localSheetId="14">'p&amp;l Avril'!$A$1:$F$65</definedName>
    <definedName name="_xlnm.Print_Area" localSheetId="10">'p&amp;l Fev'!$A$1:$F$65</definedName>
    <definedName name="_xlnm.Print_Area" localSheetId="8">'p&amp;l Janv'!$A$1:$F$65</definedName>
    <definedName name="_xlnm.Print_Area" localSheetId="20">'p&amp;l Juillet'!$A$1:$F$65</definedName>
    <definedName name="_xlnm.Print_Area" localSheetId="18">'p&amp;l Juin'!$A$1:$F$65</definedName>
    <definedName name="_xlnm.Print_Area" localSheetId="16">'p&amp;l Mai'!$A$1:$F$65</definedName>
    <definedName name="_xlnm.Print_Area" localSheetId="12">'p&amp;l Mar'!$A$1:$F$65</definedName>
    <definedName name="_xlnm.Print_Area" localSheetId="28">'p&amp;l Novembre'!$A$1:$F$66</definedName>
    <definedName name="_xlnm.Print_Area" localSheetId="26">'p&amp;l Octobre'!$A$1:$F$66</definedName>
    <definedName name="_xlnm.Print_Area" localSheetId="24">'p&amp;l Sept'!$A$1:$F$65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6" i="71" l="1"/>
  <c r="AD6" i="71"/>
  <c r="AC6" i="71"/>
  <c r="AB6" i="71"/>
  <c r="AA6" i="71"/>
  <c r="Z6" i="71"/>
  <c r="Y6" i="71"/>
  <c r="X6" i="71"/>
  <c r="W6" i="71"/>
  <c r="V6" i="71"/>
  <c r="U6" i="71"/>
  <c r="U152" i="71" l="1"/>
  <c r="U7" i="71"/>
  <c r="U9" i="71"/>
  <c r="U10" i="71"/>
  <c r="U18" i="71"/>
  <c r="U19" i="71"/>
  <c r="U20" i="71"/>
  <c r="U22" i="71"/>
  <c r="U24" i="71"/>
  <c r="U25" i="71"/>
  <c r="U26" i="71"/>
  <c r="U27" i="71"/>
  <c r="U29" i="71"/>
  <c r="U30" i="71"/>
  <c r="U31" i="71"/>
  <c r="U37" i="71"/>
  <c r="U38" i="71"/>
  <c r="U39" i="71"/>
  <c r="U40" i="71"/>
  <c r="U41" i="71"/>
  <c r="U42" i="71"/>
  <c r="U44" i="71"/>
  <c r="U45" i="71"/>
  <c r="U46" i="71"/>
  <c r="U48" i="71"/>
  <c r="U49" i="71"/>
  <c r="U50" i="71"/>
  <c r="U52" i="71"/>
  <c r="U53" i="71"/>
  <c r="U54" i="71"/>
  <c r="U55" i="71"/>
  <c r="U59" i="71"/>
  <c r="U60" i="71"/>
  <c r="U63" i="71"/>
  <c r="U65" i="71"/>
  <c r="U66" i="71"/>
  <c r="U68" i="71"/>
  <c r="U69" i="71"/>
  <c r="U70" i="71"/>
  <c r="U71" i="71"/>
  <c r="U72" i="71"/>
  <c r="U73" i="71"/>
  <c r="U74" i="71"/>
  <c r="U76" i="71"/>
  <c r="U77" i="71"/>
  <c r="U78" i="71"/>
  <c r="U79" i="71"/>
  <c r="U80" i="71"/>
  <c r="U81" i="71"/>
  <c r="U82" i="71"/>
  <c r="U84" i="71"/>
  <c r="U85" i="71"/>
  <c r="U86" i="71"/>
  <c r="U89" i="71"/>
  <c r="U90" i="71"/>
  <c r="U91" i="71"/>
  <c r="U92" i="71"/>
  <c r="U93" i="71"/>
  <c r="U95" i="71"/>
  <c r="U96" i="71"/>
  <c r="U97" i="71"/>
  <c r="U98" i="71"/>
  <c r="U100" i="71"/>
  <c r="U101" i="71"/>
  <c r="U102" i="71"/>
  <c r="U103" i="71"/>
  <c r="U105" i="71"/>
  <c r="U106" i="71"/>
  <c r="U107" i="71"/>
  <c r="U109" i="71"/>
  <c r="U111" i="71"/>
  <c r="U112" i="71"/>
  <c r="U113" i="71"/>
  <c r="U114" i="71"/>
  <c r="U115" i="71"/>
  <c r="U117" i="71"/>
  <c r="U118" i="71"/>
  <c r="U119" i="71"/>
  <c r="U120" i="71"/>
  <c r="U122" i="71"/>
  <c r="U124" i="71"/>
  <c r="U125" i="71"/>
  <c r="U127" i="71"/>
  <c r="U128" i="71"/>
  <c r="U129" i="71"/>
  <c r="U130" i="71"/>
  <c r="U132" i="71"/>
  <c r="U134" i="71"/>
  <c r="U137" i="71"/>
  <c r="U138" i="71"/>
  <c r="U140" i="71"/>
  <c r="U141" i="71"/>
  <c r="U142" i="71"/>
  <c r="U143" i="71"/>
  <c r="U144" i="71"/>
  <c r="U145" i="71"/>
  <c r="U148" i="71"/>
  <c r="U150" i="71"/>
  <c r="U151" i="71"/>
  <c r="U153" i="71"/>
  <c r="U154" i="71"/>
  <c r="U155" i="71"/>
  <c r="U156" i="71"/>
  <c r="U160" i="71"/>
  <c r="U161" i="71"/>
  <c r="U162" i="71"/>
  <c r="U163" i="71"/>
  <c r="U164" i="71"/>
  <c r="U165" i="71"/>
  <c r="U166" i="71"/>
  <c r="U167" i="71"/>
  <c r="U168" i="71"/>
  <c r="U171" i="71"/>
  <c r="U172" i="71"/>
  <c r="U173" i="71"/>
  <c r="U174" i="71"/>
  <c r="U177" i="71"/>
  <c r="U180" i="71"/>
  <c r="U181" i="71"/>
  <c r="U182" i="71"/>
  <c r="U183" i="71"/>
  <c r="U184" i="71"/>
  <c r="U185" i="71"/>
  <c r="U186" i="71"/>
  <c r="U187" i="71"/>
  <c r="U188" i="71"/>
  <c r="U189" i="71"/>
  <c r="U190" i="71"/>
  <c r="AB191" i="71" l="1"/>
  <c r="AC191" i="71"/>
  <c r="V191" i="71"/>
  <c r="D4" i="72" l="1"/>
  <c r="A211" i="71"/>
  <c r="A210" i="71"/>
  <c r="A209" i="71"/>
  <c r="A208" i="71"/>
  <c r="A207" i="71"/>
  <c r="A206" i="71"/>
  <c r="A205" i="71"/>
  <c r="A204" i="71"/>
  <c r="A203" i="71"/>
  <c r="A202" i="71"/>
  <c r="A201" i="71"/>
  <c r="A200" i="71"/>
  <c r="A198" i="71"/>
  <c r="A197" i="71"/>
  <c r="A196" i="71"/>
  <c r="A194" i="71"/>
  <c r="A193" i="71"/>
  <c r="A192" i="71"/>
  <c r="A191" i="71"/>
  <c r="A190" i="71"/>
  <c r="A189" i="71"/>
  <c r="A188" i="71"/>
  <c r="A187" i="71"/>
  <c r="A186" i="71"/>
  <c r="A185" i="71"/>
  <c r="A184" i="71"/>
  <c r="A183" i="71"/>
  <c r="A182" i="71"/>
  <c r="A181" i="71"/>
  <c r="A180" i="71"/>
  <c r="A179" i="71"/>
  <c r="A178" i="71"/>
  <c r="A177" i="71"/>
  <c r="A176" i="71"/>
  <c r="A175" i="71"/>
  <c r="A174" i="71"/>
  <c r="A173" i="71"/>
  <c r="A172" i="71"/>
  <c r="A171" i="71"/>
  <c r="A170" i="71"/>
  <c r="A169" i="71"/>
  <c r="A168" i="71"/>
  <c r="A167" i="71"/>
  <c r="A166" i="71"/>
  <c r="A165" i="71"/>
  <c r="A164" i="71"/>
  <c r="A163" i="71"/>
  <c r="A162" i="71"/>
  <c r="A161" i="71"/>
  <c r="A160" i="71"/>
  <c r="A159" i="71"/>
  <c r="A158" i="71"/>
  <c r="A157" i="71"/>
  <c r="A156" i="71"/>
  <c r="A155" i="71"/>
  <c r="A154" i="71"/>
  <c r="A153" i="71"/>
  <c r="A152" i="71"/>
  <c r="A151" i="71"/>
  <c r="A150" i="71"/>
  <c r="A149" i="71"/>
  <c r="A148" i="71"/>
  <c r="A147" i="71"/>
  <c r="A146" i="71"/>
  <c r="A145" i="71"/>
  <c r="A144" i="71"/>
  <c r="A143" i="71"/>
  <c r="A142" i="71"/>
  <c r="A141" i="71"/>
  <c r="A140" i="71"/>
  <c r="A139" i="71"/>
  <c r="A138" i="71"/>
  <c r="A137" i="71"/>
  <c r="A136" i="71"/>
  <c r="A135" i="71"/>
  <c r="A134" i="71"/>
  <c r="A133" i="71"/>
  <c r="A132" i="71"/>
  <c r="A131" i="71"/>
  <c r="A130" i="71"/>
  <c r="A129" i="71"/>
  <c r="A128" i="71"/>
  <c r="A127" i="71"/>
  <c r="A126" i="71"/>
  <c r="A125" i="71"/>
  <c r="A124" i="71"/>
  <c r="A123" i="71"/>
  <c r="A122" i="71"/>
  <c r="A121" i="71"/>
  <c r="A120" i="71"/>
  <c r="A119" i="71"/>
  <c r="A118" i="71"/>
  <c r="A117" i="71"/>
  <c r="A116" i="71"/>
  <c r="A115" i="71"/>
  <c r="A114" i="71"/>
  <c r="A113" i="71"/>
  <c r="A112" i="71"/>
  <c r="A111" i="71"/>
  <c r="A110" i="71"/>
  <c r="A109" i="71"/>
  <c r="A108" i="71"/>
  <c r="A107" i="71"/>
  <c r="A106" i="71"/>
  <c r="A105" i="71"/>
  <c r="A104" i="71"/>
  <c r="A103" i="71"/>
  <c r="A102" i="71"/>
  <c r="A101" i="71"/>
  <c r="A100" i="71"/>
  <c r="A99" i="71"/>
  <c r="A98" i="71"/>
  <c r="A97" i="71"/>
  <c r="A96" i="71"/>
  <c r="A95" i="71"/>
  <c r="A94" i="71"/>
  <c r="A93" i="71"/>
  <c r="A92" i="71"/>
  <c r="A91" i="71"/>
  <c r="A90" i="71"/>
  <c r="A89" i="71"/>
  <c r="A88" i="71"/>
  <c r="A87" i="71"/>
  <c r="A86" i="71"/>
  <c r="A85" i="71"/>
  <c r="A84" i="71"/>
  <c r="A83" i="71"/>
  <c r="A82" i="71"/>
  <c r="A81" i="71"/>
  <c r="A80" i="71"/>
  <c r="A79" i="71"/>
  <c r="A78" i="71"/>
  <c r="A76" i="71"/>
  <c r="A75" i="71"/>
  <c r="A74" i="71"/>
  <c r="A73" i="71"/>
  <c r="A72" i="71"/>
  <c r="A71" i="71"/>
  <c r="A70" i="71"/>
  <c r="A69" i="71"/>
  <c r="A68" i="71"/>
  <c r="A67" i="71"/>
  <c r="A66" i="71"/>
  <c r="A65" i="71"/>
  <c r="A64" i="71"/>
  <c r="A63" i="71"/>
  <c r="A62" i="71"/>
  <c r="A61" i="71"/>
  <c r="A60" i="71"/>
  <c r="A59" i="71"/>
  <c r="A58" i="71"/>
  <c r="A56" i="71"/>
  <c r="A55" i="71"/>
  <c r="A54" i="71"/>
  <c r="A53" i="71"/>
  <c r="A52" i="71"/>
  <c r="A51" i="71"/>
  <c r="A50" i="71"/>
  <c r="A49" i="71"/>
  <c r="A48" i="71"/>
  <c r="A47" i="71"/>
  <c r="A46" i="71"/>
  <c r="A45" i="71"/>
  <c r="A44" i="71"/>
  <c r="A43" i="71"/>
  <c r="A42" i="71"/>
  <c r="A41" i="71"/>
  <c r="A40" i="71"/>
  <c r="A39" i="71"/>
  <c r="A38" i="71"/>
  <c r="A37" i="71"/>
  <c r="A36" i="71"/>
  <c r="A35" i="71"/>
  <c r="A34" i="71"/>
  <c r="A33" i="71"/>
  <c r="A32" i="71"/>
  <c r="A31" i="71"/>
  <c r="A30" i="71"/>
  <c r="A29" i="71"/>
  <c r="A28" i="71"/>
  <c r="A27" i="71"/>
  <c r="A26" i="71"/>
  <c r="A25" i="71"/>
  <c r="A24" i="71"/>
  <c r="A23" i="71"/>
  <c r="A22" i="71"/>
  <c r="A21" i="71"/>
  <c r="A20" i="71"/>
  <c r="A19" i="71"/>
  <c r="A18" i="71"/>
  <c r="A17" i="71"/>
  <c r="A16" i="71"/>
  <c r="A15" i="71"/>
  <c r="A14" i="71"/>
  <c r="A13" i="71"/>
  <c r="A12" i="71"/>
  <c r="A11" i="71"/>
  <c r="A10" i="71"/>
  <c r="A9" i="71"/>
  <c r="A8" i="71"/>
  <c r="A7" i="71"/>
  <c r="A6" i="71"/>
  <c r="G48" i="72"/>
  <c r="G59" i="72"/>
  <c r="G62" i="72"/>
  <c r="H41" i="72"/>
  <c r="G34" i="72"/>
  <c r="H20" i="72"/>
  <c r="G47" i="72"/>
  <c r="H68" i="72"/>
  <c r="G37" i="72"/>
  <c r="H43" i="72"/>
  <c r="H44" i="72"/>
  <c r="H21" i="72"/>
  <c r="G36" i="72"/>
  <c r="G44" i="72"/>
  <c r="G52" i="72"/>
  <c r="G49" i="72"/>
  <c r="H55" i="72"/>
  <c r="G55" i="72"/>
  <c r="H32" i="72"/>
  <c r="H52" i="72"/>
  <c r="H65" i="72"/>
  <c r="G41" i="72"/>
  <c r="G26" i="72"/>
  <c r="H36" i="72"/>
  <c r="H19" i="72"/>
  <c r="H50" i="72"/>
  <c r="G65" i="72"/>
  <c r="G35" i="72"/>
  <c r="G22" i="72"/>
  <c r="G38" i="72"/>
  <c r="G50" i="72"/>
  <c r="G28" i="72"/>
  <c r="H24" i="72"/>
  <c r="G53" i="72"/>
  <c r="H53" i="72"/>
  <c r="H37" i="72"/>
  <c r="H42" i="72"/>
  <c r="H27" i="72"/>
  <c r="H62" i="72"/>
  <c r="G61" i="72"/>
  <c r="H26" i="72"/>
  <c r="E13" i="72"/>
  <c r="G27" i="72"/>
  <c r="H59" i="72"/>
  <c r="H51" i="72"/>
  <c r="G16" i="72"/>
  <c r="G21" i="72"/>
  <c r="H58" i="72"/>
  <c r="G68" i="72"/>
  <c r="H38" i="72"/>
  <c r="G31" i="72"/>
  <c r="H60" i="72"/>
  <c r="H54" i="72"/>
  <c r="H23" i="72"/>
  <c r="H34" i="72"/>
  <c r="G25" i="72"/>
  <c r="H25" i="72"/>
  <c r="G60" i="72"/>
  <c r="G20" i="72"/>
  <c r="G54" i="72"/>
  <c r="H48" i="72"/>
  <c r="H22" i="72"/>
  <c r="G24" i="72"/>
  <c r="H28" i="72"/>
  <c r="H49" i="72"/>
  <c r="H61" i="72"/>
  <c r="G32" i="72"/>
  <c r="H35" i="72"/>
  <c r="G23" i="72"/>
  <c r="G42" i="72"/>
  <c r="G43" i="72"/>
  <c r="G19" i="72"/>
  <c r="G58" i="72"/>
  <c r="H31" i="72"/>
  <c r="H16" i="72"/>
  <c r="G51" i="72"/>
  <c r="H47" i="72"/>
  <c r="AD191" i="71" l="1"/>
  <c r="AA191" i="71"/>
  <c r="E65" i="72"/>
  <c r="E66" i="72" s="1"/>
  <c r="E16" i="72"/>
  <c r="E20" i="72"/>
  <c r="E22" i="72"/>
  <c r="E24" i="72"/>
  <c r="E26" i="72"/>
  <c r="E28" i="72"/>
  <c r="E31" i="72"/>
  <c r="E34" i="72"/>
  <c r="E36" i="72"/>
  <c r="F37" i="72"/>
  <c r="F41" i="72"/>
  <c r="F43" i="72"/>
  <c r="F47" i="72"/>
  <c r="F49" i="72"/>
  <c r="F51" i="72"/>
  <c r="F53" i="72"/>
  <c r="F55" i="72"/>
  <c r="F59" i="72"/>
  <c r="F61" i="72"/>
  <c r="F65" i="72"/>
  <c r="F16" i="72"/>
  <c r="F20" i="72"/>
  <c r="F22" i="72"/>
  <c r="F24" i="72"/>
  <c r="F26" i="72"/>
  <c r="F28" i="72"/>
  <c r="F31" i="72"/>
  <c r="F34" i="72"/>
  <c r="F36" i="72"/>
  <c r="E38" i="72"/>
  <c r="E42" i="72"/>
  <c r="E44" i="72"/>
  <c r="E48" i="72"/>
  <c r="E50" i="72"/>
  <c r="E52" i="72"/>
  <c r="E54" i="72"/>
  <c r="E58" i="72"/>
  <c r="E60" i="72"/>
  <c r="E62" i="72"/>
  <c r="E68" i="72"/>
  <c r="E69" i="72" s="1"/>
  <c r="E19" i="72"/>
  <c r="E21" i="72"/>
  <c r="E25" i="72"/>
  <c r="E27" i="72"/>
  <c r="E32" i="72"/>
  <c r="E35" i="72"/>
  <c r="F38" i="72"/>
  <c r="F42" i="72"/>
  <c r="F44" i="72"/>
  <c r="F48" i="72"/>
  <c r="F50" i="72"/>
  <c r="F52" i="72"/>
  <c r="F54" i="72"/>
  <c r="F58" i="72"/>
  <c r="F60" i="72"/>
  <c r="F62" i="72"/>
  <c r="F68" i="72"/>
  <c r="F19" i="72"/>
  <c r="F21" i="72"/>
  <c r="F23" i="72"/>
  <c r="F25" i="72"/>
  <c r="F27" i="72"/>
  <c r="F29" i="72"/>
  <c r="F32" i="72"/>
  <c r="F35" i="72"/>
  <c r="E37" i="72"/>
  <c r="E41" i="72"/>
  <c r="E43" i="72"/>
  <c r="E47" i="72"/>
  <c r="E49" i="72"/>
  <c r="E51" i="72"/>
  <c r="E53" i="72"/>
  <c r="E55" i="72"/>
  <c r="E59" i="72"/>
  <c r="E61" i="72"/>
  <c r="AB100" i="68"/>
  <c r="AB117" i="68"/>
  <c r="AB122" i="68"/>
  <c r="AB37" i="68"/>
  <c r="U191" i="71" l="1"/>
  <c r="Y191" i="71"/>
  <c r="W191" i="71"/>
  <c r="X191" i="71"/>
  <c r="Z191" i="71"/>
  <c r="AE207" i="71"/>
  <c r="E75" i="72" s="1"/>
  <c r="E39" i="72"/>
  <c r="E23" i="72"/>
  <c r="E29" i="72" s="1"/>
  <c r="E33" i="72"/>
  <c r="E63" i="72"/>
  <c r="E56" i="72"/>
  <c r="E45" i="72"/>
  <c r="AE191" i="71"/>
  <c r="AB182" i="68"/>
  <c r="Y181" i="68"/>
  <c r="AB181" i="68" s="1"/>
  <c r="Y180" i="68"/>
  <c r="AB180" i="68" s="1"/>
  <c r="Y179" i="68"/>
  <c r="AB179" i="68" s="1"/>
  <c r="Y178" i="68"/>
  <c r="AB178" i="68" s="1"/>
  <c r="Y177" i="68"/>
  <c r="AB177" i="68" s="1"/>
  <c r="Y176" i="68"/>
  <c r="AB176" i="68" s="1"/>
  <c r="Y175" i="68"/>
  <c r="AB175" i="68" s="1"/>
  <c r="Y174" i="68"/>
  <c r="AB174" i="68" s="1"/>
  <c r="Y156" i="68"/>
  <c r="AB156" i="68" s="1"/>
  <c r="Y155" i="68"/>
  <c r="AB155" i="68" s="1"/>
  <c r="Y154" i="68"/>
  <c r="AB154" i="68" s="1"/>
  <c r="Y153" i="68"/>
  <c r="AB153" i="68" s="1"/>
  <c r="Y152" i="68"/>
  <c r="AB152" i="68" s="1"/>
  <c r="Y151" i="68"/>
  <c r="AB151" i="68" s="1"/>
  <c r="Y150" i="68"/>
  <c r="AB150" i="68" s="1"/>
  <c r="Y149" i="68"/>
  <c r="AB149" i="68" s="1"/>
  <c r="X157" i="68"/>
  <c r="Y157" i="68" s="1"/>
  <c r="AB157" i="68" s="1"/>
  <c r="Y164" i="68"/>
  <c r="Y163" i="68"/>
  <c r="Y162" i="68"/>
  <c r="Y161" i="68"/>
  <c r="Y160" i="68"/>
  <c r="Y145" i="68"/>
  <c r="AB145" i="68" s="1"/>
  <c r="Y111" i="68"/>
  <c r="Y110" i="68"/>
  <c r="Y109" i="68"/>
  <c r="Y99" i="68"/>
  <c r="Y98" i="68"/>
  <c r="Y94" i="68"/>
  <c r="AB94" i="68" s="1"/>
  <c r="Y93" i="68"/>
  <c r="AB93" i="68" s="1"/>
  <c r="Y89" i="68"/>
  <c r="AB89" i="68" s="1"/>
  <c r="Y88" i="68"/>
  <c r="AB88" i="68" s="1"/>
  <c r="Y87" i="68"/>
  <c r="AB87" i="68" s="1"/>
  <c r="Y70" i="68"/>
  <c r="AB70" i="68" s="1"/>
  <c r="Y69" i="68"/>
  <c r="AB69" i="68" s="1"/>
  <c r="Y68" i="68"/>
  <c r="AB68" i="68" s="1"/>
  <c r="Y67" i="68"/>
  <c r="AB67" i="68" s="1"/>
  <c r="Y66" i="68"/>
  <c r="AB66" i="68" s="1"/>
  <c r="Y65" i="68"/>
  <c r="AB65" i="68" s="1"/>
  <c r="Y64" i="68"/>
  <c r="AB64" i="68" s="1"/>
  <c r="Y63" i="68"/>
  <c r="AB63" i="68" s="1"/>
  <c r="Y62" i="68"/>
  <c r="AB62" i="68" s="1"/>
  <c r="Y57" i="68"/>
  <c r="AB57" i="68" s="1"/>
  <c r="Y56" i="68"/>
  <c r="AB56" i="68" s="1"/>
  <c r="Y55" i="68"/>
  <c r="AB55" i="68" s="1"/>
  <c r="Y54" i="68"/>
  <c r="AB54" i="68" s="1"/>
  <c r="Y53" i="68"/>
  <c r="AB53" i="68" s="1"/>
  <c r="Y52" i="68"/>
  <c r="AB52" i="68" s="1"/>
  <c r="AB47" i="68"/>
  <c r="AB46" i="68"/>
  <c r="AB45" i="68"/>
  <c r="AB44" i="68"/>
  <c r="AB43" i="68"/>
  <c r="AB42" i="68"/>
  <c r="AB41" i="68"/>
  <c r="AB40" i="68"/>
  <c r="AB39" i="68"/>
  <c r="AB38" i="68"/>
  <c r="AB36" i="68"/>
  <c r="AB35" i="68"/>
  <c r="AB34" i="68"/>
  <c r="AB33" i="68"/>
  <c r="AB32" i="68"/>
  <c r="AB31" i="68"/>
  <c r="AB30" i="68"/>
  <c r="AB29" i="68"/>
  <c r="AB27" i="68"/>
  <c r="AB26" i="68"/>
  <c r="AB25" i="68"/>
  <c r="AB24" i="68"/>
  <c r="AB23" i="68"/>
  <c r="AB22" i="68"/>
  <c r="AB21" i="68"/>
  <c r="AB20" i="68"/>
  <c r="AB19" i="68"/>
  <c r="AB18" i="68"/>
  <c r="AB17" i="68"/>
  <c r="AB16" i="68"/>
  <c r="AB15" i="68"/>
  <c r="AB14" i="68"/>
  <c r="AB13" i="68"/>
  <c r="AB12" i="68"/>
  <c r="AB11" i="68"/>
  <c r="AB10" i="68"/>
  <c r="AB9" i="68"/>
  <c r="U6" i="68"/>
  <c r="E71" i="72" l="1"/>
  <c r="E74" i="72" s="1"/>
  <c r="E76" i="72" s="1"/>
  <c r="AB158" i="68"/>
  <c r="AB183" i="68"/>
  <c r="A6" i="69"/>
  <c r="A8" i="69"/>
  <c r="A9" i="69"/>
  <c r="A10" i="69"/>
  <c r="A11" i="69"/>
  <c r="A12" i="69"/>
  <c r="A13" i="69"/>
  <c r="A14" i="69"/>
  <c r="A15" i="69"/>
  <c r="A16" i="69"/>
  <c r="A17" i="69"/>
  <c r="A18" i="69"/>
  <c r="A19" i="69"/>
  <c r="A20" i="69"/>
  <c r="A21" i="69"/>
  <c r="A22" i="69"/>
  <c r="A23" i="69"/>
  <c r="A24" i="69"/>
  <c r="A25" i="69"/>
  <c r="A26" i="69"/>
  <c r="A27" i="69"/>
  <c r="A28" i="69"/>
  <c r="A29" i="69"/>
  <c r="A30" i="69"/>
  <c r="A31" i="69"/>
  <c r="A32" i="69"/>
  <c r="A33" i="69"/>
  <c r="A34" i="69"/>
  <c r="A35" i="69"/>
  <c r="A36" i="69"/>
  <c r="A37" i="69"/>
  <c r="A38" i="69"/>
  <c r="A39" i="69"/>
  <c r="A40" i="69"/>
  <c r="A41" i="69"/>
  <c r="A42" i="69"/>
  <c r="A43" i="69"/>
  <c r="A44" i="69"/>
  <c r="A45" i="69"/>
  <c r="A46" i="69"/>
  <c r="A47" i="69"/>
  <c r="A48" i="69"/>
  <c r="A49" i="69"/>
  <c r="A50" i="69"/>
  <c r="A51" i="69"/>
  <c r="A52" i="69"/>
  <c r="A53" i="69"/>
  <c r="A54" i="69"/>
  <c r="A55" i="69"/>
  <c r="A56" i="69"/>
  <c r="A57" i="69"/>
  <c r="A58" i="69"/>
  <c r="A59" i="69"/>
  <c r="A60" i="69"/>
  <c r="A61" i="69"/>
  <c r="A62" i="69"/>
  <c r="A63" i="69"/>
  <c r="A64" i="69"/>
  <c r="A65" i="69"/>
  <c r="A66" i="69"/>
  <c r="A67" i="69"/>
  <c r="A68" i="69"/>
  <c r="A69" i="69"/>
  <c r="A70" i="69"/>
  <c r="A71" i="69"/>
  <c r="A72" i="69"/>
  <c r="A73" i="69"/>
  <c r="A74" i="69"/>
  <c r="A75" i="69"/>
  <c r="A76" i="69"/>
  <c r="A77" i="69"/>
  <c r="A78" i="69"/>
  <c r="A79" i="69"/>
  <c r="A82" i="69"/>
  <c r="A83" i="69"/>
  <c r="A84" i="69"/>
  <c r="A85" i="69"/>
  <c r="A86" i="69"/>
  <c r="A87" i="69"/>
  <c r="A88" i="69"/>
  <c r="A89" i="69"/>
  <c r="A90" i="69"/>
  <c r="A91" i="69"/>
  <c r="A92" i="69"/>
  <c r="A93" i="69"/>
  <c r="A94" i="69"/>
  <c r="A95" i="69"/>
  <c r="A96" i="69"/>
  <c r="A97" i="69"/>
  <c r="A98" i="69"/>
  <c r="A99" i="69"/>
  <c r="A100" i="69"/>
  <c r="A101" i="69"/>
  <c r="A102" i="69"/>
  <c r="A103" i="69"/>
  <c r="A104" i="69"/>
  <c r="A105" i="69"/>
  <c r="A106" i="69"/>
  <c r="A107" i="69"/>
  <c r="A108" i="69"/>
  <c r="A109" i="69"/>
  <c r="A110" i="69"/>
  <c r="A111" i="69"/>
  <c r="A112" i="69"/>
  <c r="A113" i="69"/>
  <c r="A114" i="69"/>
  <c r="A115" i="69"/>
  <c r="A116" i="69"/>
  <c r="A117" i="69"/>
  <c r="A118" i="69"/>
  <c r="A119" i="69"/>
  <c r="A120" i="69"/>
  <c r="A121" i="69"/>
  <c r="A122" i="69"/>
  <c r="A123" i="69"/>
  <c r="A124" i="69"/>
  <c r="A125" i="69"/>
  <c r="A126" i="69"/>
  <c r="A127" i="69"/>
  <c r="A128" i="69"/>
  <c r="A129" i="69"/>
  <c r="A130" i="69"/>
  <c r="A131" i="69"/>
  <c r="A132" i="69"/>
  <c r="A133" i="69"/>
  <c r="A134" i="69"/>
  <c r="A135" i="69"/>
  <c r="A138" i="69"/>
  <c r="A139" i="69"/>
  <c r="A140" i="69"/>
  <c r="A141" i="69"/>
  <c r="A142" i="69"/>
  <c r="A143" i="69"/>
  <c r="A144" i="69"/>
  <c r="A145" i="69"/>
  <c r="A146" i="69"/>
  <c r="A147" i="69"/>
  <c r="A148" i="69"/>
  <c r="A149" i="69"/>
  <c r="A150" i="69"/>
  <c r="A151" i="69"/>
  <c r="A152" i="69"/>
  <c r="A153" i="69"/>
  <c r="A154" i="69"/>
  <c r="A155" i="69"/>
  <c r="A156" i="69"/>
  <c r="A157" i="69"/>
  <c r="A158" i="69"/>
  <c r="A159" i="69"/>
  <c r="A160" i="69"/>
  <c r="A161" i="69"/>
  <c r="A162" i="69"/>
  <c r="A163" i="69"/>
  <c r="A164" i="69"/>
  <c r="A165" i="69"/>
  <c r="A166" i="69"/>
  <c r="A167" i="69"/>
  <c r="A168" i="69"/>
  <c r="A169" i="69"/>
  <c r="A170" i="69"/>
  <c r="A171" i="69"/>
  <c r="A172" i="69"/>
  <c r="A173" i="69"/>
  <c r="A174" i="69"/>
  <c r="A175" i="69"/>
  <c r="A176" i="69"/>
  <c r="A177" i="69"/>
  <c r="A178" i="69"/>
  <c r="A179" i="69"/>
  <c r="A180" i="69"/>
  <c r="A181" i="69"/>
  <c r="A182" i="69"/>
  <c r="A183" i="69"/>
  <c r="A184" i="69"/>
  <c r="A185" i="69"/>
  <c r="A186" i="69"/>
  <c r="A187" i="69"/>
  <c r="A188" i="69"/>
  <c r="A189" i="69"/>
  <c r="A190" i="69"/>
  <c r="A191" i="69"/>
  <c r="A192" i="69"/>
  <c r="A193" i="69"/>
  <c r="A194" i="69"/>
  <c r="A195" i="69"/>
  <c r="A196" i="69"/>
  <c r="A197" i="69"/>
  <c r="A198" i="69"/>
  <c r="A199" i="69"/>
  <c r="A200" i="69"/>
  <c r="A201" i="69"/>
  <c r="A202" i="69"/>
  <c r="A203" i="69"/>
  <c r="A204" i="69"/>
  <c r="A205" i="69"/>
  <c r="A206" i="69"/>
  <c r="A207" i="69"/>
  <c r="A208" i="69"/>
  <c r="AB13" i="69"/>
  <c r="AB14" i="69"/>
  <c r="AB21" i="69"/>
  <c r="AB22" i="69"/>
  <c r="AB23" i="69"/>
  <c r="Y28" i="69"/>
  <c r="Y49" i="69" s="1"/>
  <c r="AB28" i="69"/>
  <c r="AB29" i="69"/>
  <c r="AB32" i="69"/>
  <c r="AB33" i="69"/>
  <c r="AB35" i="69"/>
  <c r="AB36" i="69"/>
  <c r="AB38" i="69"/>
  <c r="AB39" i="69"/>
  <c r="AB40" i="69"/>
  <c r="AB41" i="69"/>
  <c r="AB46" i="69"/>
  <c r="AB52" i="69"/>
  <c r="AB53" i="69"/>
  <c r="AB54" i="69"/>
  <c r="AB55" i="69"/>
  <c r="AB56" i="69"/>
  <c r="AB57" i="69"/>
  <c r="AB72" i="69"/>
  <c r="AB75" i="69"/>
  <c r="AB76" i="69"/>
  <c r="AB77" i="69"/>
  <c r="AB78" i="69"/>
  <c r="AB81" i="69"/>
  <c r="AB90" i="69"/>
  <c r="AB95" i="69"/>
  <c r="AB100" i="69"/>
  <c r="AB112" i="69"/>
  <c r="AB117" i="69"/>
  <c r="AB122" i="69"/>
  <c r="AB135" i="69"/>
  <c r="AB143" i="69"/>
  <c r="AB144" i="69"/>
  <c r="AB145" i="69"/>
  <c r="AB146" i="69"/>
  <c r="AB147" i="69"/>
  <c r="AB158" i="69"/>
  <c r="AB165" i="69"/>
  <c r="AB167" i="69"/>
  <c r="AB183" i="69"/>
  <c r="F68" i="70"/>
  <c r="F67" i="70"/>
  <c r="F65" i="70"/>
  <c r="F64" i="70"/>
  <c r="F62" i="70"/>
  <c r="F61" i="70"/>
  <c r="F60" i="70"/>
  <c r="F59" i="70"/>
  <c r="F58" i="70"/>
  <c r="F57" i="70"/>
  <c r="F55" i="70"/>
  <c r="F54" i="70"/>
  <c r="F53" i="70"/>
  <c r="F52" i="70"/>
  <c r="F51" i="70"/>
  <c r="F50" i="70"/>
  <c r="F49" i="70"/>
  <c r="F48" i="70"/>
  <c r="F47" i="70"/>
  <c r="F46" i="70"/>
  <c r="F44" i="70"/>
  <c r="F43" i="70"/>
  <c r="F42" i="70"/>
  <c r="F41" i="70"/>
  <c r="F40" i="70"/>
  <c r="F38" i="70"/>
  <c r="F37" i="70"/>
  <c r="F36" i="70"/>
  <c r="F35" i="70"/>
  <c r="F34" i="70"/>
  <c r="F33" i="70"/>
  <c r="F32" i="70"/>
  <c r="F31" i="70"/>
  <c r="F29" i="70"/>
  <c r="F28" i="70"/>
  <c r="F27" i="70"/>
  <c r="F26" i="70"/>
  <c r="F25" i="70"/>
  <c r="F24" i="70"/>
  <c r="F23" i="70"/>
  <c r="F22" i="70"/>
  <c r="F21" i="70"/>
  <c r="F20" i="70"/>
  <c r="F19" i="70"/>
  <c r="F16" i="70"/>
  <c r="D4" i="70"/>
  <c r="AA49" i="69"/>
  <c r="AA58" i="69"/>
  <c r="AA72" i="69"/>
  <c r="AA83" i="69" s="1"/>
  <c r="AA79" i="69"/>
  <c r="AA95" i="69"/>
  <c r="AA100" i="69"/>
  <c r="AA135" i="69"/>
  <c r="AA122" i="69"/>
  <c r="AA117" i="69"/>
  <c r="AA112" i="69"/>
  <c r="AA139" i="69"/>
  <c r="AA165" i="69"/>
  <c r="AA158" i="69"/>
  <c r="AA183" i="69"/>
  <c r="Z49" i="69"/>
  <c r="Z58" i="69"/>
  <c r="Z83" i="69"/>
  <c r="Z95" i="69"/>
  <c r="Z100" i="69"/>
  <c r="Z135" i="69"/>
  <c r="Z122" i="69"/>
  <c r="Z117" i="69"/>
  <c r="Z112" i="69"/>
  <c r="Z165" i="69"/>
  <c r="Z158" i="69"/>
  <c r="Z170" i="69" s="1"/>
  <c r="Z183" i="69"/>
  <c r="Y58" i="69"/>
  <c r="Y72" i="69"/>
  <c r="Y83" i="69" s="1"/>
  <c r="Y79" i="69"/>
  <c r="Y95" i="69"/>
  <c r="Y100" i="69"/>
  <c r="Y90" i="69"/>
  <c r="Y135" i="69"/>
  <c r="Y122" i="69"/>
  <c r="Y117" i="69"/>
  <c r="Y112" i="69"/>
  <c r="Y165" i="69"/>
  <c r="Y170" i="69" s="1"/>
  <c r="Y158" i="69"/>
  <c r="Y183" i="69"/>
  <c r="X49" i="69"/>
  <c r="X72" i="69"/>
  <c r="X79" i="69"/>
  <c r="X95" i="69"/>
  <c r="X104" i="69" s="1"/>
  <c r="X100" i="69"/>
  <c r="X90" i="69"/>
  <c r="X135" i="69"/>
  <c r="X122" i="69"/>
  <c r="X117" i="69"/>
  <c r="X112" i="69"/>
  <c r="X165" i="69"/>
  <c r="X158" i="69"/>
  <c r="X183" i="69"/>
  <c r="W72" i="69"/>
  <c r="W79" i="69"/>
  <c r="W95" i="69"/>
  <c r="W100" i="69"/>
  <c r="W90" i="69"/>
  <c r="W135" i="69"/>
  <c r="W122" i="69"/>
  <c r="W139" i="69" s="1"/>
  <c r="W117" i="69"/>
  <c r="W112" i="69"/>
  <c r="W165" i="69"/>
  <c r="W158" i="69"/>
  <c r="W170" i="69" s="1"/>
  <c r="W183" i="69"/>
  <c r="V49" i="69"/>
  <c r="V72" i="69"/>
  <c r="V79" i="69"/>
  <c r="V83" i="69" s="1"/>
  <c r="V95" i="69"/>
  <c r="V100" i="69"/>
  <c r="V135" i="69"/>
  <c r="V122" i="69"/>
  <c r="V117" i="69"/>
  <c r="V112" i="69"/>
  <c r="V139" i="69"/>
  <c r="V165" i="69"/>
  <c r="V170" i="69" s="1"/>
  <c r="V158" i="69"/>
  <c r="V183" i="69"/>
  <c r="U6" i="69"/>
  <c r="U49" i="69"/>
  <c r="U58" i="69"/>
  <c r="U72" i="69"/>
  <c r="U79" i="69"/>
  <c r="U83" i="69" s="1"/>
  <c r="U95" i="69"/>
  <c r="U100" i="69"/>
  <c r="U90" i="69"/>
  <c r="U135" i="69"/>
  <c r="U122" i="69"/>
  <c r="U117" i="69"/>
  <c r="U112" i="69"/>
  <c r="U139" i="69" s="1"/>
  <c r="U165" i="69"/>
  <c r="U158" i="69"/>
  <c r="U170" i="69"/>
  <c r="U183" i="69"/>
  <c r="AA90" i="69"/>
  <c r="Z90" i="69"/>
  <c r="V90" i="69"/>
  <c r="Z79" i="69"/>
  <c r="Z72" i="69"/>
  <c r="A182" i="68"/>
  <c r="A6" i="68"/>
  <c r="A7" i="68"/>
  <c r="A8" i="68"/>
  <c r="A9" i="68"/>
  <c r="A10" i="68"/>
  <c r="A11" i="68"/>
  <c r="A12" i="68"/>
  <c r="A13" i="68"/>
  <c r="A14" i="68"/>
  <c r="A15" i="68"/>
  <c r="A16" i="68"/>
  <c r="A17" i="68"/>
  <c r="A18" i="68"/>
  <c r="A19" i="68"/>
  <c r="A20" i="68"/>
  <c r="A21" i="68"/>
  <c r="A22" i="68"/>
  <c r="A23" i="68"/>
  <c r="A24" i="68"/>
  <c r="A25" i="68"/>
  <c r="A26" i="68"/>
  <c r="A27" i="68"/>
  <c r="A28" i="68"/>
  <c r="A29" i="68"/>
  <c r="A30" i="68"/>
  <c r="A31" i="68"/>
  <c r="A32" i="68"/>
  <c r="A33" i="68"/>
  <c r="A34" i="68"/>
  <c r="A35" i="68"/>
  <c r="A36" i="68"/>
  <c r="A37" i="68"/>
  <c r="A38" i="68"/>
  <c r="A39" i="68"/>
  <c r="A40" i="68"/>
  <c r="A41" i="68"/>
  <c r="A42" i="68"/>
  <c r="A43" i="68"/>
  <c r="A44" i="68"/>
  <c r="A45" i="68"/>
  <c r="A46" i="68"/>
  <c r="A47" i="68"/>
  <c r="A48" i="68"/>
  <c r="A49" i="68"/>
  <c r="A50" i="68"/>
  <c r="A51" i="68"/>
  <c r="A52" i="68"/>
  <c r="A53" i="68"/>
  <c r="A54" i="68"/>
  <c r="A55" i="68"/>
  <c r="A56" i="68"/>
  <c r="A57" i="68"/>
  <c r="A58" i="68"/>
  <c r="A59" i="68"/>
  <c r="A60" i="68"/>
  <c r="A61" i="68"/>
  <c r="A62" i="68"/>
  <c r="A63" i="68"/>
  <c r="A64" i="68"/>
  <c r="A65" i="68"/>
  <c r="A66" i="68"/>
  <c r="A67" i="68"/>
  <c r="A68" i="68"/>
  <c r="A69" i="68"/>
  <c r="A70" i="68"/>
  <c r="A71" i="68"/>
  <c r="A72" i="68"/>
  <c r="A73" i="68"/>
  <c r="A74" i="68"/>
  <c r="A75" i="68"/>
  <c r="A76" i="68"/>
  <c r="A77" i="68"/>
  <c r="A78" i="68"/>
  <c r="A79" i="68"/>
  <c r="A80" i="68"/>
  <c r="A81" i="68"/>
  <c r="A82" i="68"/>
  <c r="A83" i="68"/>
  <c r="A84" i="68"/>
  <c r="A85" i="68"/>
  <c r="A86" i="68"/>
  <c r="A87" i="68"/>
  <c r="A88" i="68"/>
  <c r="A89" i="68"/>
  <c r="A90" i="68"/>
  <c r="A91" i="68"/>
  <c r="A92" i="68"/>
  <c r="A93" i="68"/>
  <c r="A94" i="68"/>
  <c r="A95" i="68"/>
  <c r="A96" i="68"/>
  <c r="A97" i="68"/>
  <c r="A98" i="68"/>
  <c r="A99" i="68"/>
  <c r="A100" i="68"/>
  <c r="A101" i="68"/>
  <c r="A102" i="68"/>
  <c r="A103" i="68"/>
  <c r="A104" i="68"/>
  <c r="A105" i="68"/>
  <c r="A106" i="68"/>
  <c r="A107" i="68"/>
  <c r="A108" i="68"/>
  <c r="A109" i="68"/>
  <c r="A110" i="68"/>
  <c r="A111" i="68"/>
  <c r="A112" i="68"/>
  <c r="A113" i="68"/>
  <c r="A114" i="68"/>
  <c r="A115" i="68"/>
  <c r="A116" i="68"/>
  <c r="A117" i="68"/>
  <c r="A118" i="68"/>
  <c r="A119" i="68"/>
  <c r="A120" i="68"/>
  <c r="A121" i="68"/>
  <c r="A122" i="68"/>
  <c r="A123" i="68"/>
  <c r="A124" i="68"/>
  <c r="A125" i="68"/>
  <c r="A126" i="68"/>
  <c r="A127" i="68"/>
  <c r="A128" i="68"/>
  <c r="A129" i="68"/>
  <c r="A130" i="68"/>
  <c r="A131" i="68"/>
  <c r="A132" i="68"/>
  <c r="A133" i="68"/>
  <c r="A134" i="68"/>
  <c r="A135" i="68"/>
  <c r="A136" i="68"/>
  <c r="A137" i="68"/>
  <c r="A138" i="68"/>
  <c r="A139" i="68"/>
  <c r="A140" i="68"/>
  <c r="A141" i="68"/>
  <c r="A142" i="68"/>
  <c r="A143" i="68"/>
  <c r="A144" i="68"/>
  <c r="A145" i="68"/>
  <c r="A146" i="68"/>
  <c r="A147" i="68"/>
  <c r="A148" i="68"/>
  <c r="A149" i="68"/>
  <c r="A150" i="68"/>
  <c r="A151" i="68"/>
  <c r="A152" i="68"/>
  <c r="A153" i="68"/>
  <c r="A154" i="68"/>
  <c r="A155" i="68"/>
  <c r="A156" i="68"/>
  <c r="A157" i="68"/>
  <c r="A158" i="68"/>
  <c r="A159" i="68"/>
  <c r="A160" i="68"/>
  <c r="A161" i="68"/>
  <c r="A162" i="68"/>
  <c r="A163" i="68"/>
  <c r="A164" i="68"/>
  <c r="A165" i="68"/>
  <c r="A166" i="68"/>
  <c r="A167" i="68"/>
  <c r="A168" i="68"/>
  <c r="A169" i="68"/>
  <c r="A170" i="68"/>
  <c r="A171" i="68"/>
  <c r="A172" i="68"/>
  <c r="A173" i="68"/>
  <c r="A174" i="68"/>
  <c r="A175" i="68"/>
  <c r="A176" i="68"/>
  <c r="A177" i="68"/>
  <c r="A178" i="68"/>
  <c r="A179" i="68"/>
  <c r="A180" i="68"/>
  <c r="A181" i="68"/>
  <c r="A183" i="68"/>
  <c r="A184" i="68"/>
  <c r="A185" i="68"/>
  <c r="A186" i="68"/>
  <c r="A187" i="68"/>
  <c r="A188" i="68"/>
  <c r="A189" i="68"/>
  <c r="A190" i="68"/>
  <c r="A191" i="68"/>
  <c r="A192" i="68"/>
  <c r="A194" i="68"/>
  <c r="A195" i="68"/>
  <c r="A196" i="68"/>
  <c r="A198" i="68"/>
  <c r="A199" i="68"/>
  <c r="A200" i="68"/>
  <c r="A201" i="68"/>
  <c r="A202" i="68"/>
  <c r="A203" i="68"/>
  <c r="A204" i="68"/>
  <c r="A205" i="68"/>
  <c r="A206" i="68"/>
  <c r="A207" i="68"/>
  <c r="A208" i="68"/>
  <c r="A209" i="68"/>
  <c r="A6" i="65"/>
  <c r="A8" i="65"/>
  <c r="A9" i="65"/>
  <c r="A10" i="65"/>
  <c r="A11" i="65"/>
  <c r="A12" i="65"/>
  <c r="A13" i="65"/>
  <c r="A14" i="65"/>
  <c r="A15" i="65"/>
  <c r="A16" i="65"/>
  <c r="A17" i="65"/>
  <c r="A18" i="65"/>
  <c r="A19" i="65"/>
  <c r="A20" i="65"/>
  <c r="A21" i="65"/>
  <c r="A22" i="65"/>
  <c r="A23" i="65"/>
  <c r="A24" i="65"/>
  <c r="A25" i="65"/>
  <c r="A26" i="65"/>
  <c r="A27" i="65"/>
  <c r="A28" i="65"/>
  <c r="A29" i="65"/>
  <c r="A30" i="65"/>
  <c r="A31" i="65"/>
  <c r="A32" i="65"/>
  <c r="A33" i="65"/>
  <c r="A34" i="65"/>
  <c r="A35" i="65"/>
  <c r="A36" i="65"/>
  <c r="A37" i="65"/>
  <c r="A38" i="65"/>
  <c r="A39" i="65"/>
  <c r="A40" i="65"/>
  <c r="A41" i="65"/>
  <c r="A42" i="65"/>
  <c r="A43" i="65"/>
  <c r="A44" i="65"/>
  <c r="A45" i="65"/>
  <c r="A46" i="65"/>
  <c r="A48" i="65"/>
  <c r="A49" i="65"/>
  <c r="A50" i="65"/>
  <c r="A51" i="65"/>
  <c r="A52" i="65"/>
  <c r="A53" i="65"/>
  <c r="A54" i="65"/>
  <c r="A55" i="65"/>
  <c r="A57" i="65"/>
  <c r="A58" i="65"/>
  <c r="A59" i="65"/>
  <c r="A60" i="65"/>
  <c r="A61" i="65"/>
  <c r="A62" i="65"/>
  <c r="A63" i="65"/>
  <c r="A64" i="65"/>
  <c r="A65" i="65"/>
  <c r="A66" i="65"/>
  <c r="A67" i="65"/>
  <c r="A68" i="65"/>
  <c r="A69" i="65"/>
  <c r="A70" i="65"/>
  <c r="A71" i="65"/>
  <c r="A72" i="65"/>
  <c r="A73" i="65"/>
  <c r="A74" i="65"/>
  <c r="A75" i="65"/>
  <c r="A76" i="65"/>
  <c r="A77" i="65"/>
  <c r="A78" i="65"/>
  <c r="A79" i="65"/>
  <c r="A82" i="65"/>
  <c r="A83" i="65"/>
  <c r="A84" i="65"/>
  <c r="A85" i="65"/>
  <c r="A86" i="65"/>
  <c r="A87" i="65"/>
  <c r="A88" i="65"/>
  <c r="A89" i="65"/>
  <c r="A90" i="65"/>
  <c r="A91" i="65"/>
  <c r="A92" i="65"/>
  <c r="A93" i="65"/>
  <c r="A94" i="65"/>
  <c r="A95" i="65"/>
  <c r="A96" i="65"/>
  <c r="A97" i="65"/>
  <c r="A98" i="65"/>
  <c r="A99" i="65"/>
  <c r="A100" i="65"/>
  <c r="A101" i="65"/>
  <c r="A103" i="65"/>
  <c r="A104" i="65"/>
  <c r="A105" i="65"/>
  <c r="A106" i="65"/>
  <c r="A107" i="65"/>
  <c r="A108" i="65"/>
  <c r="A109" i="65"/>
  <c r="A110" i="65"/>
  <c r="A111" i="65"/>
  <c r="A112" i="65"/>
  <c r="A113" i="65"/>
  <c r="A114" i="65"/>
  <c r="A115" i="65"/>
  <c r="A116" i="65"/>
  <c r="A117" i="65"/>
  <c r="A118" i="65"/>
  <c r="A119" i="65"/>
  <c r="A120" i="65"/>
  <c r="A121" i="65"/>
  <c r="A122" i="65"/>
  <c r="A123" i="65"/>
  <c r="A124" i="65"/>
  <c r="A125" i="65"/>
  <c r="A126" i="65"/>
  <c r="A127" i="65"/>
  <c r="A128" i="65"/>
  <c r="A129" i="65"/>
  <c r="A130" i="65"/>
  <c r="A131" i="65"/>
  <c r="A132" i="65"/>
  <c r="A133" i="65"/>
  <c r="A134" i="65"/>
  <c r="A135" i="65"/>
  <c r="A138" i="65"/>
  <c r="A139" i="65"/>
  <c r="A140" i="65"/>
  <c r="A141" i="65"/>
  <c r="A142" i="65"/>
  <c r="A143" i="65"/>
  <c r="A144" i="65"/>
  <c r="A145" i="65"/>
  <c r="A146" i="65"/>
  <c r="A147" i="65"/>
  <c r="A148" i="65"/>
  <c r="A149" i="65"/>
  <c r="A150" i="65"/>
  <c r="A151" i="65"/>
  <c r="A152" i="65"/>
  <c r="A153" i="65"/>
  <c r="A154" i="65"/>
  <c r="A155" i="65"/>
  <c r="A156" i="65"/>
  <c r="A157" i="65"/>
  <c r="A158" i="65"/>
  <c r="A159" i="65"/>
  <c r="A160" i="65"/>
  <c r="A161" i="65"/>
  <c r="A162" i="65"/>
  <c r="A163" i="65"/>
  <c r="A164" i="65"/>
  <c r="A165" i="65"/>
  <c r="A166" i="65"/>
  <c r="A168" i="65"/>
  <c r="A169" i="65"/>
  <c r="A170" i="65"/>
  <c r="A171" i="65"/>
  <c r="A172" i="65"/>
  <c r="A173" i="65"/>
  <c r="A174" i="65"/>
  <c r="A175" i="65"/>
  <c r="A176" i="65"/>
  <c r="A177" i="65"/>
  <c r="A178" i="65"/>
  <c r="A179" i="65"/>
  <c r="A180" i="65"/>
  <c r="A181" i="65"/>
  <c r="A183" i="65"/>
  <c r="A184" i="65"/>
  <c r="A185" i="65"/>
  <c r="A186" i="65"/>
  <c r="A187" i="65"/>
  <c r="A188" i="65"/>
  <c r="A189" i="65"/>
  <c r="A190" i="65"/>
  <c r="A191" i="65"/>
  <c r="A192" i="65"/>
  <c r="A195" i="65"/>
  <c r="A196" i="65"/>
  <c r="A198" i="65"/>
  <c r="A199" i="65"/>
  <c r="A200" i="65"/>
  <c r="A201" i="65"/>
  <c r="A202" i="65"/>
  <c r="A203" i="65"/>
  <c r="A204" i="65"/>
  <c r="A205" i="65"/>
  <c r="A206" i="65"/>
  <c r="A207" i="65"/>
  <c r="A208" i="65"/>
  <c r="Y28" i="68"/>
  <c r="AB28" i="68" s="1"/>
  <c r="AB49" i="68" s="1"/>
  <c r="AB58" i="68"/>
  <c r="AB72" i="68"/>
  <c r="AB75" i="68"/>
  <c r="AB76" i="68"/>
  <c r="AB77" i="68"/>
  <c r="AB78" i="68"/>
  <c r="AB81" i="68"/>
  <c r="AB90" i="68"/>
  <c r="AB95" i="68"/>
  <c r="AB109" i="68"/>
  <c r="AB110" i="68"/>
  <c r="AB111" i="68"/>
  <c r="AB125" i="68"/>
  <c r="AB126" i="68"/>
  <c r="AB127" i="68"/>
  <c r="AB128" i="68"/>
  <c r="AB129" i="68"/>
  <c r="AB130" i="68"/>
  <c r="AB131" i="68"/>
  <c r="AB132" i="68"/>
  <c r="AB141" i="68"/>
  <c r="AB142" i="68"/>
  <c r="AB143" i="68"/>
  <c r="AB144" i="68"/>
  <c r="AB146" i="68"/>
  <c r="AB147" i="68"/>
  <c r="AB160" i="68"/>
  <c r="AB161" i="68"/>
  <c r="AB162" i="68"/>
  <c r="AB163" i="68"/>
  <c r="AB164" i="68"/>
  <c r="AB167" i="68"/>
  <c r="AA49" i="68"/>
  <c r="AA58" i="68"/>
  <c r="AA72" i="68"/>
  <c r="AA79" i="68"/>
  <c r="AA95" i="68"/>
  <c r="AA100" i="68"/>
  <c r="AA135" i="68"/>
  <c r="AA122" i="68"/>
  <c r="AA117" i="68"/>
  <c r="AA112" i="68"/>
  <c r="AA165" i="68"/>
  <c r="AA158" i="68"/>
  <c r="AA183" i="68"/>
  <c r="Z49" i="68"/>
  <c r="Z58" i="68"/>
  <c r="Z83" i="68"/>
  <c r="Z95" i="68"/>
  <c r="Z100" i="68"/>
  <c r="Z135" i="68"/>
  <c r="Z122" i="68"/>
  <c r="Z117" i="68"/>
  <c r="Z112" i="68"/>
  <c r="Z165" i="68"/>
  <c r="Z158" i="68"/>
  <c r="Z183" i="68"/>
  <c r="Y58" i="68"/>
  <c r="Y72" i="68"/>
  <c r="Y79" i="68"/>
  <c r="Y95" i="68"/>
  <c r="Y100" i="68"/>
  <c r="Y90" i="68"/>
  <c r="Y135" i="68"/>
  <c r="Y122" i="68"/>
  <c r="Y117" i="68"/>
  <c r="Y112" i="68"/>
  <c r="Y165" i="68"/>
  <c r="Y158" i="68"/>
  <c r="Y183" i="68"/>
  <c r="X49" i="68"/>
  <c r="X72" i="68"/>
  <c r="X79" i="68"/>
  <c r="X95" i="68"/>
  <c r="X100" i="68"/>
  <c r="X90" i="68"/>
  <c r="X135" i="68"/>
  <c r="X122" i="68"/>
  <c r="X117" i="68"/>
  <c r="X112" i="68"/>
  <c r="X165" i="68"/>
  <c r="X158" i="68"/>
  <c r="X183" i="68"/>
  <c r="W72" i="68"/>
  <c r="W79" i="68"/>
  <c r="W95" i="68"/>
  <c r="W100" i="68"/>
  <c r="W90" i="68"/>
  <c r="W135" i="68"/>
  <c r="W122" i="68"/>
  <c r="W117" i="68"/>
  <c r="W112" i="68"/>
  <c r="W165" i="68"/>
  <c r="W158" i="68"/>
  <c r="W183" i="68"/>
  <c r="V49" i="68"/>
  <c r="V72" i="68"/>
  <c r="V79" i="68"/>
  <c r="V95" i="68"/>
  <c r="V100" i="68"/>
  <c r="V135" i="68"/>
  <c r="V122" i="68"/>
  <c r="V117" i="68"/>
  <c r="V112" i="68"/>
  <c r="V165" i="68"/>
  <c r="V158" i="68"/>
  <c r="V183" i="68"/>
  <c r="U49" i="68"/>
  <c r="U58" i="68"/>
  <c r="U72" i="68"/>
  <c r="U79" i="68"/>
  <c r="U95" i="68"/>
  <c r="U100" i="68"/>
  <c r="U90" i="68"/>
  <c r="U135" i="68"/>
  <c r="U122" i="68"/>
  <c r="U117" i="68"/>
  <c r="U112" i="68"/>
  <c r="U165" i="68"/>
  <c r="U158" i="68"/>
  <c r="U183" i="68"/>
  <c r="AA90" i="68"/>
  <c r="Z90" i="68"/>
  <c r="V90" i="68"/>
  <c r="Z79" i="68"/>
  <c r="Z72" i="68"/>
  <c r="A6" i="52"/>
  <c r="A8" i="52"/>
  <c r="A9" i="52"/>
  <c r="F53" i="62" s="1"/>
  <c r="A10" i="52"/>
  <c r="A11" i="52"/>
  <c r="A12" i="52"/>
  <c r="A13" i="52"/>
  <c r="A14" i="52"/>
  <c r="A15" i="52"/>
  <c r="A16" i="52"/>
  <c r="A17" i="52"/>
  <c r="A18" i="52"/>
  <c r="A19" i="52"/>
  <c r="A20" i="52"/>
  <c r="A21" i="52"/>
  <c r="A22" i="52"/>
  <c r="A23" i="52"/>
  <c r="A24" i="52"/>
  <c r="A25" i="52"/>
  <c r="A26" i="52"/>
  <c r="A27" i="52"/>
  <c r="A28" i="52"/>
  <c r="A29" i="52"/>
  <c r="A30" i="52"/>
  <c r="A31" i="52"/>
  <c r="A32" i="52"/>
  <c r="A33" i="52"/>
  <c r="A34" i="52"/>
  <c r="A35" i="52"/>
  <c r="A36" i="52"/>
  <c r="A37" i="52"/>
  <c r="A38" i="52"/>
  <c r="A39" i="52"/>
  <c r="A40" i="52"/>
  <c r="A41" i="52"/>
  <c r="A42" i="52"/>
  <c r="A43" i="52"/>
  <c r="A44" i="52"/>
  <c r="A45" i="52"/>
  <c r="A46" i="52"/>
  <c r="A47" i="52"/>
  <c r="A48" i="52"/>
  <c r="A49" i="52"/>
  <c r="A50" i="52"/>
  <c r="A51" i="52"/>
  <c r="A52" i="52"/>
  <c r="A53" i="52"/>
  <c r="A54" i="52"/>
  <c r="A55" i="52"/>
  <c r="A56" i="52"/>
  <c r="A57" i="52"/>
  <c r="A58" i="52"/>
  <c r="A59" i="52"/>
  <c r="A60" i="52"/>
  <c r="A61" i="52"/>
  <c r="A62" i="52"/>
  <c r="A63" i="52"/>
  <c r="A64" i="52"/>
  <c r="A65" i="52"/>
  <c r="A66" i="52"/>
  <c r="A67" i="52"/>
  <c r="A68" i="52"/>
  <c r="A69" i="52"/>
  <c r="A70" i="52"/>
  <c r="A71" i="52"/>
  <c r="A72" i="52"/>
  <c r="A73" i="52"/>
  <c r="A74" i="52"/>
  <c r="A75" i="52"/>
  <c r="A76" i="52"/>
  <c r="A77" i="52"/>
  <c r="A78" i="52"/>
  <c r="A79" i="52"/>
  <c r="A80" i="52"/>
  <c r="A81" i="52"/>
  <c r="A82" i="52"/>
  <c r="A83" i="52"/>
  <c r="A84" i="52"/>
  <c r="A85" i="52"/>
  <c r="A86" i="52"/>
  <c r="A87" i="52"/>
  <c r="A88" i="52"/>
  <c r="A89" i="52"/>
  <c r="A90" i="52"/>
  <c r="A91" i="52"/>
  <c r="A92" i="52"/>
  <c r="A93" i="52"/>
  <c r="A94" i="52"/>
  <c r="A95" i="52"/>
  <c r="A96" i="52"/>
  <c r="A97" i="52"/>
  <c r="A98" i="52"/>
  <c r="A99" i="52"/>
  <c r="A100" i="52"/>
  <c r="A101" i="52"/>
  <c r="A102" i="52"/>
  <c r="A103" i="52"/>
  <c r="A104" i="52"/>
  <c r="A105" i="52"/>
  <c r="A106" i="52"/>
  <c r="A107" i="52"/>
  <c r="A108" i="52"/>
  <c r="A109" i="52"/>
  <c r="A110" i="52"/>
  <c r="A111" i="52"/>
  <c r="A112" i="52"/>
  <c r="A113" i="52"/>
  <c r="A114" i="52"/>
  <c r="A115" i="52"/>
  <c r="A116" i="52"/>
  <c r="A117" i="52"/>
  <c r="A118" i="52"/>
  <c r="A119" i="52"/>
  <c r="A120" i="52"/>
  <c r="A121" i="52"/>
  <c r="A122" i="52"/>
  <c r="A123" i="52"/>
  <c r="A124" i="52"/>
  <c r="A125" i="52"/>
  <c r="A126" i="52"/>
  <c r="A127" i="52"/>
  <c r="A128" i="52"/>
  <c r="A129" i="52"/>
  <c r="A130" i="52"/>
  <c r="A131" i="52"/>
  <c r="A132" i="52"/>
  <c r="A133" i="52"/>
  <c r="A134" i="52"/>
  <c r="A135" i="52"/>
  <c r="A136" i="52"/>
  <c r="A137" i="52"/>
  <c r="A138" i="52"/>
  <c r="A139" i="52"/>
  <c r="A140" i="52"/>
  <c r="A141" i="52"/>
  <c r="A142" i="52"/>
  <c r="A143" i="52"/>
  <c r="A144" i="52"/>
  <c r="A145" i="52"/>
  <c r="A146" i="52"/>
  <c r="A147" i="52"/>
  <c r="A148" i="52"/>
  <c r="A149" i="52"/>
  <c r="A150" i="52"/>
  <c r="A151" i="52"/>
  <c r="A152" i="52"/>
  <c r="A153" i="52"/>
  <c r="A154" i="52"/>
  <c r="A155" i="52"/>
  <c r="A156" i="52"/>
  <c r="A157" i="52"/>
  <c r="A158" i="52"/>
  <c r="A159" i="52"/>
  <c r="A160" i="52"/>
  <c r="A161" i="52"/>
  <c r="A162" i="52"/>
  <c r="A163" i="52"/>
  <c r="A164" i="52"/>
  <c r="A165" i="52"/>
  <c r="A166" i="52"/>
  <c r="A167" i="52"/>
  <c r="A168" i="52"/>
  <c r="A169" i="52"/>
  <c r="A170" i="52"/>
  <c r="A171" i="52"/>
  <c r="A172" i="52"/>
  <c r="A173" i="52"/>
  <c r="A174" i="52"/>
  <c r="A175" i="52"/>
  <c r="A176" i="52"/>
  <c r="A177" i="52"/>
  <c r="A178" i="52"/>
  <c r="A179" i="52"/>
  <c r="A180" i="52"/>
  <c r="A181" i="52"/>
  <c r="A182" i="52"/>
  <c r="A183" i="52"/>
  <c r="A184" i="52"/>
  <c r="A185" i="52"/>
  <c r="A186" i="52"/>
  <c r="A187" i="52"/>
  <c r="A188" i="52"/>
  <c r="A189" i="52"/>
  <c r="A190" i="52"/>
  <c r="A191" i="52"/>
  <c r="A192" i="52"/>
  <c r="A193" i="52"/>
  <c r="A194" i="52"/>
  <c r="A195" i="52"/>
  <c r="A196" i="52"/>
  <c r="A197" i="52"/>
  <c r="A198" i="52"/>
  <c r="A199" i="52"/>
  <c r="A200" i="52"/>
  <c r="A201" i="52"/>
  <c r="A202" i="52"/>
  <c r="A203" i="52"/>
  <c r="A204" i="52"/>
  <c r="F29" i="67"/>
  <c r="D4" i="67"/>
  <c r="AB145" i="65"/>
  <c r="AB154" i="65"/>
  <c r="AB155" i="65"/>
  <c r="AB160" i="65"/>
  <c r="AB161" i="65"/>
  <c r="AB162" i="65"/>
  <c r="AB163" i="65"/>
  <c r="AB164" i="65"/>
  <c r="AB142" i="65"/>
  <c r="AB141" i="65"/>
  <c r="AB167" i="65"/>
  <c r="AB125" i="65"/>
  <c r="AB126" i="65"/>
  <c r="AB127" i="65"/>
  <c r="AB128" i="65"/>
  <c r="AB129" i="65"/>
  <c r="AB130" i="65"/>
  <c r="AB131" i="65"/>
  <c r="AB132" i="65"/>
  <c r="AB117" i="65"/>
  <c r="AB109" i="65"/>
  <c r="AB110" i="65"/>
  <c r="AB111" i="65"/>
  <c r="AB122" i="65"/>
  <c r="AB13" i="65"/>
  <c r="AB14" i="65"/>
  <c r="AB21" i="65"/>
  <c r="AB22" i="65"/>
  <c r="AB23" i="65"/>
  <c r="Y28" i="65"/>
  <c r="Y49" i="65" s="1"/>
  <c r="AB28" i="65"/>
  <c r="AB29" i="65"/>
  <c r="AB32" i="65"/>
  <c r="AB33" i="65"/>
  <c r="AB35" i="65"/>
  <c r="AB36" i="65"/>
  <c r="AB37" i="65"/>
  <c r="AB38" i="65"/>
  <c r="AB39" i="65"/>
  <c r="AB40" i="65"/>
  <c r="AB41" i="65"/>
  <c r="AB46" i="65"/>
  <c r="AB56" i="65"/>
  <c r="AB58" i="65" s="1"/>
  <c r="AB72" i="65"/>
  <c r="AB75" i="65"/>
  <c r="AB76" i="65"/>
  <c r="AB77" i="65"/>
  <c r="AB78" i="65"/>
  <c r="AB81" i="65"/>
  <c r="AB95" i="65"/>
  <c r="AB100" i="65"/>
  <c r="AB90" i="65"/>
  <c r="AB183" i="65"/>
  <c r="AB143" i="65"/>
  <c r="AB144" i="65"/>
  <c r="AB146" i="65"/>
  <c r="AB147" i="65"/>
  <c r="X49" i="65"/>
  <c r="X72" i="65"/>
  <c r="X79" i="65"/>
  <c r="X90" i="65"/>
  <c r="X95" i="65"/>
  <c r="X100" i="65"/>
  <c r="X112" i="65"/>
  <c r="X117" i="65"/>
  <c r="X122" i="65"/>
  <c r="X135" i="65"/>
  <c r="X139" i="65" s="1"/>
  <c r="X158" i="65"/>
  <c r="X165" i="65"/>
  <c r="X183" i="65"/>
  <c r="U93" i="65"/>
  <c r="U95" i="65" s="1"/>
  <c r="U68" i="65"/>
  <c r="AB6" i="65"/>
  <c r="Y6" i="65"/>
  <c r="U6" i="65"/>
  <c r="U141" i="65"/>
  <c r="U98" i="65"/>
  <c r="U100" i="65" s="1"/>
  <c r="Z183" i="65"/>
  <c r="Y183" i="65"/>
  <c r="U183" i="65"/>
  <c r="V176" i="65"/>
  <c r="Y90" i="65"/>
  <c r="W95" i="65"/>
  <c r="W104" i="65" s="1"/>
  <c r="W100" i="65"/>
  <c r="W90" i="65"/>
  <c r="U90" i="65"/>
  <c r="AA49" i="65"/>
  <c r="Z49" i="65"/>
  <c r="U31" i="65"/>
  <c r="U49" i="65" s="1"/>
  <c r="AB6" i="63"/>
  <c r="AB13" i="63"/>
  <c r="AB14" i="63"/>
  <c r="AB15" i="63"/>
  <c r="AB16" i="63"/>
  <c r="AB17" i="63"/>
  <c r="AB21" i="63"/>
  <c r="AB22" i="63"/>
  <c r="AB23" i="63"/>
  <c r="Y28" i="63"/>
  <c r="AB28" i="63" s="1"/>
  <c r="AB32" i="63"/>
  <c r="AB33" i="63"/>
  <c r="AB35" i="63"/>
  <c r="AB36" i="63"/>
  <c r="AB46" i="63"/>
  <c r="AB56" i="63"/>
  <c r="AB58" i="63" s="1"/>
  <c r="AB72" i="63"/>
  <c r="AB75" i="63"/>
  <c r="AB76" i="63"/>
  <c r="AB77" i="63"/>
  <c r="AB78" i="63"/>
  <c r="AB81" i="63"/>
  <c r="AB95" i="63"/>
  <c r="AB98" i="63"/>
  <c r="AB99" i="63"/>
  <c r="AB89" i="63"/>
  <c r="AB90" i="63" s="1"/>
  <c r="AB125" i="63"/>
  <c r="AB126" i="63"/>
  <c r="AB127" i="63"/>
  <c r="AB128" i="63"/>
  <c r="AB129" i="63"/>
  <c r="AB130" i="63"/>
  <c r="AB131" i="63"/>
  <c r="AB132" i="63"/>
  <c r="AB122" i="63"/>
  <c r="AB117" i="63"/>
  <c r="AB109" i="63"/>
  <c r="AB110" i="63"/>
  <c r="AB111" i="63"/>
  <c r="AB160" i="63"/>
  <c r="AB161" i="63"/>
  <c r="AB162" i="63"/>
  <c r="AB163" i="63"/>
  <c r="AB164" i="63"/>
  <c r="AB148" i="63"/>
  <c r="AB149" i="63"/>
  <c r="AB150" i="63"/>
  <c r="AB151" i="63"/>
  <c r="AB152" i="63"/>
  <c r="AB153" i="63"/>
  <c r="AB154" i="63"/>
  <c r="AB155" i="63"/>
  <c r="AB156" i="63"/>
  <c r="AB157" i="63"/>
  <c r="AB145" i="63"/>
  <c r="AB142" i="63"/>
  <c r="AB141" i="63"/>
  <c r="AB167" i="63"/>
  <c r="AB174" i="63"/>
  <c r="AB175" i="63"/>
  <c r="AB176" i="63"/>
  <c r="AB177" i="63"/>
  <c r="AB178" i="63"/>
  <c r="AB179" i="63"/>
  <c r="AB180" i="63"/>
  <c r="AB181" i="63"/>
  <c r="AB182" i="63"/>
  <c r="X49" i="52"/>
  <c r="X72" i="52"/>
  <c r="X79" i="52"/>
  <c r="X93" i="52"/>
  <c r="X98" i="52"/>
  <c r="X110" i="52"/>
  <c r="X115" i="52"/>
  <c r="X120" i="52"/>
  <c r="X133" i="52"/>
  <c r="X135" i="52"/>
  <c r="X154" i="52"/>
  <c r="X161" i="52"/>
  <c r="X179" i="52"/>
  <c r="A6" i="63"/>
  <c r="A8" i="63"/>
  <c r="A9" i="63"/>
  <c r="A10" i="63"/>
  <c r="A11" i="63"/>
  <c r="A12" i="63"/>
  <c r="A13" i="63"/>
  <c r="A14" i="63"/>
  <c r="A15" i="63"/>
  <c r="A16" i="63"/>
  <c r="A17" i="63"/>
  <c r="A18" i="63"/>
  <c r="A19" i="63"/>
  <c r="A20" i="63"/>
  <c r="A21" i="63"/>
  <c r="A22" i="63"/>
  <c r="A23" i="63"/>
  <c r="A24" i="63"/>
  <c r="A25" i="63"/>
  <c r="A26" i="63"/>
  <c r="A27" i="63"/>
  <c r="A28" i="63"/>
  <c r="A29" i="63"/>
  <c r="A30" i="63"/>
  <c r="A31" i="63"/>
  <c r="A32" i="63"/>
  <c r="A33" i="63"/>
  <c r="A34" i="63"/>
  <c r="A35" i="63"/>
  <c r="A36" i="63"/>
  <c r="A37" i="63"/>
  <c r="A38" i="63"/>
  <c r="A39" i="63"/>
  <c r="A40" i="63"/>
  <c r="A41" i="63"/>
  <c r="A42" i="63"/>
  <c r="A43" i="63"/>
  <c r="A44" i="63"/>
  <c r="A45" i="63"/>
  <c r="A46" i="63"/>
  <c r="A47" i="63"/>
  <c r="A48" i="63"/>
  <c r="A49" i="63"/>
  <c r="A50" i="63"/>
  <c r="A51" i="63"/>
  <c r="A52" i="63"/>
  <c r="A53" i="63"/>
  <c r="A54" i="63"/>
  <c r="A55" i="63"/>
  <c r="A56" i="63"/>
  <c r="A57" i="63"/>
  <c r="A58" i="63"/>
  <c r="A59" i="63"/>
  <c r="A60" i="63"/>
  <c r="A61" i="63"/>
  <c r="A62" i="63"/>
  <c r="A63" i="63"/>
  <c r="A64" i="63"/>
  <c r="A65" i="63"/>
  <c r="A66" i="63"/>
  <c r="A67" i="63"/>
  <c r="A68" i="63"/>
  <c r="A69" i="63"/>
  <c r="A70" i="63"/>
  <c r="A71" i="63"/>
  <c r="A72" i="63"/>
  <c r="A73" i="63"/>
  <c r="A74" i="63"/>
  <c r="A75" i="63"/>
  <c r="A76" i="63"/>
  <c r="A77" i="63"/>
  <c r="A78" i="63"/>
  <c r="A79" i="63"/>
  <c r="A82" i="63"/>
  <c r="A83" i="63"/>
  <c r="A84" i="63"/>
  <c r="A85" i="63"/>
  <c r="A86" i="63"/>
  <c r="A87" i="63"/>
  <c r="A88" i="63"/>
  <c r="A89" i="63"/>
  <c r="A90" i="63"/>
  <c r="A91" i="63"/>
  <c r="A92" i="63"/>
  <c r="A93" i="63"/>
  <c r="A94" i="63"/>
  <c r="A95" i="63"/>
  <c r="A96" i="63"/>
  <c r="A97" i="63"/>
  <c r="A98" i="63"/>
  <c r="A99" i="63"/>
  <c r="A100" i="63"/>
  <c r="A101" i="63"/>
  <c r="A102" i="63"/>
  <c r="A103" i="63"/>
  <c r="A104" i="63"/>
  <c r="A105" i="63"/>
  <c r="A106" i="63"/>
  <c r="A107" i="63"/>
  <c r="A108" i="63"/>
  <c r="A109" i="63"/>
  <c r="A110" i="63"/>
  <c r="A111" i="63"/>
  <c r="A112" i="63"/>
  <c r="A113" i="63"/>
  <c r="A114" i="63"/>
  <c r="A115" i="63"/>
  <c r="A116" i="63"/>
  <c r="A117" i="63"/>
  <c r="A118" i="63"/>
  <c r="A119" i="63"/>
  <c r="A120" i="63"/>
  <c r="A121" i="63"/>
  <c r="A122" i="63"/>
  <c r="A123" i="63"/>
  <c r="A124" i="63"/>
  <c r="A125" i="63"/>
  <c r="A126" i="63"/>
  <c r="A127" i="63"/>
  <c r="A128" i="63"/>
  <c r="A129" i="63"/>
  <c r="A130" i="63"/>
  <c r="A131" i="63"/>
  <c r="A132" i="63"/>
  <c r="A133" i="63"/>
  <c r="A134" i="63"/>
  <c r="A135" i="63"/>
  <c r="A138" i="63"/>
  <c r="A139" i="63"/>
  <c r="A140" i="63"/>
  <c r="A141" i="63"/>
  <c r="A142" i="63"/>
  <c r="A143" i="63"/>
  <c r="A144" i="63"/>
  <c r="A145" i="63"/>
  <c r="A146" i="63"/>
  <c r="A147" i="63"/>
  <c r="A148" i="63"/>
  <c r="A149" i="63"/>
  <c r="A150" i="63"/>
  <c r="A151" i="63"/>
  <c r="A152" i="63"/>
  <c r="A153" i="63"/>
  <c r="A154" i="63"/>
  <c r="A155" i="63"/>
  <c r="A156" i="63"/>
  <c r="A157" i="63"/>
  <c r="A158" i="63"/>
  <c r="A159" i="63"/>
  <c r="A160" i="63"/>
  <c r="A161" i="63"/>
  <c r="A162" i="63"/>
  <c r="A163" i="63"/>
  <c r="A164" i="63"/>
  <c r="A165" i="63"/>
  <c r="A166" i="63"/>
  <c r="A167" i="63"/>
  <c r="A168" i="63"/>
  <c r="A169" i="63"/>
  <c r="A170" i="63"/>
  <c r="A171" i="63"/>
  <c r="A172" i="63"/>
  <c r="A173" i="63"/>
  <c r="A174" i="63"/>
  <c r="A175" i="63"/>
  <c r="A176" i="63"/>
  <c r="A177" i="63"/>
  <c r="A178" i="63"/>
  <c r="A179" i="63"/>
  <c r="A180" i="63"/>
  <c r="A181" i="63"/>
  <c r="A182" i="63"/>
  <c r="A183" i="63"/>
  <c r="A184" i="63"/>
  <c r="A185" i="63"/>
  <c r="A186" i="63"/>
  <c r="A187" i="63"/>
  <c r="A188" i="63"/>
  <c r="A189" i="63"/>
  <c r="A190" i="63"/>
  <c r="A191" i="63"/>
  <c r="A192" i="63"/>
  <c r="A193" i="63"/>
  <c r="A194" i="63"/>
  <c r="A195" i="63"/>
  <c r="A196" i="63"/>
  <c r="A197" i="63"/>
  <c r="A198" i="63"/>
  <c r="A199" i="63"/>
  <c r="A200" i="63"/>
  <c r="A201" i="63"/>
  <c r="A202" i="63"/>
  <c r="A203" i="63"/>
  <c r="A204" i="63"/>
  <c r="A205" i="63"/>
  <c r="A206" i="63"/>
  <c r="A207" i="63"/>
  <c r="A208" i="63"/>
  <c r="AB38" i="63"/>
  <c r="AB39" i="63"/>
  <c r="AB40" i="63"/>
  <c r="AB41" i="63"/>
  <c r="AB43" i="63"/>
  <c r="AB143" i="63"/>
  <c r="AB144" i="63"/>
  <c r="AB146" i="63"/>
  <c r="AB147" i="63"/>
  <c r="D4" i="66"/>
  <c r="AA183" i="65"/>
  <c r="W183" i="65"/>
  <c r="V183" i="65"/>
  <c r="AA165" i="65"/>
  <c r="AA158" i="65"/>
  <c r="Z165" i="65"/>
  <c r="Z158" i="65"/>
  <c r="Z170" i="65" s="1"/>
  <c r="Y165" i="65"/>
  <c r="W165" i="65"/>
  <c r="W158" i="65"/>
  <c r="W170" i="65" s="1"/>
  <c r="V165" i="65"/>
  <c r="V170" i="65" s="1"/>
  <c r="V158" i="65"/>
  <c r="U165" i="65"/>
  <c r="Y158" i="65"/>
  <c r="U158" i="65"/>
  <c r="AA135" i="65"/>
  <c r="Z135" i="65"/>
  <c r="Y135" i="65"/>
  <c r="Y122" i="65"/>
  <c r="Y117" i="65"/>
  <c r="Y112" i="65"/>
  <c r="W135" i="65"/>
  <c r="V135" i="65"/>
  <c r="U135" i="65"/>
  <c r="U122" i="65"/>
  <c r="U117" i="65"/>
  <c r="U112" i="65"/>
  <c r="AA122" i="65"/>
  <c r="Z122" i="65"/>
  <c r="W122" i="65"/>
  <c r="V122" i="65"/>
  <c r="AA117" i="65"/>
  <c r="Z117" i="65"/>
  <c r="Z112" i="65"/>
  <c r="W117" i="65"/>
  <c r="W112" i="65"/>
  <c r="V117" i="65"/>
  <c r="AA112" i="65"/>
  <c r="V112" i="65"/>
  <c r="AA100" i="65"/>
  <c r="AA95" i="65"/>
  <c r="Z100" i="65"/>
  <c r="Z104" i="65" s="1"/>
  <c r="Z95" i="65"/>
  <c r="Y100" i="65"/>
  <c r="V100" i="65"/>
  <c r="V104" i="65" s="1"/>
  <c r="V95" i="65"/>
  <c r="Y95" i="65"/>
  <c r="AA90" i="65"/>
  <c r="Z90" i="65"/>
  <c r="V90" i="65"/>
  <c r="AA72" i="65"/>
  <c r="AA79" i="65"/>
  <c r="Z83" i="65"/>
  <c r="W72" i="65"/>
  <c r="W83" i="65" s="1"/>
  <c r="W79" i="65"/>
  <c r="Z79" i="65"/>
  <c r="Y79" i="65"/>
  <c r="V79" i="65"/>
  <c r="U79" i="65"/>
  <c r="Z72" i="65"/>
  <c r="Y72" i="65"/>
  <c r="V72" i="65"/>
  <c r="V83" i="65" s="1"/>
  <c r="U72" i="65"/>
  <c r="U83" i="65" s="1"/>
  <c r="AA58" i="65"/>
  <c r="Z58" i="65"/>
  <c r="Y58" i="65"/>
  <c r="U58" i="65"/>
  <c r="V49" i="65"/>
  <c r="Y83" i="65"/>
  <c r="Y6" i="63"/>
  <c r="U6" i="63"/>
  <c r="U49" i="63"/>
  <c r="D4" i="64"/>
  <c r="AA58" i="63"/>
  <c r="AA72" i="63"/>
  <c r="AA79" i="63"/>
  <c r="AA95" i="63"/>
  <c r="AA100" i="63"/>
  <c r="AA135" i="63"/>
  <c r="AA122" i="63"/>
  <c r="AA117" i="63"/>
  <c r="AA112" i="63"/>
  <c r="AA165" i="63"/>
  <c r="AA170" i="63" s="1"/>
  <c r="AA158" i="63"/>
  <c r="AA183" i="63"/>
  <c r="Z58" i="63"/>
  <c r="Z83" i="63"/>
  <c r="Z95" i="63"/>
  <c r="Z100" i="63"/>
  <c r="Z104" i="63"/>
  <c r="Z135" i="63"/>
  <c r="Z122" i="63"/>
  <c r="Z117" i="63"/>
  <c r="Z112" i="63"/>
  <c r="Z165" i="63"/>
  <c r="Z158" i="63"/>
  <c r="Z183" i="63"/>
  <c r="Y49" i="63"/>
  <c r="Y58" i="63"/>
  <c r="Y72" i="63"/>
  <c r="Y79" i="63"/>
  <c r="Y83" i="63"/>
  <c r="Y95" i="63"/>
  <c r="Y104" i="63" s="1"/>
  <c r="Y100" i="63"/>
  <c r="Y90" i="63"/>
  <c r="Y135" i="63"/>
  <c r="Y122" i="63"/>
  <c r="Y117" i="63"/>
  <c r="Y112" i="63"/>
  <c r="Y165" i="63"/>
  <c r="Y170" i="63" s="1"/>
  <c r="Y158" i="63"/>
  <c r="Y183" i="63"/>
  <c r="X49" i="63"/>
  <c r="X72" i="63"/>
  <c r="X79" i="63"/>
  <c r="X95" i="63"/>
  <c r="X100" i="63"/>
  <c r="X90" i="63"/>
  <c r="X135" i="63"/>
  <c r="X122" i="63"/>
  <c r="X117" i="63"/>
  <c r="X112" i="63"/>
  <c r="X165" i="63"/>
  <c r="X158" i="63"/>
  <c r="X183" i="63"/>
  <c r="W72" i="63"/>
  <c r="W79" i="63"/>
  <c r="W83" i="63"/>
  <c r="W95" i="63"/>
  <c r="W100" i="63"/>
  <c r="W104" i="63"/>
  <c r="W135" i="63"/>
  <c r="W122" i="63"/>
  <c r="W117" i="63"/>
  <c r="W112" i="63"/>
  <c r="W139" i="63"/>
  <c r="W165" i="63"/>
  <c r="W158" i="63"/>
  <c r="W170" i="63"/>
  <c r="W183" i="63"/>
  <c r="V49" i="63"/>
  <c r="V72" i="63"/>
  <c r="V79" i="63"/>
  <c r="V95" i="63"/>
  <c r="V104" i="63" s="1"/>
  <c r="V100" i="63"/>
  <c r="V135" i="63"/>
  <c r="V122" i="63"/>
  <c r="V117" i="63"/>
  <c r="V112" i="63"/>
  <c r="V165" i="63"/>
  <c r="V158" i="63"/>
  <c r="V183" i="63"/>
  <c r="U58" i="63"/>
  <c r="U72" i="63"/>
  <c r="U79" i="63"/>
  <c r="U83" i="63" s="1"/>
  <c r="U95" i="63"/>
  <c r="U100" i="63"/>
  <c r="U90" i="63"/>
  <c r="U104" i="63" s="1"/>
  <c r="U135" i="63"/>
  <c r="U122" i="63"/>
  <c r="U117" i="63"/>
  <c r="U112" i="63"/>
  <c r="U165" i="63"/>
  <c r="U158" i="63"/>
  <c r="U183" i="63"/>
  <c r="AA90" i="63"/>
  <c r="Z90" i="63"/>
  <c r="W90" i="63"/>
  <c r="V90" i="63"/>
  <c r="Z79" i="63"/>
  <c r="Z72" i="63"/>
  <c r="A6" i="61"/>
  <c r="A8" i="61"/>
  <c r="A9" i="61"/>
  <c r="A10" i="61"/>
  <c r="A11" i="61"/>
  <c r="A12" i="61"/>
  <c r="A13" i="61"/>
  <c r="A14" i="61"/>
  <c r="A15" i="61"/>
  <c r="A16" i="61"/>
  <c r="A17" i="61"/>
  <c r="A18" i="61"/>
  <c r="A19" i="61"/>
  <c r="A20" i="61"/>
  <c r="A21" i="61"/>
  <c r="A22" i="61"/>
  <c r="A23" i="61"/>
  <c r="A24" i="61"/>
  <c r="A25" i="61"/>
  <c r="A26" i="61"/>
  <c r="A27" i="61"/>
  <c r="A28" i="61"/>
  <c r="A29" i="61"/>
  <c r="A30" i="61"/>
  <c r="A31" i="61"/>
  <c r="A32" i="61"/>
  <c r="A33" i="61"/>
  <c r="A34" i="61"/>
  <c r="A35" i="61"/>
  <c r="A36" i="61"/>
  <c r="A37" i="61"/>
  <c r="A38" i="61"/>
  <c r="A39" i="61"/>
  <c r="A40" i="61"/>
  <c r="A41" i="61"/>
  <c r="A42" i="61"/>
  <c r="A43" i="61"/>
  <c r="A44" i="61"/>
  <c r="A45" i="61"/>
  <c r="A46" i="61"/>
  <c r="A47" i="61"/>
  <c r="A48" i="61"/>
  <c r="A49" i="61"/>
  <c r="A50" i="61"/>
  <c r="A51" i="61"/>
  <c r="A52" i="61"/>
  <c r="A53" i="61"/>
  <c r="A54" i="61"/>
  <c r="A55" i="61"/>
  <c r="A56" i="61"/>
  <c r="A57" i="61"/>
  <c r="A58" i="61"/>
  <c r="A59" i="61"/>
  <c r="A60" i="61"/>
  <c r="A61" i="61"/>
  <c r="A62" i="61"/>
  <c r="A63" i="61"/>
  <c r="A64" i="61"/>
  <c r="A65" i="61"/>
  <c r="A66" i="61"/>
  <c r="A67" i="61"/>
  <c r="A68" i="61"/>
  <c r="A69" i="61"/>
  <c r="A70" i="61"/>
  <c r="A71" i="61"/>
  <c r="A72" i="61"/>
  <c r="A73" i="61"/>
  <c r="A74" i="61"/>
  <c r="A75" i="61"/>
  <c r="A76" i="61"/>
  <c r="A77" i="61"/>
  <c r="A78" i="61"/>
  <c r="A79" i="61"/>
  <c r="A82" i="61"/>
  <c r="A83" i="61"/>
  <c r="A84" i="61"/>
  <c r="A85" i="61"/>
  <c r="A86" i="61"/>
  <c r="A87" i="61"/>
  <c r="A88" i="61"/>
  <c r="A89" i="61"/>
  <c r="A90" i="61"/>
  <c r="A91" i="61"/>
  <c r="A92" i="61"/>
  <c r="A93" i="61"/>
  <c r="A94" i="61"/>
  <c r="A95" i="61"/>
  <c r="A96" i="61"/>
  <c r="A97" i="61"/>
  <c r="A98" i="61"/>
  <c r="A99" i="61"/>
  <c r="A100" i="61"/>
  <c r="A101" i="61"/>
  <c r="A102" i="61"/>
  <c r="A103" i="61"/>
  <c r="A104" i="61"/>
  <c r="A105" i="61"/>
  <c r="A106" i="61"/>
  <c r="A107" i="61"/>
  <c r="A108" i="61"/>
  <c r="A109" i="61"/>
  <c r="A110" i="61"/>
  <c r="A111" i="61"/>
  <c r="A112" i="61"/>
  <c r="A113" i="61"/>
  <c r="A114" i="61"/>
  <c r="A115" i="61"/>
  <c r="A116" i="61"/>
  <c r="A117" i="61"/>
  <c r="A118" i="61"/>
  <c r="A119" i="61"/>
  <c r="A120" i="61"/>
  <c r="A121" i="61"/>
  <c r="A122" i="61"/>
  <c r="A123" i="61"/>
  <c r="A124" i="61"/>
  <c r="A125" i="61"/>
  <c r="A126" i="61"/>
  <c r="A127" i="61"/>
  <c r="A128" i="61"/>
  <c r="A129" i="61"/>
  <c r="A130" i="61"/>
  <c r="A131" i="61"/>
  <c r="A132" i="61"/>
  <c r="A133" i="61"/>
  <c r="A134" i="61"/>
  <c r="A135" i="61"/>
  <c r="A138" i="61"/>
  <c r="A139" i="61"/>
  <c r="A140" i="61"/>
  <c r="A141" i="61"/>
  <c r="A142" i="61"/>
  <c r="A143" i="61"/>
  <c r="A144" i="61"/>
  <c r="A145" i="61"/>
  <c r="A146" i="61"/>
  <c r="A147" i="61"/>
  <c r="A148" i="61"/>
  <c r="A149" i="61"/>
  <c r="A150" i="61"/>
  <c r="A151" i="61"/>
  <c r="A152" i="61"/>
  <c r="A153" i="61"/>
  <c r="A154" i="61"/>
  <c r="A155" i="61"/>
  <c r="A156" i="61"/>
  <c r="A157" i="61"/>
  <c r="A158" i="61"/>
  <c r="A159" i="61"/>
  <c r="A160" i="61"/>
  <c r="A161" i="61"/>
  <c r="A162" i="61"/>
  <c r="A163" i="61"/>
  <c r="A164" i="61"/>
  <c r="A165" i="61"/>
  <c r="A166" i="61"/>
  <c r="A167" i="61"/>
  <c r="A168" i="61"/>
  <c r="A169" i="61"/>
  <c r="A170" i="61"/>
  <c r="A171" i="61"/>
  <c r="A172" i="61"/>
  <c r="A173" i="61"/>
  <c r="A174" i="61"/>
  <c r="A175" i="61"/>
  <c r="A176" i="61"/>
  <c r="A177" i="61"/>
  <c r="A178" i="61"/>
  <c r="A179" i="61"/>
  <c r="A180" i="61"/>
  <c r="A181" i="61"/>
  <c r="A182" i="61"/>
  <c r="A183" i="61"/>
  <c r="A184" i="61"/>
  <c r="A185" i="61"/>
  <c r="A186" i="61"/>
  <c r="A187" i="61"/>
  <c r="A188" i="61"/>
  <c r="A189" i="61"/>
  <c r="A190" i="61"/>
  <c r="A191" i="61"/>
  <c r="A192" i="61"/>
  <c r="A193" i="61"/>
  <c r="A194" i="61"/>
  <c r="A195" i="61"/>
  <c r="A196" i="61"/>
  <c r="A197" i="61"/>
  <c r="A198" i="61"/>
  <c r="A199" i="61"/>
  <c r="A200" i="61"/>
  <c r="A201" i="61"/>
  <c r="A202" i="61"/>
  <c r="A203" i="61"/>
  <c r="A204" i="61"/>
  <c r="A205" i="61"/>
  <c r="A206" i="61"/>
  <c r="A207" i="61"/>
  <c r="A208" i="61"/>
  <c r="AB9" i="61"/>
  <c r="AB10" i="61"/>
  <c r="AB11" i="61"/>
  <c r="AB12" i="61"/>
  <c r="AB13" i="61"/>
  <c r="AB14" i="61"/>
  <c r="AB15" i="61"/>
  <c r="AB16" i="61"/>
  <c r="AB17" i="61"/>
  <c r="AB18" i="61"/>
  <c r="AB19" i="61"/>
  <c r="AB20" i="61"/>
  <c r="AB21" i="61"/>
  <c r="AB22" i="61"/>
  <c r="AB23" i="61"/>
  <c r="Y24" i="61"/>
  <c r="AB24" i="61"/>
  <c r="Y25" i="61"/>
  <c r="AB25" i="61" s="1"/>
  <c r="Y26" i="61"/>
  <c r="AB26" i="61"/>
  <c r="Y27" i="61"/>
  <c r="AB27" i="61" s="1"/>
  <c r="Y28" i="61"/>
  <c r="AB28" i="61" s="1"/>
  <c r="Y29" i="61"/>
  <c r="AB29" i="61" s="1"/>
  <c r="Y30" i="61"/>
  <c r="AB30" i="61"/>
  <c r="Y31" i="61"/>
  <c r="AB31" i="61" s="1"/>
  <c r="AB32" i="61"/>
  <c r="AB33" i="61"/>
  <c r="Y34" i="61"/>
  <c r="AB34" i="61" s="1"/>
  <c r="AB35" i="61"/>
  <c r="AB36" i="61"/>
  <c r="AB37" i="61"/>
  <c r="AB38" i="61"/>
  <c r="AB39" i="61"/>
  <c r="AB40" i="61"/>
  <c r="AB41" i="61"/>
  <c r="AB42" i="61"/>
  <c r="AB43" i="61"/>
  <c r="AB44" i="61"/>
  <c r="AB45" i="61"/>
  <c r="AB46" i="61"/>
  <c r="AB47" i="61"/>
  <c r="AB52" i="61"/>
  <c r="AB53" i="61"/>
  <c r="AB54" i="61"/>
  <c r="AB55" i="61"/>
  <c r="AB56" i="61"/>
  <c r="AB62" i="61"/>
  <c r="AB63" i="61"/>
  <c r="AB64" i="61"/>
  <c r="AB65" i="61"/>
  <c r="AB66" i="61"/>
  <c r="AB67" i="61"/>
  <c r="AB68" i="61"/>
  <c r="AB69" i="61"/>
  <c r="AB70" i="61"/>
  <c r="AB75" i="61"/>
  <c r="AB76" i="61"/>
  <c r="AB79" i="61" s="1"/>
  <c r="AB77" i="61"/>
  <c r="AB78" i="61"/>
  <c r="AB81" i="61"/>
  <c r="AB89" i="61"/>
  <c r="AB90" i="61"/>
  <c r="AB95" i="61"/>
  <c r="AB98" i="61"/>
  <c r="AB100" i="61" s="1"/>
  <c r="AB104" i="61" s="1"/>
  <c r="AB99" i="61"/>
  <c r="AB109" i="61"/>
  <c r="AB110" i="61"/>
  <c r="AB111" i="61"/>
  <c r="AB117" i="61"/>
  <c r="AB122" i="61"/>
  <c r="AB125" i="61"/>
  <c r="AB126" i="61"/>
  <c r="AB127" i="61"/>
  <c r="AB128" i="61"/>
  <c r="AB129" i="61"/>
  <c r="AB130" i="61"/>
  <c r="AB131" i="61"/>
  <c r="AB132" i="61"/>
  <c r="AB141" i="61"/>
  <c r="AB142" i="61"/>
  <c r="AB143" i="61"/>
  <c r="AB144" i="61"/>
  <c r="AB145" i="61"/>
  <c r="AB146" i="61"/>
  <c r="AB147" i="61"/>
  <c r="AB148" i="61"/>
  <c r="AB149" i="61"/>
  <c r="AB150" i="61"/>
  <c r="AB151" i="61"/>
  <c r="AB152" i="61"/>
  <c r="AB153" i="61"/>
  <c r="AB154" i="61"/>
  <c r="AB155" i="61"/>
  <c r="AB156" i="61"/>
  <c r="AB157" i="61"/>
  <c r="AB160" i="61"/>
  <c r="AB161" i="61"/>
  <c r="AB162" i="61"/>
  <c r="AB163" i="61"/>
  <c r="AB164" i="61"/>
  <c r="AB167" i="61"/>
  <c r="AB174" i="61"/>
  <c r="AB175" i="61"/>
  <c r="AB176" i="61"/>
  <c r="AB177" i="61"/>
  <c r="AB178" i="61"/>
  <c r="AB179" i="61"/>
  <c r="AB180" i="61"/>
  <c r="AB181" i="61"/>
  <c r="AB182" i="61"/>
  <c r="E51" i="62"/>
  <c r="E24" i="62"/>
  <c r="U6" i="61"/>
  <c r="U141" i="61"/>
  <c r="D4" i="62"/>
  <c r="AA183" i="61"/>
  <c r="Z183" i="61"/>
  <c r="Y183" i="61"/>
  <c r="X183" i="61"/>
  <c r="W183" i="61"/>
  <c r="V183" i="61"/>
  <c r="U183" i="61"/>
  <c r="Z165" i="61"/>
  <c r="Z158" i="61"/>
  <c r="AA165" i="61"/>
  <c r="AA158" i="61"/>
  <c r="Y165" i="61"/>
  <c r="X165" i="61"/>
  <c r="X170" i="61" s="1"/>
  <c r="X158" i="61"/>
  <c r="W165" i="61"/>
  <c r="W158" i="61"/>
  <c r="V165" i="61"/>
  <c r="U165" i="61"/>
  <c r="Y158" i="61"/>
  <c r="V158" i="61"/>
  <c r="V170" i="61" s="1"/>
  <c r="U158" i="61"/>
  <c r="AA135" i="61"/>
  <c r="Z135" i="61"/>
  <c r="Z122" i="61"/>
  <c r="Z139" i="61" s="1"/>
  <c r="Z117" i="61"/>
  <c r="Z112" i="61"/>
  <c r="Y135" i="61"/>
  <c r="X135" i="61"/>
  <c r="W135" i="61"/>
  <c r="V135" i="61"/>
  <c r="V122" i="61"/>
  <c r="V139" i="61" s="1"/>
  <c r="V117" i="61"/>
  <c r="V112" i="61"/>
  <c r="U135" i="61"/>
  <c r="AA122" i="61"/>
  <c r="Y122" i="61"/>
  <c r="X122" i="61"/>
  <c r="W122" i="61"/>
  <c r="U122" i="61"/>
  <c r="AA117" i="61"/>
  <c r="Y117" i="61"/>
  <c r="X117" i="61"/>
  <c r="X112" i="61"/>
  <c r="W117" i="61"/>
  <c r="W112" i="61"/>
  <c r="U117" i="61"/>
  <c r="AA112" i="61"/>
  <c r="Y112" i="61"/>
  <c r="U112" i="61"/>
  <c r="AA100" i="61"/>
  <c r="AA104" i="61" s="1"/>
  <c r="AA95" i="61"/>
  <c r="Z100" i="61"/>
  <c r="Y100" i="61"/>
  <c r="X100" i="61"/>
  <c r="X95" i="61"/>
  <c r="X90" i="61"/>
  <c r="W100" i="61"/>
  <c r="W95" i="61"/>
  <c r="W104" i="61" s="1"/>
  <c r="V100" i="61"/>
  <c r="U100" i="61"/>
  <c r="Z95" i="61"/>
  <c r="Z104" i="61" s="1"/>
  <c r="Y95" i="61"/>
  <c r="V95" i="61"/>
  <c r="V104" i="61"/>
  <c r="U95" i="61"/>
  <c r="U104" i="61" s="1"/>
  <c r="AA90" i="61"/>
  <c r="Z90" i="61"/>
  <c r="Y90" i="61"/>
  <c r="W90" i="61"/>
  <c r="V90" i="61"/>
  <c r="U90" i="61"/>
  <c r="AA72" i="61"/>
  <c r="AA79" i="61"/>
  <c r="Z83" i="61"/>
  <c r="Z79" i="61"/>
  <c r="Y79" i="61"/>
  <c r="X79" i="61"/>
  <c r="X83" i="61" s="1"/>
  <c r="W79" i="61"/>
  <c r="W72" i="61"/>
  <c r="V79" i="61"/>
  <c r="U79" i="61"/>
  <c r="Z72" i="61"/>
  <c r="Y72" i="61"/>
  <c r="X72" i="61"/>
  <c r="V72" i="61"/>
  <c r="V83" i="61" s="1"/>
  <c r="U72" i="61"/>
  <c r="U83" i="61" s="1"/>
  <c r="AA58" i="61"/>
  <c r="Z58" i="61"/>
  <c r="Y58" i="61"/>
  <c r="U58" i="61"/>
  <c r="X49" i="61"/>
  <c r="V49" i="61"/>
  <c r="U49" i="61"/>
  <c r="Y49" i="61"/>
  <c r="Y83" i="61"/>
  <c r="Y24" i="58"/>
  <c r="Y49" i="58" s="1"/>
  <c r="Y58" i="58"/>
  <c r="Y72" i="58"/>
  <c r="Y79" i="58"/>
  <c r="Y95" i="58"/>
  <c r="Y100" i="58"/>
  <c r="Y90" i="58"/>
  <c r="Y135" i="58"/>
  <c r="Y122" i="58"/>
  <c r="Y117" i="58"/>
  <c r="Y112" i="58"/>
  <c r="Y165" i="58"/>
  <c r="Y158" i="58"/>
  <c r="Y183" i="58"/>
  <c r="A6" i="58"/>
  <c r="A8" i="58"/>
  <c r="A9" i="58"/>
  <c r="E47" i="59" s="1"/>
  <c r="A10" i="58"/>
  <c r="A11" i="58"/>
  <c r="A12" i="58"/>
  <c r="A13" i="58"/>
  <c r="A14" i="58"/>
  <c r="A15" i="58"/>
  <c r="A16" i="58"/>
  <c r="A17" i="58"/>
  <c r="A18" i="58"/>
  <c r="A19" i="58"/>
  <c r="A20" i="58"/>
  <c r="A21" i="58"/>
  <c r="A22" i="58"/>
  <c r="A23" i="58"/>
  <c r="A24" i="58"/>
  <c r="A25" i="58"/>
  <c r="A26" i="58"/>
  <c r="A27" i="58"/>
  <c r="A28" i="58"/>
  <c r="A29" i="58"/>
  <c r="A30" i="58"/>
  <c r="A31" i="58"/>
  <c r="A32" i="58"/>
  <c r="A33" i="58"/>
  <c r="A34" i="58"/>
  <c r="A35" i="58"/>
  <c r="A36" i="58"/>
  <c r="A37" i="58"/>
  <c r="A38" i="58"/>
  <c r="A39" i="58"/>
  <c r="A40" i="58"/>
  <c r="A41" i="58"/>
  <c r="A42" i="58"/>
  <c r="A43" i="58"/>
  <c r="A44" i="58"/>
  <c r="A45" i="58"/>
  <c r="A46" i="58"/>
  <c r="A47" i="58"/>
  <c r="A48" i="58"/>
  <c r="A49" i="58"/>
  <c r="A50" i="58"/>
  <c r="A51" i="58"/>
  <c r="A52" i="58"/>
  <c r="A53" i="58"/>
  <c r="A54" i="58"/>
  <c r="A55" i="58"/>
  <c r="A56" i="58"/>
  <c r="A57" i="58"/>
  <c r="A58" i="58"/>
  <c r="A59" i="58"/>
  <c r="A60" i="58"/>
  <c r="A61" i="58"/>
  <c r="A62" i="58"/>
  <c r="A63" i="58"/>
  <c r="A64" i="58"/>
  <c r="A65" i="58"/>
  <c r="A66" i="58"/>
  <c r="A67" i="58"/>
  <c r="A68" i="58"/>
  <c r="A69" i="58"/>
  <c r="A70" i="58"/>
  <c r="A71" i="58"/>
  <c r="A72" i="58"/>
  <c r="A73" i="58"/>
  <c r="A74" i="58"/>
  <c r="A75" i="58"/>
  <c r="A76" i="58"/>
  <c r="A77" i="58"/>
  <c r="A78" i="58"/>
  <c r="A79" i="58"/>
  <c r="A82" i="58"/>
  <c r="A83" i="58"/>
  <c r="A84" i="58"/>
  <c r="A85" i="58"/>
  <c r="A86" i="58"/>
  <c r="A87" i="58"/>
  <c r="A88" i="58"/>
  <c r="A89" i="58"/>
  <c r="A90" i="58"/>
  <c r="A91" i="58"/>
  <c r="A92" i="58"/>
  <c r="A93" i="58"/>
  <c r="A94" i="58"/>
  <c r="A95" i="58"/>
  <c r="A96" i="58"/>
  <c r="A97" i="58"/>
  <c r="A98" i="58"/>
  <c r="A99" i="58"/>
  <c r="A100" i="58"/>
  <c r="A101" i="58"/>
  <c r="A102" i="58"/>
  <c r="A103" i="58"/>
  <c r="A104" i="58"/>
  <c r="A105" i="58"/>
  <c r="A106" i="58"/>
  <c r="A107" i="58"/>
  <c r="A108" i="58"/>
  <c r="A109" i="58"/>
  <c r="A110" i="58"/>
  <c r="A111" i="58"/>
  <c r="A112" i="58"/>
  <c r="A113" i="58"/>
  <c r="A114" i="58"/>
  <c r="A115" i="58"/>
  <c r="A116" i="58"/>
  <c r="A117" i="58"/>
  <c r="A118" i="58"/>
  <c r="A119" i="58"/>
  <c r="A120" i="58"/>
  <c r="A121" i="58"/>
  <c r="A122" i="58"/>
  <c r="A123" i="58"/>
  <c r="A124" i="58"/>
  <c r="A125" i="58"/>
  <c r="A126" i="58"/>
  <c r="A127" i="58"/>
  <c r="A128" i="58"/>
  <c r="A129" i="58"/>
  <c r="A130" i="58"/>
  <c r="A131" i="58"/>
  <c r="A132" i="58"/>
  <c r="A133" i="58"/>
  <c r="A134" i="58"/>
  <c r="A135" i="58"/>
  <c r="A138" i="58"/>
  <c r="A139" i="58"/>
  <c r="A140" i="58"/>
  <c r="A141" i="58"/>
  <c r="A142" i="58"/>
  <c r="A143" i="58"/>
  <c r="A144" i="58"/>
  <c r="A145" i="58"/>
  <c r="A146" i="58"/>
  <c r="A147" i="58"/>
  <c r="A148" i="58"/>
  <c r="A149" i="58"/>
  <c r="A150" i="58"/>
  <c r="A151" i="58"/>
  <c r="A152" i="58"/>
  <c r="A153" i="58"/>
  <c r="A154" i="58"/>
  <c r="A155" i="58"/>
  <c r="A156" i="58"/>
  <c r="A157" i="58"/>
  <c r="A158" i="58"/>
  <c r="A159" i="58"/>
  <c r="A160" i="58"/>
  <c r="A161" i="58"/>
  <c r="A162" i="58"/>
  <c r="A163" i="58"/>
  <c r="A164" i="58"/>
  <c r="A165" i="58"/>
  <c r="A166" i="58"/>
  <c r="A167" i="58"/>
  <c r="A168" i="58"/>
  <c r="A169" i="58"/>
  <c r="A170" i="58"/>
  <c r="A171" i="58"/>
  <c r="A172" i="58"/>
  <c r="A173" i="58"/>
  <c r="A174" i="58"/>
  <c r="A175" i="58"/>
  <c r="A176" i="58"/>
  <c r="A177" i="58"/>
  <c r="A178" i="58"/>
  <c r="A179" i="58"/>
  <c r="A180" i="58"/>
  <c r="A181" i="58"/>
  <c r="A182" i="58"/>
  <c r="A183" i="58"/>
  <c r="A184" i="58"/>
  <c r="A185" i="58"/>
  <c r="A186" i="58"/>
  <c r="A187" i="58"/>
  <c r="A188" i="58"/>
  <c r="A189" i="58"/>
  <c r="A190" i="58"/>
  <c r="A191" i="58"/>
  <c r="A192" i="58"/>
  <c r="A193" i="58"/>
  <c r="A194" i="58"/>
  <c r="A195" i="58"/>
  <c r="A196" i="58"/>
  <c r="A197" i="58"/>
  <c r="A198" i="58"/>
  <c r="A199" i="58"/>
  <c r="A200" i="58"/>
  <c r="A201" i="58"/>
  <c r="A202" i="58"/>
  <c r="A203" i="58"/>
  <c r="A204" i="58"/>
  <c r="A205" i="58"/>
  <c r="E42" i="59" s="1"/>
  <c r="A206" i="58"/>
  <c r="A207" i="58"/>
  <c r="A208" i="58"/>
  <c r="E60" i="59"/>
  <c r="E24" i="59"/>
  <c r="E20" i="59"/>
  <c r="AB174" i="58"/>
  <c r="AB175" i="58"/>
  <c r="AB176" i="58"/>
  <c r="AB177" i="58"/>
  <c r="AB178" i="58"/>
  <c r="AB179" i="58"/>
  <c r="AB180" i="58"/>
  <c r="AB181" i="58"/>
  <c r="AB182" i="58"/>
  <c r="AB167" i="58"/>
  <c r="AB157" i="58"/>
  <c r="AB156" i="58"/>
  <c r="AB155" i="58"/>
  <c r="AB154" i="58"/>
  <c r="AB153" i="58"/>
  <c r="AB152" i="58"/>
  <c r="AB151" i="58"/>
  <c r="AB150" i="58"/>
  <c r="AB149" i="58"/>
  <c r="AB148" i="58"/>
  <c r="AB147" i="58"/>
  <c r="AB146" i="58"/>
  <c r="AB145" i="58"/>
  <c r="AB144" i="58"/>
  <c r="AB143" i="58"/>
  <c r="AB142" i="58"/>
  <c r="AB141" i="58"/>
  <c r="AB164" i="58"/>
  <c r="AB163" i="58"/>
  <c r="AB162" i="58"/>
  <c r="AB161" i="58"/>
  <c r="AB165" i="58" s="1"/>
  <c r="AB160" i="58"/>
  <c r="AB132" i="58"/>
  <c r="AB131" i="58"/>
  <c r="AB130" i="58"/>
  <c r="AB129" i="58"/>
  <c r="AB128" i="58"/>
  <c r="AB127" i="58"/>
  <c r="AB126" i="58"/>
  <c r="AB125" i="58"/>
  <c r="AB111" i="58"/>
  <c r="AB110" i="58"/>
  <c r="AB109" i="58"/>
  <c r="AB89" i="58"/>
  <c r="AB99" i="58"/>
  <c r="AB98" i="58"/>
  <c r="AB100" i="58" s="1"/>
  <c r="AB78" i="58"/>
  <c r="AB79" i="58" s="1"/>
  <c r="AB77" i="58"/>
  <c r="AB76" i="58"/>
  <c r="AB75" i="58"/>
  <c r="AB70" i="58"/>
  <c r="AB69" i="58"/>
  <c r="AB68" i="58"/>
  <c r="AB67" i="58"/>
  <c r="AB66" i="58"/>
  <c r="AB65" i="58"/>
  <c r="AB64" i="58"/>
  <c r="AB63" i="58"/>
  <c r="AB62" i="58"/>
  <c r="AB47" i="58"/>
  <c r="AB46" i="58"/>
  <c r="AB45" i="58"/>
  <c r="AB44" i="58"/>
  <c r="AB43" i="58"/>
  <c r="AB42" i="58"/>
  <c r="AB41" i="58"/>
  <c r="AB40" i="58"/>
  <c r="AB39" i="58"/>
  <c r="AB38" i="58"/>
  <c r="AB37" i="58"/>
  <c r="AB36" i="58"/>
  <c r="AB35" i="58"/>
  <c r="AB34" i="58"/>
  <c r="AB33" i="58"/>
  <c r="AB32" i="58"/>
  <c r="AB31" i="58"/>
  <c r="AB30" i="58"/>
  <c r="AB29" i="58"/>
  <c r="AB28" i="58"/>
  <c r="AB27" i="58"/>
  <c r="AB26" i="58"/>
  <c r="AB25" i="58"/>
  <c r="AB24" i="58"/>
  <c r="AB23" i="58"/>
  <c r="AB22" i="58"/>
  <c r="AB21" i="58"/>
  <c r="AB20" i="58"/>
  <c r="AB19" i="58"/>
  <c r="AB18" i="58"/>
  <c r="AB17" i="58"/>
  <c r="AB16" i="58"/>
  <c r="AB15" i="58"/>
  <c r="AB14" i="58"/>
  <c r="AB13" i="58"/>
  <c r="AB12" i="58"/>
  <c r="AB11" i="58"/>
  <c r="AB10" i="58"/>
  <c r="AB9" i="58"/>
  <c r="X49" i="58"/>
  <c r="V49" i="58"/>
  <c r="U49" i="58"/>
  <c r="Z135" i="58"/>
  <c r="Z122" i="58"/>
  <c r="Z139" i="58" s="1"/>
  <c r="Z117" i="58"/>
  <c r="Z112" i="58"/>
  <c r="Z95" i="58"/>
  <c r="Z104" i="58" s="1"/>
  <c r="Z100" i="58"/>
  <c r="AB81" i="58"/>
  <c r="Z83" i="58"/>
  <c r="AB56" i="58"/>
  <c r="AB55" i="58"/>
  <c r="AB54" i="58"/>
  <c r="AB53" i="58"/>
  <c r="AB52" i="58"/>
  <c r="AA58" i="58"/>
  <c r="Z58" i="58"/>
  <c r="U6" i="58"/>
  <c r="E13" i="59"/>
  <c r="D4" i="59"/>
  <c r="AA183" i="58"/>
  <c r="Z183" i="58"/>
  <c r="X183" i="58"/>
  <c r="W183" i="58"/>
  <c r="V183" i="58"/>
  <c r="U183" i="58"/>
  <c r="AA165" i="58"/>
  <c r="Z165" i="58"/>
  <c r="Z170" i="58" s="1"/>
  <c r="X165" i="58"/>
  <c r="W165" i="58"/>
  <c r="V165" i="58"/>
  <c r="U165" i="58"/>
  <c r="U170" i="58" s="1"/>
  <c r="U158" i="58"/>
  <c r="AA158" i="58"/>
  <c r="AA170" i="58" s="1"/>
  <c r="Z158" i="58"/>
  <c r="X158" i="58"/>
  <c r="X170" i="58" s="1"/>
  <c r="W158" i="58"/>
  <c r="V158" i="58"/>
  <c r="AA135" i="58"/>
  <c r="AA139" i="58" s="1"/>
  <c r="X135" i="58"/>
  <c r="W135" i="58"/>
  <c r="V135" i="58"/>
  <c r="V122" i="58"/>
  <c r="V117" i="58"/>
  <c r="V112" i="58"/>
  <c r="U135" i="58"/>
  <c r="AB122" i="58"/>
  <c r="AA122" i="58"/>
  <c r="X122" i="58"/>
  <c r="W122" i="58"/>
  <c r="U122" i="58"/>
  <c r="AB117" i="58"/>
  <c r="AA117" i="58"/>
  <c r="X117" i="58"/>
  <c r="W117" i="58"/>
  <c r="U117" i="58"/>
  <c r="AA112" i="58"/>
  <c r="X112" i="58"/>
  <c r="W112" i="58"/>
  <c r="U112" i="58"/>
  <c r="AA100" i="58"/>
  <c r="X100" i="58"/>
  <c r="X104" i="58" s="1"/>
  <c r="W100" i="58"/>
  <c r="V100" i="58"/>
  <c r="U100" i="58"/>
  <c r="AB95" i="58"/>
  <c r="AA95" i="58"/>
  <c r="AA104" i="58" s="1"/>
  <c r="X95" i="58"/>
  <c r="W95" i="58"/>
  <c r="W104" i="58"/>
  <c r="V95" i="58"/>
  <c r="V104" i="58" s="1"/>
  <c r="U95" i="58"/>
  <c r="U90" i="58"/>
  <c r="AB90" i="58"/>
  <c r="AA90" i="58"/>
  <c r="Z90" i="58"/>
  <c r="X90" i="58"/>
  <c r="W90" i="58"/>
  <c r="V90" i="58"/>
  <c r="AA79" i="58"/>
  <c r="Z79" i="58"/>
  <c r="X79" i="58"/>
  <c r="X83" i="58" s="1"/>
  <c r="W79" i="58"/>
  <c r="V79" i="58"/>
  <c r="U79" i="58"/>
  <c r="AA72" i="58"/>
  <c r="AA83" i="58" s="1"/>
  <c r="Z72" i="58"/>
  <c r="X72" i="58"/>
  <c r="W72" i="58"/>
  <c r="W83" i="58" s="1"/>
  <c r="V72" i="58"/>
  <c r="V83" i="58" s="1"/>
  <c r="U72" i="58"/>
  <c r="U58" i="58"/>
  <c r="AC58" i="56"/>
  <c r="AC72" i="56"/>
  <c r="AC79" i="56"/>
  <c r="AC81" i="56"/>
  <c r="AC93" i="56"/>
  <c r="AC98" i="56"/>
  <c r="AC88" i="56"/>
  <c r="AC102" i="56"/>
  <c r="AC133" i="56"/>
  <c r="AC120" i="56"/>
  <c r="AC115" i="56"/>
  <c r="AC110" i="56"/>
  <c r="AC161" i="56"/>
  <c r="AC154" i="56"/>
  <c r="AC179" i="56"/>
  <c r="Y115" i="56"/>
  <c r="X115" i="56"/>
  <c r="U115" i="56"/>
  <c r="Y93" i="56"/>
  <c r="Y98" i="56"/>
  <c r="Y102" i="56" s="1"/>
  <c r="Y88" i="56"/>
  <c r="X93" i="56"/>
  <c r="X98" i="56"/>
  <c r="X88" i="56"/>
  <c r="X102" i="56"/>
  <c r="U93" i="56"/>
  <c r="U98" i="56"/>
  <c r="U88" i="56"/>
  <c r="U102" i="56"/>
  <c r="U6" i="56"/>
  <c r="E13" i="57"/>
  <c r="D4" i="57"/>
  <c r="A204" i="56"/>
  <c r="A203" i="56"/>
  <c r="A202" i="56"/>
  <c r="A201" i="56"/>
  <c r="A200" i="56"/>
  <c r="A199" i="56"/>
  <c r="A198" i="56"/>
  <c r="A197" i="56"/>
  <c r="A196" i="56"/>
  <c r="A195" i="56"/>
  <c r="A194" i="56"/>
  <c r="A193" i="56"/>
  <c r="A192" i="56"/>
  <c r="A191" i="56"/>
  <c r="A190" i="56"/>
  <c r="A189" i="56"/>
  <c r="A188" i="56"/>
  <c r="A187" i="56"/>
  <c r="A186" i="56"/>
  <c r="A185" i="56"/>
  <c r="A184" i="56"/>
  <c r="A183" i="56"/>
  <c r="A182" i="56"/>
  <c r="A181" i="56"/>
  <c r="A180" i="56"/>
  <c r="AB179" i="56"/>
  <c r="AA179" i="56"/>
  <c r="Z179" i="56"/>
  <c r="Y179" i="56"/>
  <c r="X179" i="56"/>
  <c r="W179" i="56"/>
  <c r="V179" i="56"/>
  <c r="U179" i="56"/>
  <c r="A179" i="56"/>
  <c r="A178" i="56"/>
  <c r="A177" i="56"/>
  <c r="A176" i="56"/>
  <c r="A175" i="56"/>
  <c r="A174" i="56"/>
  <c r="A173" i="56"/>
  <c r="A172" i="56"/>
  <c r="A171" i="56"/>
  <c r="A170" i="56"/>
  <c r="A169" i="56"/>
  <c r="A168" i="56"/>
  <c r="A167" i="56"/>
  <c r="A166" i="56"/>
  <c r="A165" i="56"/>
  <c r="A164" i="56"/>
  <c r="A163" i="56"/>
  <c r="A162" i="56"/>
  <c r="AB161" i="56"/>
  <c r="AA161" i="56"/>
  <c r="Z161" i="56"/>
  <c r="Z166" i="56" s="1"/>
  <c r="Y161" i="56"/>
  <c r="X161" i="56"/>
  <c r="W161" i="56"/>
  <c r="V161" i="56"/>
  <c r="V166" i="56" s="1"/>
  <c r="U161" i="56"/>
  <c r="A161" i="56"/>
  <c r="A160" i="56"/>
  <c r="A159" i="56"/>
  <c r="A158" i="56"/>
  <c r="A157" i="56"/>
  <c r="A156" i="56"/>
  <c r="A155" i="56"/>
  <c r="AB154" i="56"/>
  <c r="AA154" i="56"/>
  <c r="AA166" i="56" s="1"/>
  <c r="Z154" i="56"/>
  <c r="Y154" i="56"/>
  <c r="X154" i="56"/>
  <c r="W154" i="56"/>
  <c r="V154" i="56"/>
  <c r="U154" i="56"/>
  <c r="U166" i="56" s="1"/>
  <c r="A154" i="56"/>
  <c r="A153" i="56"/>
  <c r="A152" i="56"/>
  <c r="A151" i="56"/>
  <c r="A150" i="56"/>
  <c r="A149" i="56"/>
  <c r="A148" i="56"/>
  <c r="A147" i="56"/>
  <c r="A146" i="56"/>
  <c r="A145" i="56"/>
  <c r="A144" i="56"/>
  <c r="A143" i="56"/>
  <c r="A142" i="56"/>
  <c r="A141" i="56"/>
  <c r="A140" i="56"/>
  <c r="A139" i="56"/>
  <c r="A138" i="56"/>
  <c r="A137" i="56"/>
  <c r="A136" i="56"/>
  <c r="A135" i="56"/>
  <c r="A134" i="56"/>
  <c r="AB133" i="56"/>
  <c r="AA133" i="56"/>
  <c r="Z133" i="56"/>
  <c r="Y133" i="56"/>
  <c r="X133" i="56"/>
  <c r="W133" i="56"/>
  <c r="V133" i="56"/>
  <c r="U133" i="56"/>
  <c r="A133" i="56"/>
  <c r="A132" i="56"/>
  <c r="A131" i="56"/>
  <c r="A130" i="56"/>
  <c r="A129" i="56"/>
  <c r="A128" i="56"/>
  <c r="A127" i="56"/>
  <c r="A126" i="56"/>
  <c r="A125" i="56"/>
  <c r="A124" i="56"/>
  <c r="A123" i="56"/>
  <c r="A122" i="56"/>
  <c r="A121" i="56"/>
  <c r="AB120" i="56"/>
  <c r="AA120" i="56"/>
  <c r="Z120" i="56"/>
  <c r="Y120" i="56"/>
  <c r="X120" i="56"/>
  <c r="W120" i="56"/>
  <c r="W135" i="56" s="1"/>
  <c r="V120" i="56"/>
  <c r="U120" i="56"/>
  <c r="A120" i="56"/>
  <c r="A119" i="56"/>
  <c r="A118" i="56"/>
  <c r="A117" i="56"/>
  <c r="A116" i="56"/>
  <c r="AB115" i="56"/>
  <c r="AA115" i="56"/>
  <c r="Z115" i="56"/>
  <c r="W115" i="56"/>
  <c r="V115" i="56"/>
  <c r="A115" i="56"/>
  <c r="A114" i="56"/>
  <c r="A113" i="56"/>
  <c r="A112" i="56"/>
  <c r="A111" i="56"/>
  <c r="AB110" i="56"/>
  <c r="AA110" i="56"/>
  <c r="Z110" i="56"/>
  <c r="Y110" i="56"/>
  <c r="X110" i="56"/>
  <c r="W110" i="56"/>
  <c r="V110" i="56"/>
  <c r="U110" i="56"/>
  <c r="A110" i="56"/>
  <c r="A109" i="56"/>
  <c r="A108" i="56"/>
  <c r="A107" i="56"/>
  <c r="A106" i="56"/>
  <c r="A105" i="56"/>
  <c r="A104" i="56"/>
  <c r="A103" i="56"/>
  <c r="A102" i="56"/>
  <c r="A101" i="56"/>
  <c r="A100" i="56"/>
  <c r="A99" i="56"/>
  <c r="AB98" i="56"/>
  <c r="AA98" i="56"/>
  <c r="Z98" i="56"/>
  <c r="Z102" i="56" s="1"/>
  <c r="W98" i="56"/>
  <c r="W102" i="56" s="1"/>
  <c r="V98" i="56"/>
  <c r="A98" i="56"/>
  <c r="A97" i="56"/>
  <c r="A96" i="56"/>
  <c r="A95" i="56"/>
  <c r="A94" i="56"/>
  <c r="AB93" i="56"/>
  <c r="AA93" i="56"/>
  <c r="AA102" i="56" s="1"/>
  <c r="Z93" i="56"/>
  <c r="W93" i="56"/>
  <c r="V93" i="56"/>
  <c r="A93" i="56"/>
  <c r="A92" i="56"/>
  <c r="A91" i="56"/>
  <c r="A90" i="56"/>
  <c r="A89" i="56"/>
  <c r="AB88" i="56"/>
  <c r="AA88" i="56"/>
  <c r="Z88" i="56"/>
  <c r="W88" i="56"/>
  <c r="V88" i="56"/>
  <c r="A88" i="56"/>
  <c r="A87" i="56"/>
  <c r="A86" i="56"/>
  <c r="A85" i="56"/>
  <c r="A84" i="56"/>
  <c r="A83" i="56"/>
  <c r="A82" i="56"/>
  <c r="U72" i="56"/>
  <c r="U79" i="56"/>
  <c r="A81" i="56"/>
  <c r="A80" i="56"/>
  <c r="AB79" i="56"/>
  <c r="AA79" i="56"/>
  <c r="Z79" i="56"/>
  <c r="Y79" i="56"/>
  <c r="X79" i="56"/>
  <c r="W79" i="56"/>
  <c r="V79" i="56"/>
  <c r="V81" i="56" s="1"/>
  <c r="A79" i="56"/>
  <c r="A78" i="56"/>
  <c r="A77" i="56"/>
  <c r="A76" i="56"/>
  <c r="A75" i="56"/>
  <c r="A74" i="56"/>
  <c r="A73" i="56"/>
  <c r="AB72" i="56"/>
  <c r="AA72" i="56"/>
  <c r="AA81" i="56" s="1"/>
  <c r="Z72" i="56"/>
  <c r="Y72" i="56"/>
  <c r="Y81" i="56" s="1"/>
  <c r="X72" i="56"/>
  <c r="W72" i="56"/>
  <c r="W81" i="56" s="1"/>
  <c r="V72" i="56"/>
  <c r="A72" i="56"/>
  <c r="A71" i="56"/>
  <c r="A70" i="56"/>
  <c r="A69" i="56"/>
  <c r="A68" i="56"/>
  <c r="A67" i="56"/>
  <c r="A66" i="56"/>
  <c r="A65" i="56"/>
  <c r="A64" i="56"/>
  <c r="A63" i="56"/>
  <c r="A62" i="56"/>
  <c r="A61" i="56"/>
  <c r="A60" i="56"/>
  <c r="A59" i="56"/>
  <c r="Y58" i="56"/>
  <c r="U58" i="56"/>
  <c r="A58" i="56"/>
  <c r="A57" i="56"/>
  <c r="A56" i="56"/>
  <c r="A55" i="56"/>
  <c r="A54" i="56"/>
  <c r="A53" i="56"/>
  <c r="A52" i="56"/>
  <c r="A51" i="56"/>
  <c r="A50" i="56"/>
  <c r="A49" i="56"/>
  <c r="A48" i="56"/>
  <c r="A47" i="56"/>
  <c r="A46" i="56"/>
  <c r="A45" i="56"/>
  <c r="A44" i="56"/>
  <c r="A43" i="56"/>
  <c r="A42" i="56"/>
  <c r="A41" i="56"/>
  <c r="A40" i="56"/>
  <c r="A39" i="56"/>
  <c r="A38" i="56"/>
  <c r="A37" i="56"/>
  <c r="A36" i="56"/>
  <c r="A35" i="56"/>
  <c r="A34" i="56"/>
  <c r="A33" i="56"/>
  <c r="A32" i="56"/>
  <c r="A31" i="56"/>
  <c r="A30" i="56"/>
  <c r="A29" i="56"/>
  <c r="A28" i="56"/>
  <c r="A27" i="56"/>
  <c r="A26" i="56"/>
  <c r="A25" i="56"/>
  <c r="A24" i="56"/>
  <c r="A23" i="56"/>
  <c r="A22" i="56"/>
  <c r="A21" i="56"/>
  <c r="A20" i="56"/>
  <c r="A19" i="56"/>
  <c r="A18" i="56"/>
  <c r="A17" i="56"/>
  <c r="A16" i="56"/>
  <c r="A15" i="56"/>
  <c r="A14" i="56"/>
  <c r="A13" i="56"/>
  <c r="A12" i="56"/>
  <c r="A11" i="56"/>
  <c r="A10" i="56"/>
  <c r="A9" i="56"/>
  <c r="A8" i="56"/>
  <c r="A6" i="56"/>
  <c r="AB166" i="56"/>
  <c r="W166" i="56"/>
  <c r="V102" i="56"/>
  <c r="AC49" i="54"/>
  <c r="AC58" i="54"/>
  <c r="AC72" i="54"/>
  <c r="AC79" i="54"/>
  <c r="AC93" i="54"/>
  <c r="AC98" i="54"/>
  <c r="AC133" i="54"/>
  <c r="AC120" i="54"/>
  <c r="AC115" i="54"/>
  <c r="AC110" i="54"/>
  <c r="AC161" i="54"/>
  <c r="AC166" i="54" s="1"/>
  <c r="AC154" i="54"/>
  <c r="AC179" i="54"/>
  <c r="AC88" i="54"/>
  <c r="AB88" i="54"/>
  <c r="AA88" i="54"/>
  <c r="Z88" i="54"/>
  <c r="Y88" i="54"/>
  <c r="X88" i="54"/>
  <c r="W88" i="54"/>
  <c r="V88" i="54"/>
  <c r="U88" i="54"/>
  <c r="U93" i="54"/>
  <c r="Y49" i="54"/>
  <c r="U49" i="54"/>
  <c r="U6" i="54"/>
  <c r="E13" i="55"/>
  <c r="D4" i="55"/>
  <c r="A204" i="54"/>
  <c r="A203" i="54"/>
  <c r="A202" i="54"/>
  <c r="A201" i="54"/>
  <c r="A200" i="54"/>
  <c r="A199" i="54"/>
  <c r="A198" i="54"/>
  <c r="A197" i="54"/>
  <c r="A196" i="54"/>
  <c r="A195" i="54"/>
  <c r="A194" i="54"/>
  <c r="A193" i="54"/>
  <c r="A192" i="54"/>
  <c r="A191" i="54"/>
  <c r="A190" i="54"/>
  <c r="A189" i="54"/>
  <c r="A188" i="54"/>
  <c r="A187" i="54"/>
  <c r="A186" i="54"/>
  <c r="A185" i="54"/>
  <c r="A184" i="54"/>
  <c r="A183" i="54"/>
  <c r="A182" i="54"/>
  <c r="A181" i="54"/>
  <c r="A180" i="54"/>
  <c r="AB179" i="54"/>
  <c r="AA179" i="54"/>
  <c r="Z179" i="54"/>
  <c r="Y179" i="54"/>
  <c r="X179" i="54"/>
  <c r="W179" i="54"/>
  <c r="V179" i="54"/>
  <c r="U179" i="54"/>
  <c r="A179" i="54"/>
  <c r="A178" i="54"/>
  <c r="A177" i="54"/>
  <c r="A176" i="54"/>
  <c r="A175" i="54"/>
  <c r="A174" i="54"/>
  <c r="A173" i="54"/>
  <c r="A172" i="54"/>
  <c r="A171" i="54"/>
  <c r="A170" i="54"/>
  <c r="A169" i="54"/>
  <c r="A168" i="54"/>
  <c r="A167" i="54"/>
  <c r="A166" i="54"/>
  <c r="A165" i="54"/>
  <c r="A164" i="54"/>
  <c r="A163" i="54"/>
  <c r="A162" i="54"/>
  <c r="AB161" i="54"/>
  <c r="AA161" i="54"/>
  <c r="Z161" i="54"/>
  <c r="Y161" i="54"/>
  <c r="Y166" i="54" s="1"/>
  <c r="X161" i="54"/>
  <c r="W161" i="54"/>
  <c r="V161" i="54"/>
  <c r="U161" i="54"/>
  <c r="A161" i="54"/>
  <c r="A160" i="54"/>
  <c r="A159" i="54"/>
  <c r="A158" i="54"/>
  <c r="A157" i="54"/>
  <c r="A156" i="54"/>
  <c r="A155" i="54"/>
  <c r="AB154" i="54"/>
  <c r="AA154" i="54"/>
  <c r="AA166" i="54" s="1"/>
  <c r="Z154" i="54"/>
  <c r="Y154" i="54"/>
  <c r="X154" i="54"/>
  <c r="W154" i="54"/>
  <c r="V154" i="54"/>
  <c r="V166" i="54" s="1"/>
  <c r="U154" i="54"/>
  <c r="A154" i="54"/>
  <c r="A153" i="54"/>
  <c r="A152" i="54"/>
  <c r="A151" i="54"/>
  <c r="A150" i="54"/>
  <c r="A149" i="54"/>
  <c r="A148" i="54"/>
  <c r="A147" i="54"/>
  <c r="A146" i="54"/>
  <c r="A145" i="54"/>
  <c r="A144" i="54"/>
  <c r="A143" i="54"/>
  <c r="A142" i="54"/>
  <c r="A141" i="54"/>
  <c r="A140" i="54"/>
  <c r="A139" i="54"/>
  <c r="A138" i="54"/>
  <c r="A137" i="54"/>
  <c r="A136" i="54"/>
  <c r="A135" i="54"/>
  <c r="A134" i="54"/>
  <c r="AB133" i="54"/>
  <c r="AA133" i="54"/>
  <c r="Z133" i="54"/>
  <c r="Y133" i="54"/>
  <c r="X133" i="54"/>
  <c r="W133" i="54"/>
  <c r="V133" i="54"/>
  <c r="U133" i="54"/>
  <c r="A133" i="54"/>
  <c r="A132" i="54"/>
  <c r="A131" i="54"/>
  <c r="A130" i="54"/>
  <c r="A129" i="54"/>
  <c r="A128" i="54"/>
  <c r="A127" i="54"/>
  <c r="A126" i="54"/>
  <c r="A125" i="54"/>
  <c r="A124" i="54"/>
  <c r="A123" i="54"/>
  <c r="A122" i="54"/>
  <c r="A121" i="54"/>
  <c r="AB120" i="54"/>
  <c r="AA120" i="54"/>
  <c r="Z120" i="54"/>
  <c r="Y120" i="54"/>
  <c r="X120" i="54"/>
  <c r="W120" i="54"/>
  <c r="V120" i="54"/>
  <c r="U120" i="54"/>
  <c r="A120" i="54"/>
  <c r="A119" i="54"/>
  <c r="A118" i="54"/>
  <c r="A117" i="54"/>
  <c r="A116" i="54"/>
  <c r="AB115" i="54"/>
  <c r="AA115" i="54"/>
  <c r="Z115" i="54"/>
  <c r="Y115" i="54"/>
  <c r="X115" i="54"/>
  <c r="W115" i="54"/>
  <c r="V115" i="54"/>
  <c r="U115" i="54"/>
  <c r="A115" i="54"/>
  <c r="A114" i="54"/>
  <c r="A113" i="54"/>
  <c r="A112" i="54"/>
  <c r="A111" i="54"/>
  <c r="AB110" i="54"/>
  <c r="AA110" i="54"/>
  <c r="Z110" i="54"/>
  <c r="Y110" i="54"/>
  <c r="X110" i="54"/>
  <c r="W110" i="54"/>
  <c r="V110" i="54"/>
  <c r="U110" i="54"/>
  <c r="A110" i="54"/>
  <c r="A109" i="54"/>
  <c r="A108" i="54"/>
  <c r="A107" i="54"/>
  <c r="A106" i="54"/>
  <c r="A105" i="54"/>
  <c r="A104" i="54"/>
  <c r="A103" i="54"/>
  <c r="A102" i="54"/>
  <c r="A101" i="54"/>
  <c r="A100" i="54"/>
  <c r="A99" i="54"/>
  <c r="AB98" i="54"/>
  <c r="AA98" i="54"/>
  <c r="AA102" i="54" s="1"/>
  <c r="Z98" i="54"/>
  <c r="Y98" i="54"/>
  <c r="X98" i="54"/>
  <c r="X102" i="54" s="1"/>
  <c r="W98" i="54"/>
  <c r="V98" i="54"/>
  <c r="U98" i="54"/>
  <c r="U102" i="54"/>
  <c r="A98" i="54"/>
  <c r="A97" i="54"/>
  <c r="A96" i="54"/>
  <c r="A95" i="54"/>
  <c r="A94" i="54"/>
  <c r="AB93" i="54"/>
  <c r="AA93" i="54"/>
  <c r="Z93" i="54"/>
  <c r="Y93" i="54"/>
  <c r="Y102" i="54" s="1"/>
  <c r="X93" i="54"/>
  <c r="W93" i="54"/>
  <c r="V93" i="54"/>
  <c r="A93" i="54"/>
  <c r="A92" i="54"/>
  <c r="A91" i="54"/>
  <c r="A90" i="54"/>
  <c r="A89" i="54"/>
  <c r="A88" i="54"/>
  <c r="A87" i="54"/>
  <c r="A86" i="54"/>
  <c r="A85" i="54"/>
  <c r="A84" i="54"/>
  <c r="A83" i="54"/>
  <c r="A82" i="54"/>
  <c r="U72" i="54"/>
  <c r="U81" i="54" s="1"/>
  <c r="U79" i="54"/>
  <c r="A81" i="54"/>
  <c r="A80" i="54"/>
  <c r="AB79" i="54"/>
  <c r="AA79" i="54"/>
  <c r="AA72" i="54"/>
  <c r="AA81" i="54"/>
  <c r="Z79" i="54"/>
  <c r="Y79" i="54"/>
  <c r="X79" i="54"/>
  <c r="W79" i="54"/>
  <c r="W81" i="54" s="1"/>
  <c r="W72" i="54"/>
  <c r="V79" i="54"/>
  <c r="A79" i="54"/>
  <c r="A78" i="54"/>
  <c r="A77" i="54"/>
  <c r="A76" i="54"/>
  <c r="A75" i="54"/>
  <c r="A74" i="54"/>
  <c r="A73" i="54"/>
  <c r="AB72" i="54"/>
  <c r="Z72" i="54"/>
  <c r="Z81" i="54"/>
  <c r="Y72" i="54"/>
  <c r="Y81" i="54" s="1"/>
  <c r="X72" i="54"/>
  <c r="X81" i="54"/>
  <c r="V72" i="54"/>
  <c r="V81" i="54" s="1"/>
  <c r="A72" i="54"/>
  <c r="A71" i="54"/>
  <c r="A70" i="54"/>
  <c r="A69" i="54"/>
  <c r="A68" i="54"/>
  <c r="A67" i="54"/>
  <c r="A66" i="54"/>
  <c r="A65" i="54"/>
  <c r="A64" i="54"/>
  <c r="A63" i="54"/>
  <c r="A62" i="54"/>
  <c r="A61" i="54"/>
  <c r="A60" i="54"/>
  <c r="A59" i="54"/>
  <c r="Y58" i="54"/>
  <c r="U58" i="54"/>
  <c r="A58" i="54"/>
  <c r="A57" i="54"/>
  <c r="A56" i="54"/>
  <c r="A55" i="54"/>
  <c r="A54" i="54"/>
  <c r="A53" i="54"/>
  <c r="A52" i="54"/>
  <c r="A51" i="54"/>
  <c r="A50" i="54"/>
  <c r="X49" i="54"/>
  <c r="V49" i="54"/>
  <c r="A49" i="54"/>
  <c r="A48" i="54"/>
  <c r="A47" i="54"/>
  <c r="A46" i="54"/>
  <c r="A45" i="54"/>
  <c r="A44" i="54"/>
  <c r="A43" i="54"/>
  <c r="A42" i="54"/>
  <c r="A41" i="54"/>
  <c r="A40" i="54"/>
  <c r="A39" i="54"/>
  <c r="A38" i="54"/>
  <c r="A37" i="54"/>
  <c r="A36" i="54"/>
  <c r="A35" i="54"/>
  <c r="A34" i="54"/>
  <c r="A33" i="54"/>
  <c r="A32" i="54"/>
  <c r="A31" i="54"/>
  <c r="A30" i="54"/>
  <c r="A29" i="54"/>
  <c r="A28" i="54"/>
  <c r="A27" i="54"/>
  <c r="A26" i="54"/>
  <c r="A25" i="54"/>
  <c r="A24" i="54"/>
  <c r="A23" i="54"/>
  <c r="A22" i="54"/>
  <c r="A21" i="54"/>
  <c r="A20" i="54"/>
  <c r="A19" i="54"/>
  <c r="A18" i="54"/>
  <c r="A17" i="54"/>
  <c r="A16" i="54"/>
  <c r="A15" i="54"/>
  <c r="A14" i="54"/>
  <c r="A13" i="54"/>
  <c r="A12" i="54"/>
  <c r="A11" i="54"/>
  <c r="A10" i="54"/>
  <c r="A9" i="54"/>
  <c r="A8" i="54"/>
  <c r="A6" i="54"/>
  <c r="U6" i="52"/>
  <c r="U166" i="54"/>
  <c r="AC49" i="52"/>
  <c r="Y49" i="52"/>
  <c r="V49" i="52"/>
  <c r="U49" i="52"/>
  <c r="V161" i="52"/>
  <c r="E13" i="53"/>
  <c r="D4" i="53"/>
  <c r="AC179" i="52"/>
  <c r="AB179" i="52"/>
  <c r="AA179" i="52"/>
  <c r="Z179" i="52"/>
  <c r="Y179" i="52"/>
  <c r="W179" i="52"/>
  <c r="V179" i="52"/>
  <c r="U179" i="52"/>
  <c r="AC161" i="52"/>
  <c r="AB161" i="52"/>
  <c r="AA161" i="52"/>
  <c r="Z161" i="52"/>
  <c r="Z166" i="52" s="1"/>
  <c r="Y161" i="52"/>
  <c r="W161" i="52"/>
  <c r="U161" i="52"/>
  <c r="AC154" i="52"/>
  <c r="AB154" i="52"/>
  <c r="AA154" i="52"/>
  <c r="Z154" i="52"/>
  <c r="Y154" i="52"/>
  <c r="Y166" i="52" s="1"/>
  <c r="W154" i="52"/>
  <c r="V154" i="52"/>
  <c r="U154" i="52"/>
  <c r="AC133" i="52"/>
  <c r="AB133" i="52"/>
  <c r="AA133" i="52"/>
  <c r="Z133" i="52"/>
  <c r="Y133" i="52"/>
  <c r="W133" i="52"/>
  <c r="V133" i="52"/>
  <c r="U133" i="52"/>
  <c r="AC120" i="52"/>
  <c r="AB120" i="52"/>
  <c r="AA120" i="52"/>
  <c r="Z120" i="52"/>
  <c r="Y120" i="52"/>
  <c r="W120" i="52"/>
  <c r="V120" i="52"/>
  <c r="U120" i="52"/>
  <c r="AC115" i="52"/>
  <c r="AB115" i="52"/>
  <c r="AA115" i="52"/>
  <c r="Z115" i="52"/>
  <c r="Y115" i="52"/>
  <c r="W115" i="52"/>
  <c r="V115" i="52"/>
  <c r="U115" i="52"/>
  <c r="AC110" i="52"/>
  <c r="AB110" i="52"/>
  <c r="AA110" i="52"/>
  <c r="Z110" i="52"/>
  <c r="Y110" i="52"/>
  <c r="W110" i="52"/>
  <c r="V110" i="52"/>
  <c r="U110" i="52"/>
  <c r="AC98" i="52"/>
  <c r="AB98" i="52"/>
  <c r="AA98" i="52"/>
  <c r="Z98" i="52"/>
  <c r="Y98" i="52"/>
  <c r="W98" i="52"/>
  <c r="V98" i="52"/>
  <c r="U98" i="52"/>
  <c r="AC93" i="52"/>
  <c r="AB93" i="52"/>
  <c r="AB102" i="52" s="1"/>
  <c r="AA93" i="52"/>
  <c r="AA102" i="52" s="1"/>
  <c r="Z93" i="52"/>
  <c r="Z102" i="52" s="1"/>
  <c r="Y93" i="52"/>
  <c r="W93" i="52"/>
  <c r="W102" i="52" s="1"/>
  <c r="V93" i="52"/>
  <c r="V102" i="52" s="1"/>
  <c r="U93" i="52"/>
  <c r="U102" i="52" s="1"/>
  <c r="AC79" i="52"/>
  <c r="AB79" i="52"/>
  <c r="AB81" i="52" s="1"/>
  <c r="AA79" i="52"/>
  <c r="Z79" i="52"/>
  <c r="Y79" i="52"/>
  <c r="W79" i="52"/>
  <c r="V79" i="52"/>
  <c r="U79" i="52"/>
  <c r="AC72" i="52"/>
  <c r="AC81" i="52"/>
  <c r="AB72" i="52"/>
  <c r="AA72" i="52"/>
  <c r="AA81" i="52" s="1"/>
  <c r="Z72" i="52"/>
  <c r="Z81" i="52"/>
  <c r="Y72" i="52"/>
  <c r="Y81" i="52" s="1"/>
  <c r="W72" i="52"/>
  <c r="V72" i="52"/>
  <c r="U72" i="52"/>
  <c r="U81" i="52" s="1"/>
  <c r="AC58" i="52"/>
  <c r="Y58" i="52"/>
  <c r="U58" i="52"/>
  <c r="F48" i="59"/>
  <c r="F67" i="57"/>
  <c r="F25" i="55"/>
  <c r="U135" i="52"/>
  <c r="AC135" i="52"/>
  <c r="AB166" i="52"/>
  <c r="AA135" i="52"/>
  <c r="Y135" i="52"/>
  <c r="V135" i="52"/>
  <c r="Y102" i="52"/>
  <c r="AC102" i="52"/>
  <c r="F68" i="53"/>
  <c r="U6" i="50"/>
  <c r="U49" i="50"/>
  <c r="U58" i="50"/>
  <c r="U72" i="50"/>
  <c r="U79" i="50"/>
  <c r="U93" i="50"/>
  <c r="U102" i="50" s="1"/>
  <c r="U98" i="50"/>
  <c r="U133" i="50"/>
  <c r="U120" i="50"/>
  <c r="U115" i="50"/>
  <c r="U110" i="50"/>
  <c r="U161" i="50"/>
  <c r="U154" i="50"/>
  <c r="U166" i="50" s="1"/>
  <c r="U179" i="50"/>
  <c r="AC6" i="50"/>
  <c r="AC49" i="50"/>
  <c r="AC58" i="50"/>
  <c r="AC72" i="50"/>
  <c r="AC81" i="50" s="1"/>
  <c r="AC79" i="50"/>
  <c r="AC93" i="50"/>
  <c r="AC98" i="50"/>
  <c r="AC102" i="50"/>
  <c r="AC133" i="50"/>
  <c r="AC120" i="50"/>
  <c r="AC115" i="50"/>
  <c r="AC110" i="50"/>
  <c r="AC161" i="50"/>
  <c r="AC154" i="50"/>
  <c r="AC179" i="50"/>
  <c r="AB72" i="50"/>
  <c r="AB81" i="50" s="1"/>
  <c r="AB79" i="50"/>
  <c r="AB93" i="50"/>
  <c r="AB98" i="50"/>
  <c r="AB133" i="50"/>
  <c r="AB120" i="50"/>
  <c r="AB115" i="50"/>
  <c r="AB110" i="50"/>
  <c r="AB161" i="50"/>
  <c r="AB166" i="50" s="1"/>
  <c r="AB154" i="50"/>
  <c r="AB179" i="50"/>
  <c r="AA72" i="50"/>
  <c r="AA79" i="50"/>
  <c r="AA81" i="50" s="1"/>
  <c r="AA93" i="50"/>
  <c r="AA98" i="50"/>
  <c r="AA133" i="50"/>
  <c r="AA120" i="50"/>
  <c r="AA135" i="50" s="1"/>
  <c r="AA115" i="50"/>
  <c r="AA110" i="50"/>
  <c r="AA161" i="50"/>
  <c r="AA154" i="50"/>
  <c r="AA179" i="50"/>
  <c r="Z72" i="50"/>
  <c r="Z79" i="50"/>
  <c r="Z93" i="50"/>
  <c r="Z102" i="50" s="1"/>
  <c r="Z98" i="50"/>
  <c r="Z133" i="50"/>
  <c r="Z120" i="50"/>
  <c r="Z115" i="50"/>
  <c r="Z110" i="50"/>
  <c r="Z161" i="50"/>
  <c r="Z154" i="50"/>
  <c r="Z179" i="50"/>
  <c r="Y6" i="50"/>
  <c r="Y49" i="50"/>
  <c r="Y58" i="50"/>
  <c r="Y72" i="50"/>
  <c r="Y81" i="50" s="1"/>
  <c r="Y79" i="50"/>
  <c r="Y93" i="50"/>
  <c r="Y98" i="50"/>
  <c r="Y102" i="50" s="1"/>
  <c r="Y133" i="50"/>
  <c r="Y120" i="50"/>
  <c r="Y115" i="50"/>
  <c r="Y110" i="50"/>
  <c r="Y135" i="50"/>
  <c r="Y161" i="50"/>
  <c r="Y154" i="50"/>
  <c r="Y179" i="50"/>
  <c r="X49" i="50"/>
  <c r="X72" i="50"/>
  <c r="X79" i="50"/>
  <c r="X81" i="50"/>
  <c r="X93" i="50"/>
  <c r="X102" i="50" s="1"/>
  <c r="X98" i="50"/>
  <c r="X133" i="50"/>
  <c r="X120" i="50"/>
  <c r="X115" i="50"/>
  <c r="X135" i="50" s="1"/>
  <c r="X110" i="50"/>
  <c r="X161" i="50"/>
  <c r="X154" i="50"/>
  <c r="X179" i="50"/>
  <c r="W72" i="50"/>
  <c r="W79" i="50"/>
  <c r="W81" i="50"/>
  <c r="W93" i="50"/>
  <c r="W102" i="50" s="1"/>
  <c r="W98" i="50"/>
  <c r="W133" i="50"/>
  <c r="W120" i="50"/>
  <c r="W115" i="50"/>
  <c r="W110" i="50"/>
  <c r="W161" i="50"/>
  <c r="W154" i="50"/>
  <c r="W179" i="50"/>
  <c r="V49" i="50"/>
  <c r="V72" i="50"/>
  <c r="V79" i="50"/>
  <c r="V93" i="50"/>
  <c r="V98" i="50"/>
  <c r="V133" i="50"/>
  <c r="V120" i="50"/>
  <c r="V115" i="50"/>
  <c r="V110" i="50"/>
  <c r="V161" i="50"/>
  <c r="V154" i="50"/>
  <c r="V179" i="50"/>
  <c r="A146" i="50"/>
  <c r="A71" i="50"/>
  <c r="A13" i="50"/>
  <c r="E13" i="51"/>
  <c r="D4" i="51"/>
  <c r="A204" i="50"/>
  <c r="A203" i="50"/>
  <c r="A202" i="50"/>
  <c r="A201" i="50"/>
  <c r="A200" i="50"/>
  <c r="A199" i="50"/>
  <c r="A198" i="50"/>
  <c r="A197" i="50"/>
  <c r="A196" i="50"/>
  <c r="A195" i="50"/>
  <c r="A194" i="50"/>
  <c r="A193" i="50"/>
  <c r="A192" i="50"/>
  <c r="A191" i="50"/>
  <c r="A190" i="50"/>
  <c r="A189" i="50"/>
  <c r="A188" i="50"/>
  <c r="A187" i="50"/>
  <c r="A186" i="50"/>
  <c r="A185" i="50"/>
  <c r="A184" i="50"/>
  <c r="A183" i="50"/>
  <c r="A182" i="50"/>
  <c r="A181" i="50"/>
  <c r="A180" i="50"/>
  <c r="A179" i="50"/>
  <c r="A178" i="50"/>
  <c r="A177" i="50"/>
  <c r="A176" i="50"/>
  <c r="A175" i="50"/>
  <c r="A174" i="50"/>
  <c r="A173" i="50"/>
  <c r="A172" i="50"/>
  <c r="A171" i="50"/>
  <c r="A170" i="50"/>
  <c r="A169" i="50"/>
  <c r="A168" i="50"/>
  <c r="A167" i="50"/>
  <c r="A166" i="50"/>
  <c r="A165" i="50"/>
  <c r="A164" i="50"/>
  <c r="A163" i="50"/>
  <c r="A162" i="50"/>
  <c r="A161" i="50"/>
  <c r="A160" i="50"/>
  <c r="A159" i="50"/>
  <c r="A158" i="50"/>
  <c r="A157" i="50"/>
  <c r="A156" i="50"/>
  <c r="A155" i="50"/>
  <c r="A154" i="50"/>
  <c r="A153" i="50"/>
  <c r="A152" i="50"/>
  <c r="A151" i="50"/>
  <c r="A150" i="50"/>
  <c r="A149" i="50"/>
  <c r="A148" i="50"/>
  <c r="A147" i="50"/>
  <c r="A145" i="50"/>
  <c r="A144" i="50"/>
  <c r="A143" i="50"/>
  <c r="A142" i="50"/>
  <c r="A141" i="50"/>
  <c r="A140" i="50"/>
  <c r="A139" i="50"/>
  <c r="A138" i="50"/>
  <c r="A137" i="50"/>
  <c r="A136" i="50"/>
  <c r="A135" i="50"/>
  <c r="A134" i="50"/>
  <c r="A133" i="50"/>
  <c r="A132" i="50"/>
  <c r="A131" i="50"/>
  <c r="A130" i="50"/>
  <c r="A129" i="50"/>
  <c r="A128" i="50"/>
  <c r="A127" i="50"/>
  <c r="A126" i="50"/>
  <c r="A125" i="50"/>
  <c r="A124" i="50"/>
  <c r="A123" i="50"/>
  <c r="A122" i="50"/>
  <c r="A121" i="50"/>
  <c r="A120" i="50"/>
  <c r="A119" i="50"/>
  <c r="A118" i="50"/>
  <c r="A117" i="50"/>
  <c r="A116" i="50"/>
  <c r="A115" i="50"/>
  <c r="A114" i="50"/>
  <c r="A113" i="50"/>
  <c r="A112" i="50"/>
  <c r="A111" i="50"/>
  <c r="A110" i="50"/>
  <c r="A109" i="50"/>
  <c r="A108" i="50"/>
  <c r="A107" i="50"/>
  <c r="A106" i="50"/>
  <c r="A105" i="50"/>
  <c r="A104" i="50"/>
  <c r="A103" i="50"/>
  <c r="A102" i="50"/>
  <c r="A101" i="50"/>
  <c r="A100" i="50"/>
  <c r="A99" i="50"/>
  <c r="A98" i="50"/>
  <c r="A97" i="50"/>
  <c r="A96" i="50"/>
  <c r="A95" i="50"/>
  <c r="A94" i="50"/>
  <c r="A93" i="50"/>
  <c r="A92" i="50"/>
  <c r="A91" i="50"/>
  <c r="A90" i="50"/>
  <c r="A89" i="50"/>
  <c r="A88" i="50"/>
  <c r="A87" i="50"/>
  <c r="A86" i="50"/>
  <c r="A85" i="50"/>
  <c r="A84" i="50"/>
  <c r="A83" i="50"/>
  <c r="A82" i="50"/>
  <c r="A81" i="50"/>
  <c r="A80" i="50"/>
  <c r="A79" i="50"/>
  <c r="A78" i="50"/>
  <c r="A77" i="50"/>
  <c r="A76" i="50"/>
  <c r="A75" i="50"/>
  <c r="A74" i="50"/>
  <c r="A73" i="50"/>
  <c r="A72" i="50"/>
  <c r="A70" i="50"/>
  <c r="A69" i="50"/>
  <c r="A68" i="50"/>
  <c r="A67" i="50"/>
  <c r="A66" i="50"/>
  <c r="A65" i="50"/>
  <c r="A64" i="50"/>
  <c r="A63" i="50"/>
  <c r="A62" i="50"/>
  <c r="A61" i="50"/>
  <c r="A60" i="50"/>
  <c r="A59" i="50"/>
  <c r="A58" i="50"/>
  <c r="A57" i="50"/>
  <c r="A56" i="50"/>
  <c r="A55" i="50"/>
  <c r="A54" i="50"/>
  <c r="A53" i="50"/>
  <c r="A52" i="50"/>
  <c r="A51" i="50"/>
  <c r="A50" i="50"/>
  <c r="A49" i="50"/>
  <c r="A48" i="50"/>
  <c r="A47" i="50"/>
  <c r="A46" i="50"/>
  <c r="A45" i="50"/>
  <c r="A44" i="50"/>
  <c r="A43" i="50"/>
  <c r="A42" i="50"/>
  <c r="A41" i="50"/>
  <c r="A40" i="50"/>
  <c r="A39" i="50"/>
  <c r="A38" i="50"/>
  <c r="A37" i="50"/>
  <c r="A36" i="50"/>
  <c r="A35" i="50"/>
  <c r="A34" i="50"/>
  <c r="A33" i="50"/>
  <c r="A32" i="50"/>
  <c r="A31" i="50"/>
  <c r="A30" i="50"/>
  <c r="A29" i="50"/>
  <c r="A28" i="50"/>
  <c r="A27" i="50"/>
  <c r="A26" i="50"/>
  <c r="A25" i="50"/>
  <c r="A24" i="50"/>
  <c r="A23" i="50"/>
  <c r="A22" i="50"/>
  <c r="A21" i="50"/>
  <c r="A20" i="50"/>
  <c r="A19" i="50"/>
  <c r="A18" i="50"/>
  <c r="A17" i="50"/>
  <c r="A16" i="50"/>
  <c r="A15" i="50"/>
  <c r="A14" i="50"/>
  <c r="A12" i="50"/>
  <c r="A11" i="50"/>
  <c r="A10" i="50"/>
  <c r="A9" i="50"/>
  <c r="A8" i="50"/>
  <c r="A6" i="50"/>
  <c r="F58" i="51" s="1"/>
  <c r="F61" i="51"/>
  <c r="F55" i="51"/>
  <c r="F24" i="51"/>
  <c r="E32" i="51"/>
  <c r="E48" i="51"/>
  <c r="C201" i="8"/>
  <c r="C200" i="8"/>
  <c r="C199" i="8"/>
  <c r="C198" i="8"/>
  <c r="C197" i="8"/>
  <c r="C196" i="8"/>
  <c r="C195" i="8"/>
  <c r="C194" i="8"/>
  <c r="F19" i="12"/>
  <c r="G133" i="12"/>
  <c r="G134" i="12"/>
  <c r="G135" i="12"/>
  <c r="G136" i="12"/>
  <c r="G132" i="12"/>
  <c r="G131" i="12"/>
  <c r="G125" i="12"/>
  <c r="G118" i="12"/>
  <c r="G119" i="12"/>
  <c r="G120" i="12"/>
  <c r="G121" i="12"/>
  <c r="G117" i="12"/>
  <c r="G107" i="12"/>
  <c r="G108" i="12"/>
  <c r="G109" i="12"/>
  <c r="G110" i="12"/>
  <c r="G111" i="12"/>
  <c r="G112" i="12"/>
  <c r="G113" i="12"/>
  <c r="G114" i="12"/>
  <c r="G106" i="12"/>
  <c r="G115" i="12" s="1"/>
  <c r="G100" i="12"/>
  <c r="G99" i="12"/>
  <c r="G86" i="12"/>
  <c r="G87" i="12"/>
  <c r="G88" i="12"/>
  <c r="G89" i="12"/>
  <c r="G90" i="12"/>
  <c r="G91" i="12"/>
  <c r="G92" i="12"/>
  <c r="G93" i="12"/>
  <c r="G85" i="12"/>
  <c r="G81" i="12"/>
  <c r="G80" i="12"/>
  <c r="G75" i="12"/>
  <c r="G76" i="12"/>
  <c r="G74" i="12"/>
  <c r="G64" i="12"/>
  <c r="G63" i="12"/>
  <c r="G65" i="12" s="1"/>
  <c r="G58" i="12"/>
  <c r="G53" i="12"/>
  <c r="G54" i="12"/>
  <c r="G52" i="12"/>
  <c r="G47" i="12"/>
  <c r="G34" i="12"/>
  <c r="G35" i="12"/>
  <c r="G36" i="12"/>
  <c r="G33" i="12"/>
  <c r="G23" i="12"/>
  <c r="G24" i="12"/>
  <c r="G25" i="12"/>
  <c r="G26" i="12"/>
  <c r="D22" i="12"/>
  <c r="E22" i="12"/>
  <c r="E29" i="12" s="1"/>
  <c r="F22" i="12"/>
  <c r="F29" i="12" s="1"/>
  <c r="G10" i="12"/>
  <c r="G11" i="12"/>
  <c r="G12" i="12"/>
  <c r="G13" i="12"/>
  <c r="G14" i="12"/>
  <c r="G15" i="12"/>
  <c r="G16" i="12"/>
  <c r="G17" i="12"/>
  <c r="G18" i="12"/>
  <c r="G9" i="12"/>
  <c r="D19" i="12"/>
  <c r="D39" i="12"/>
  <c r="D44" i="12" s="1"/>
  <c r="D55" i="12"/>
  <c r="D60" i="12"/>
  <c r="D65" i="12"/>
  <c r="D77" i="12"/>
  <c r="D82" i="12"/>
  <c r="D95" i="12"/>
  <c r="D115" i="12"/>
  <c r="D122" i="12"/>
  <c r="D137" i="12"/>
  <c r="D127" i="12"/>
  <c r="E19" i="12"/>
  <c r="E82" i="12"/>
  <c r="F82" i="12"/>
  <c r="E77" i="12"/>
  <c r="E97" i="12" s="1"/>
  <c r="F77" i="12"/>
  <c r="E65" i="12"/>
  <c r="F65" i="12"/>
  <c r="E60" i="12"/>
  <c r="F60" i="12"/>
  <c r="E55" i="12"/>
  <c r="F55" i="12"/>
  <c r="E39" i="12"/>
  <c r="F39" i="12"/>
  <c r="F44" i="12" s="1"/>
  <c r="G40" i="12"/>
  <c r="G41" i="12"/>
  <c r="G42" i="12"/>
  <c r="E44" i="12"/>
  <c r="F69" i="12"/>
  <c r="A138" i="12"/>
  <c r="A137" i="12"/>
  <c r="A136" i="12"/>
  <c r="A135" i="12"/>
  <c r="A134" i="12"/>
  <c r="E137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G103" i="12"/>
  <c r="A103" i="12"/>
  <c r="A102" i="12"/>
  <c r="A101" i="12"/>
  <c r="A100" i="12"/>
  <c r="A99" i="12"/>
  <c r="A98" i="12"/>
  <c r="A97" i="12"/>
  <c r="A96" i="12"/>
  <c r="F95" i="12"/>
  <c r="A95" i="12"/>
  <c r="A94" i="12"/>
  <c r="A93" i="12"/>
  <c r="A92" i="12"/>
  <c r="A91" i="12"/>
  <c r="A90" i="12"/>
  <c r="A89" i="12"/>
  <c r="A88" i="12"/>
  <c r="A87" i="12"/>
  <c r="E95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G59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G60" i="12"/>
  <c r="F137" i="12"/>
  <c r="F115" i="12"/>
  <c r="F127" i="12"/>
  <c r="E115" i="12"/>
  <c r="E127" i="12" s="1"/>
  <c r="D4" i="7"/>
  <c r="C62" i="7"/>
  <c r="C61" i="7"/>
  <c r="C59" i="7"/>
  <c r="C58" i="7"/>
  <c r="C57" i="7"/>
  <c r="C56" i="7"/>
  <c r="C55" i="7"/>
  <c r="C53" i="7"/>
  <c r="C52" i="7"/>
  <c r="C51" i="7"/>
  <c r="C50" i="7"/>
  <c r="C49" i="7"/>
  <c r="C48" i="7"/>
  <c r="C47" i="7"/>
  <c r="C46" i="7"/>
  <c r="C45" i="7"/>
  <c r="C43" i="7"/>
  <c r="C42" i="7"/>
  <c r="C41" i="7"/>
  <c r="C40" i="7"/>
  <c r="C39" i="7"/>
  <c r="C37" i="7"/>
  <c r="C36" i="7"/>
  <c r="C35" i="7"/>
  <c r="C34" i="7"/>
  <c r="C33" i="7"/>
  <c r="C32" i="7"/>
  <c r="C31" i="7"/>
  <c r="C30" i="7"/>
  <c r="C28" i="7"/>
  <c r="C27" i="7"/>
  <c r="C26" i="7"/>
  <c r="C25" i="7"/>
  <c r="C24" i="7"/>
  <c r="C23" i="7"/>
  <c r="C22" i="7"/>
  <c r="C21" i="7"/>
  <c r="C20" i="7"/>
  <c r="C19" i="7"/>
  <c r="C18" i="7"/>
  <c r="C16" i="7"/>
  <c r="B62" i="7"/>
  <c r="B61" i="7"/>
  <c r="B59" i="7"/>
  <c r="B58" i="7"/>
  <c r="B57" i="7"/>
  <c r="B56" i="7"/>
  <c r="B55" i="7"/>
  <c r="B53" i="7"/>
  <c r="B52" i="7"/>
  <c r="B51" i="7"/>
  <c r="B50" i="7"/>
  <c r="B49" i="7"/>
  <c r="B48" i="7"/>
  <c r="B47" i="7"/>
  <c r="B46" i="7"/>
  <c r="B45" i="7"/>
  <c r="B43" i="7"/>
  <c r="B42" i="7"/>
  <c r="B41" i="7"/>
  <c r="B40" i="7"/>
  <c r="B39" i="7"/>
  <c r="B37" i="7"/>
  <c r="B36" i="7"/>
  <c r="B35" i="7"/>
  <c r="B34" i="7"/>
  <c r="B33" i="7"/>
  <c r="B32" i="7"/>
  <c r="B31" i="7"/>
  <c r="B30" i="7"/>
  <c r="B28" i="7"/>
  <c r="B27" i="7"/>
  <c r="B26" i="7"/>
  <c r="B25" i="7"/>
  <c r="B24" i="7"/>
  <c r="B23" i="7"/>
  <c r="B22" i="7"/>
  <c r="B21" i="7"/>
  <c r="B20" i="7"/>
  <c r="B19" i="7"/>
  <c r="B18" i="7"/>
  <c r="B16" i="7"/>
  <c r="A62" i="7"/>
  <c r="A61" i="7"/>
  <c r="A59" i="7"/>
  <c r="A58" i="7"/>
  <c r="A57" i="7"/>
  <c r="A56" i="7"/>
  <c r="A55" i="7"/>
  <c r="A53" i="7"/>
  <c r="A52" i="7"/>
  <c r="A51" i="7"/>
  <c r="A50" i="7"/>
  <c r="A49" i="7"/>
  <c r="A48" i="7"/>
  <c r="A47" i="7"/>
  <c r="A46" i="7"/>
  <c r="A45" i="7"/>
  <c r="A43" i="7"/>
  <c r="A42" i="7"/>
  <c r="A41" i="7"/>
  <c r="A40" i="7"/>
  <c r="A39" i="7"/>
  <c r="A37" i="7"/>
  <c r="A36" i="7"/>
  <c r="A35" i="7"/>
  <c r="A34" i="7"/>
  <c r="A33" i="7"/>
  <c r="A32" i="7"/>
  <c r="A31" i="7"/>
  <c r="A30" i="7"/>
  <c r="A28" i="7"/>
  <c r="A27" i="7"/>
  <c r="A26" i="7"/>
  <c r="A25" i="7"/>
  <c r="A24" i="7"/>
  <c r="A23" i="7"/>
  <c r="A22" i="7"/>
  <c r="A21" i="7"/>
  <c r="A20" i="7"/>
  <c r="A19" i="7"/>
  <c r="A18" i="7"/>
  <c r="A16" i="7"/>
  <c r="U352" i="5"/>
  <c r="T352" i="5"/>
  <c r="S352" i="5"/>
  <c r="R352" i="5"/>
  <c r="U351" i="5"/>
  <c r="T351" i="5"/>
  <c r="S351" i="5"/>
  <c r="R351" i="5"/>
  <c r="U350" i="5"/>
  <c r="T350" i="5"/>
  <c r="S350" i="5"/>
  <c r="R350" i="5"/>
  <c r="U346" i="5"/>
  <c r="T346" i="5"/>
  <c r="S346" i="5"/>
  <c r="R346" i="5"/>
  <c r="U345" i="5"/>
  <c r="T345" i="5"/>
  <c r="S345" i="5"/>
  <c r="R345" i="5"/>
  <c r="U344" i="5"/>
  <c r="T344" i="5"/>
  <c r="S344" i="5"/>
  <c r="W344" i="5"/>
  <c r="R344" i="5"/>
  <c r="S340" i="5"/>
  <c r="T340" i="5"/>
  <c r="U340" i="5"/>
  <c r="R340" i="5"/>
  <c r="U339" i="5"/>
  <c r="T339" i="5"/>
  <c r="S339" i="5"/>
  <c r="R339" i="5"/>
  <c r="U338" i="5"/>
  <c r="T338" i="5"/>
  <c r="S338" i="5"/>
  <c r="W338" i="5" s="1"/>
  <c r="R338" i="5"/>
  <c r="U332" i="5"/>
  <c r="T332" i="5"/>
  <c r="S332" i="5"/>
  <c r="W332" i="5" s="1"/>
  <c r="R332" i="5"/>
  <c r="U331" i="5"/>
  <c r="S331" i="5"/>
  <c r="U330" i="5"/>
  <c r="S330" i="5"/>
  <c r="T330" i="5"/>
  <c r="R330" i="5"/>
  <c r="U329" i="5"/>
  <c r="U326" i="5"/>
  <c r="T326" i="5"/>
  <c r="S326" i="5"/>
  <c r="W326" i="5" s="1"/>
  <c r="R326" i="5"/>
  <c r="U325" i="5"/>
  <c r="T325" i="5"/>
  <c r="S325" i="5"/>
  <c r="R325" i="5"/>
  <c r="U324" i="5"/>
  <c r="T324" i="5"/>
  <c r="S324" i="5"/>
  <c r="R324" i="5"/>
  <c r="U318" i="5"/>
  <c r="T318" i="5"/>
  <c r="S318" i="5"/>
  <c r="W318" i="5" s="1"/>
  <c r="R318" i="5"/>
  <c r="U314" i="5"/>
  <c r="T314" i="5"/>
  <c r="S314" i="5"/>
  <c r="R314" i="5"/>
  <c r="U313" i="5"/>
  <c r="T313" i="5"/>
  <c r="S313" i="5"/>
  <c r="R313" i="5"/>
  <c r="U312" i="5"/>
  <c r="T312" i="5"/>
  <c r="W312" i="5" s="1"/>
  <c r="S312" i="5"/>
  <c r="R312" i="5"/>
  <c r="U308" i="5"/>
  <c r="S308" i="5"/>
  <c r="T308" i="5"/>
  <c r="R308" i="5"/>
  <c r="AK307" i="5"/>
  <c r="U307" i="5"/>
  <c r="T307" i="5"/>
  <c r="S307" i="5"/>
  <c r="R307" i="5"/>
  <c r="U306" i="5"/>
  <c r="W306" i="5" s="1"/>
  <c r="T306" i="5"/>
  <c r="S306" i="5"/>
  <c r="R306" i="5"/>
  <c r="U300" i="5"/>
  <c r="W300" i="5" s="1"/>
  <c r="T300" i="5"/>
  <c r="S300" i="5"/>
  <c r="R300" i="5"/>
  <c r="U297" i="5"/>
  <c r="T297" i="5"/>
  <c r="S297" i="5"/>
  <c r="T294" i="5"/>
  <c r="BR290" i="5"/>
  <c r="BO290" i="5"/>
  <c r="BL290" i="5"/>
  <c r="AG286" i="5"/>
  <c r="AG284" i="5"/>
  <c r="AG282" i="5"/>
  <c r="AG281" i="5"/>
  <c r="AJ280" i="5"/>
  <c r="AI280" i="5"/>
  <c r="AG280" i="5"/>
  <c r="AG279" i="5"/>
  <c r="AK278" i="5"/>
  <c r="AK277" i="5"/>
  <c r="AK280" i="5" s="1"/>
  <c r="AK275" i="5"/>
  <c r="AL274" i="5"/>
  <c r="AL280" i="5" s="1"/>
  <c r="AG269" i="5"/>
  <c r="AH269" i="5"/>
  <c r="BS268" i="5"/>
  <c r="O268" i="5"/>
  <c r="BP268" i="5"/>
  <c r="BM268" i="5"/>
  <c r="BI268" i="5"/>
  <c r="BD268" i="5"/>
  <c r="AX268" i="5"/>
  <c r="AU268" i="5"/>
  <c r="AC268" i="5"/>
  <c r="X268" i="5"/>
  <c r="P268" i="5"/>
  <c r="BJ268" i="5"/>
  <c r="BS267" i="5"/>
  <c r="BM267" i="5"/>
  <c r="O267" i="5"/>
  <c r="BG267" i="5"/>
  <c r="BD267" i="5"/>
  <c r="AB267" i="5"/>
  <c r="P267" i="5"/>
  <c r="BP267" i="5"/>
  <c r="AG266" i="5"/>
  <c r="AH266" i="5" s="1"/>
  <c r="BS264" i="5"/>
  <c r="BP264" i="5"/>
  <c r="BM264" i="5"/>
  <c r="BJ264" i="5"/>
  <c r="BG264" i="5"/>
  <c r="BD264" i="5"/>
  <c r="AJ264" i="5"/>
  <c r="AB264" i="5"/>
  <c r="Q264" i="5"/>
  <c r="P264" i="5"/>
  <c r="AF263" i="5"/>
  <c r="Z263" i="5"/>
  <c r="AA263" i="5"/>
  <c r="AB263" i="5" s="1"/>
  <c r="M263" i="5"/>
  <c r="L263" i="5"/>
  <c r="Q263" i="5"/>
  <c r="K263" i="5"/>
  <c r="P263" i="5" s="1"/>
  <c r="J263" i="5"/>
  <c r="I263" i="5"/>
  <c r="G263" i="5"/>
  <c r="F263" i="5"/>
  <c r="BS262" i="5"/>
  <c r="BP262" i="5"/>
  <c r="BM262" i="5"/>
  <c r="BJ262" i="5"/>
  <c r="BG262" i="5"/>
  <c r="BD262" i="5"/>
  <c r="AJ262" i="5"/>
  <c r="AG262" i="5"/>
  <c r="AH262" i="5" s="1"/>
  <c r="AB262" i="5"/>
  <c r="AC262" i="5" s="1"/>
  <c r="Q262" i="5"/>
  <c r="P262" i="5"/>
  <c r="AB261" i="5"/>
  <c r="Q261" i="5"/>
  <c r="P261" i="5"/>
  <c r="O261" i="5"/>
  <c r="AB260" i="5"/>
  <c r="Q260" i="5"/>
  <c r="P260" i="5"/>
  <c r="O260" i="5"/>
  <c r="AC260" i="5" s="1"/>
  <c r="AB259" i="5"/>
  <c r="Q259" i="5"/>
  <c r="P259" i="5"/>
  <c r="O259" i="5"/>
  <c r="AC259" i="5" s="1"/>
  <c r="AB258" i="5"/>
  <c r="Q258" i="5"/>
  <c r="P258" i="5"/>
  <c r="O258" i="5"/>
  <c r="AC258" i="5"/>
  <c r="Q257" i="5"/>
  <c r="P257" i="5"/>
  <c r="O257" i="5"/>
  <c r="AC257" i="5" s="1"/>
  <c r="AB256" i="5"/>
  <c r="AC256" i="5" s="1"/>
  <c r="Q256" i="5"/>
  <c r="P256" i="5"/>
  <c r="O256" i="5"/>
  <c r="AB255" i="5"/>
  <c r="Q255" i="5"/>
  <c r="P255" i="5"/>
  <c r="O255" i="5"/>
  <c r="AB254" i="5"/>
  <c r="Q254" i="5"/>
  <c r="P254" i="5"/>
  <c r="O254" i="5"/>
  <c r="AC254" i="5"/>
  <c r="BS253" i="5"/>
  <c r="BP253" i="5"/>
  <c r="BM253" i="5"/>
  <c r="BJ253" i="5"/>
  <c r="BG253" i="5"/>
  <c r="BD253" i="5"/>
  <c r="AJ253" i="5"/>
  <c r="AG253" i="5"/>
  <c r="AH253" i="5" s="1"/>
  <c r="AB253" i="5"/>
  <c r="AC253" i="5" s="1"/>
  <c r="Q253" i="5"/>
  <c r="P253" i="5"/>
  <c r="AF252" i="5"/>
  <c r="AA252" i="5"/>
  <c r="Z252" i="5"/>
  <c r="K252" i="5"/>
  <c r="P252" i="5"/>
  <c r="M252" i="5"/>
  <c r="L252" i="5"/>
  <c r="Q252" i="5" s="1"/>
  <c r="J252" i="5"/>
  <c r="I252" i="5"/>
  <c r="G252" i="5"/>
  <c r="F252" i="5"/>
  <c r="BS251" i="5"/>
  <c r="BP251" i="5"/>
  <c r="BM251" i="5"/>
  <c r="BJ251" i="5"/>
  <c r="BG251" i="5"/>
  <c r="BD251" i="5"/>
  <c r="AJ251" i="5"/>
  <c r="AG251" i="5"/>
  <c r="AH251" i="5"/>
  <c r="AB251" i="5"/>
  <c r="AC251" i="5" s="1"/>
  <c r="Q251" i="5"/>
  <c r="P251" i="5"/>
  <c r="AB250" i="5"/>
  <c r="Q250" i="5"/>
  <c r="P250" i="5"/>
  <c r="O250" i="5"/>
  <c r="AB249" i="5"/>
  <c r="Q249" i="5"/>
  <c r="P249" i="5"/>
  <c r="O249" i="5"/>
  <c r="AB248" i="5"/>
  <c r="Q248" i="5"/>
  <c r="P248" i="5"/>
  <c r="O248" i="5"/>
  <c r="AC248" i="5"/>
  <c r="AB247" i="5"/>
  <c r="Q247" i="5"/>
  <c r="P247" i="5"/>
  <c r="O247" i="5"/>
  <c r="AB246" i="5"/>
  <c r="AC246" i="5" s="1"/>
  <c r="Q246" i="5"/>
  <c r="P246" i="5"/>
  <c r="O246" i="5"/>
  <c r="BS245" i="5"/>
  <c r="AG245" i="5"/>
  <c r="AH245" i="5" s="1"/>
  <c r="Q245" i="5"/>
  <c r="P245" i="5"/>
  <c r="BS243" i="5"/>
  <c r="BP243" i="5"/>
  <c r="BM243" i="5"/>
  <c r="BJ243" i="5"/>
  <c r="BG243" i="5"/>
  <c r="BD243" i="5"/>
  <c r="AJ243" i="5"/>
  <c r="AG243" i="5"/>
  <c r="AH243" i="5"/>
  <c r="AB243" i="5"/>
  <c r="Q243" i="5"/>
  <c r="P243" i="5"/>
  <c r="AF242" i="5"/>
  <c r="AA242" i="5"/>
  <c r="Z242" i="5"/>
  <c r="AB242" i="5" s="1"/>
  <c r="K242" i="5"/>
  <c r="P242" i="5"/>
  <c r="M242" i="5"/>
  <c r="L242" i="5"/>
  <c r="Q242" i="5" s="1"/>
  <c r="J242" i="5"/>
  <c r="I242" i="5"/>
  <c r="G242" i="5"/>
  <c r="F242" i="5"/>
  <c r="BS241" i="5"/>
  <c r="BP241" i="5"/>
  <c r="BM241" i="5"/>
  <c r="BJ241" i="5"/>
  <c r="BG241" i="5"/>
  <c r="BD241" i="5"/>
  <c r="AJ241" i="5"/>
  <c r="AG241" i="5"/>
  <c r="AH241" i="5"/>
  <c r="AB241" i="5"/>
  <c r="Q241" i="5"/>
  <c r="P241" i="5"/>
  <c r="AB240" i="5"/>
  <c r="AC240" i="5" s="1"/>
  <c r="Q240" i="5"/>
  <c r="P240" i="5"/>
  <c r="O240" i="5"/>
  <c r="AB239" i="5"/>
  <c r="AC239" i="5" s="1"/>
  <c r="Q239" i="5"/>
  <c r="P239" i="5"/>
  <c r="O239" i="5"/>
  <c r="AB238" i="5"/>
  <c r="AC238" i="5"/>
  <c r="Q238" i="5"/>
  <c r="P238" i="5"/>
  <c r="O238" i="5"/>
  <c r="BS237" i="5"/>
  <c r="BP237" i="5"/>
  <c r="BM237" i="5"/>
  <c r="BJ237" i="5"/>
  <c r="BG237" i="5"/>
  <c r="BD237" i="5"/>
  <c r="AJ237" i="5"/>
  <c r="AG237" i="5"/>
  <c r="AH237" i="5"/>
  <c r="AB237" i="5"/>
  <c r="Q237" i="5"/>
  <c r="P237" i="5"/>
  <c r="H236" i="5"/>
  <c r="H244" i="5" s="1"/>
  <c r="H265" i="5" s="1"/>
  <c r="BS235" i="5"/>
  <c r="BP235" i="5"/>
  <c r="BM235" i="5"/>
  <c r="BJ235" i="5"/>
  <c r="BG235" i="5"/>
  <c r="BD235" i="5"/>
  <c r="AJ235" i="5"/>
  <c r="AB235" i="5"/>
  <c r="Q235" i="5"/>
  <c r="P235" i="5"/>
  <c r="AF234" i="5"/>
  <c r="AA234" i="5"/>
  <c r="Z234" i="5"/>
  <c r="V234" i="5"/>
  <c r="K234" i="5"/>
  <c r="P234" i="5" s="1"/>
  <c r="M234" i="5"/>
  <c r="L234" i="5"/>
  <c r="Q234" i="5" s="1"/>
  <c r="J234" i="5"/>
  <c r="I234" i="5"/>
  <c r="G234" i="5"/>
  <c r="BS233" i="5"/>
  <c r="BP233" i="5"/>
  <c r="BM233" i="5"/>
  <c r="BJ233" i="5"/>
  <c r="BG233" i="5"/>
  <c r="BD233" i="5"/>
  <c r="AJ233" i="5"/>
  <c r="AG233" i="5"/>
  <c r="AH233" i="5" s="1"/>
  <c r="AB233" i="5"/>
  <c r="Q233" i="5"/>
  <c r="P233" i="5"/>
  <c r="AB232" i="5"/>
  <c r="Q232" i="5"/>
  <c r="P232" i="5"/>
  <c r="O232" i="5"/>
  <c r="AB231" i="5"/>
  <c r="O231" i="5"/>
  <c r="Q231" i="5"/>
  <c r="P231" i="5"/>
  <c r="AB230" i="5"/>
  <c r="Q230" i="5"/>
  <c r="P230" i="5"/>
  <c r="O230" i="5"/>
  <c r="AC230" i="5" s="1"/>
  <c r="AB229" i="5"/>
  <c r="Q229" i="5"/>
  <c r="P229" i="5"/>
  <c r="F229" i="5"/>
  <c r="AB228" i="5"/>
  <c r="Q228" i="5"/>
  <c r="P228" i="5"/>
  <c r="O228" i="5"/>
  <c r="AC228" i="5" s="1"/>
  <c r="AB227" i="5"/>
  <c r="Q227" i="5"/>
  <c r="P227" i="5"/>
  <c r="O227" i="5"/>
  <c r="AG226" i="5"/>
  <c r="AH226" i="5" s="1"/>
  <c r="BS225" i="5"/>
  <c r="BM225" i="5"/>
  <c r="BD225" i="5"/>
  <c r="AB225" i="5"/>
  <c r="P225" i="5"/>
  <c r="BS223" i="5"/>
  <c r="BM223" i="5"/>
  <c r="BD223" i="5"/>
  <c r="AB223" i="5"/>
  <c r="Q223" i="5"/>
  <c r="P223" i="5"/>
  <c r="BS221" i="5"/>
  <c r="BP221" i="5"/>
  <c r="BM221" i="5"/>
  <c r="BJ221" i="5"/>
  <c r="BG221" i="5"/>
  <c r="BD221" i="5"/>
  <c r="AJ221" i="5"/>
  <c r="AB221" i="5"/>
  <c r="P221" i="5"/>
  <c r="BS219" i="5"/>
  <c r="BP219" i="5"/>
  <c r="BM219" i="5"/>
  <c r="BJ219" i="5"/>
  <c r="BG219" i="5"/>
  <c r="BD219" i="5"/>
  <c r="AG219" i="5"/>
  <c r="AH219" i="5" s="1"/>
  <c r="AB219" i="5"/>
  <c r="P219" i="5"/>
  <c r="AB218" i="5"/>
  <c r="Q218" i="5"/>
  <c r="O218" i="5"/>
  <c r="AB217" i="5"/>
  <c r="O217" i="5"/>
  <c r="Q217" i="5"/>
  <c r="AB216" i="5"/>
  <c r="Q216" i="5"/>
  <c r="O216" i="5"/>
  <c r="P216" i="5" s="1"/>
  <c r="AB215" i="5"/>
  <c r="Q215" i="5"/>
  <c r="O215" i="5"/>
  <c r="AB214" i="5"/>
  <c r="O214" i="5"/>
  <c r="Q214" i="5"/>
  <c r="O213" i="5"/>
  <c r="AB213" i="5"/>
  <c r="Q213" i="5"/>
  <c r="AB212" i="5"/>
  <c r="Q212" i="5"/>
  <c r="P212" i="5"/>
  <c r="F212" i="5"/>
  <c r="O212" i="5"/>
  <c r="AC212" i="5" s="1"/>
  <c r="AB211" i="5"/>
  <c r="Q211" i="5"/>
  <c r="P211" i="5"/>
  <c r="O211" i="5"/>
  <c r="AB210" i="5"/>
  <c r="P210" i="5"/>
  <c r="F210" i="5"/>
  <c r="Q210" i="5"/>
  <c r="AB209" i="5"/>
  <c r="L209" i="5"/>
  <c r="Q209" i="5" s="1"/>
  <c r="K209" i="5"/>
  <c r="P209" i="5"/>
  <c r="J209" i="5"/>
  <c r="I209" i="5"/>
  <c r="G209" i="5"/>
  <c r="AB208" i="5"/>
  <c r="Q208" i="5"/>
  <c r="O208" i="5"/>
  <c r="BS207" i="5"/>
  <c r="BP207" i="5"/>
  <c r="BM207" i="5"/>
  <c r="BJ207" i="5"/>
  <c r="BG207" i="5"/>
  <c r="BD207" i="5"/>
  <c r="AB207" i="5"/>
  <c r="P207" i="5"/>
  <c r="BN206" i="5"/>
  <c r="BK206" i="5"/>
  <c r="BH206" i="5"/>
  <c r="BE206" i="5"/>
  <c r="BB206" i="5"/>
  <c r="AY206" i="5"/>
  <c r="AV206" i="5"/>
  <c r="AS206" i="5"/>
  <c r="AP206" i="5"/>
  <c r="AM206" i="5"/>
  <c r="AI206" i="5"/>
  <c r="AF206" i="5"/>
  <c r="AF220" i="5" s="1"/>
  <c r="AD206" i="5"/>
  <c r="AA206" i="5"/>
  <c r="AA220" i="5" s="1"/>
  <c r="Y206" i="5"/>
  <c r="X206" i="5"/>
  <c r="X220" i="5"/>
  <c r="W206" i="5"/>
  <c r="W220" i="5"/>
  <c r="BS205" i="5"/>
  <c r="BP205" i="5"/>
  <c r="BM205" i="5"/>
  <c r="BJ205" i="5"/>
  <c r="BG205" i="5"/>
  <c r="BD205" i="5"/>
  <c r="AG205" i="5"/>
  <c r="AH205" i="5"/>
  <c r="AB205" i="5"/>
  <c r="P205" i="5"/>
  <c r="BS204" i="5"/>
  <c r="O204" i="5"/>
  <c r="BG204" i="5" s="1"/>
  <c r="BD204" i="5"/>
  <c r="AG204" i="5"/>
  <c r="AB204" i="5"/>
  <c r="Q204" i="5"/>
  <c r="P204" i="5"/>
  <c r="Z203" i="5"/>
  <c r="AB203" i="5" s="1"/>
  <c r="Q203" i="5"/>
  <c r="K203" i="5"/>
  <c r="P203" i="5" s="1"/>
  <c r="AB202" i="5"/>
  <c r="Q202" i="5"/>
  <c r="P202" i="5"/>
  <c r="O202" i="5"/>
  <c r="AC202" i="5" s="1"/>
  <c r="AB201" i="5"/>
  <c r="Q201" i="5"/>
  <c r="P201" i="5"/>
  <c r="O201" i="5"/>
  <c r="AC201" i="5" s="1"/>
  <c r="AB200" i="5"/>
  <c r="Q200" i="5"/>
  <c r="P200" i="5"/>
  <c r="O200" i="5"/>
  <c r="AC200" i="5" s="1"/>
  <c r="AB199" i="5"/>
  <c r="Q199" i="5"/>
  <c r="P199" i="5"/>
  <c r="O199" i="5"/>
  <c r="AC199" i="5" s="1"/>
  <c r="AB198" i="5"/>
  <c r="Q198" i="5"/>
  <c r="P198" i="5"/>
  <c r="O198" i="5"/>
  <c r="AC198" i="5" s="1"/>
  <c r="Z197" i="5"/>
  <c r="AB197" i="5" s="1"/>
  <c r="Q197" i="5"/>
  <c r="P197" i="5"/>
  <c r="O197" i="5"/>
  <c r="Z196" i="5"/>
  <c r="AB196" i="5" s="1"/>
  <c r="O196" i="5"/>
  <c r="AC196" i="5" s="1"/>
  <c r="Q196" i="5"/>
  <c r="P196" i="5"/>
  <c r="Z195" i="5"/>
  <c r="AB195" i="5" s="1"/>
  <c r="O195" i="5"/>
  <c r="Q195" i="5"/>
  <c r="P195" i="5"/>
  <c r="Z194" i="5"/>
  <c r="AB194" i="5" s="1"/>
  <c r="M194" i="5"/>
  <c r="L194" i="5"/>
  <c r="Q194" i="5"/>
  <c r="K194" i="5"/>
  <c r="P194" i="5" s="1"/>
  <c r="J194" i="5"/>
  <c r="I194" i="5"/>
  <c r="H194" i="5"/>
  <c r="G194" i="5"/>
  <c r="F194" i="5"/>
  <c r="AB193" i="5"/>
  <c r="AC193" i="5" s="1"/>
  <c r="O193" i="5"/>
  <c r="Q193" i="5"/>
  <c r="P193" i="5"/>
  <c r="AB192" i="5"/>
  <c r="Q192" i="5"/>
  <c r="P192" i="5"/>
  <c r="O192" i="5"/>
  <c r="Z191" i="5"/>
  <c r="AB191" i="5" s="1"/>
  <c r="Q191" i="5"/>
  <c r="P191" i="5"/>
  <c r="O191" i="5"/>
  <c r="BS190" i="5"/>
  <c r="BP190" i="5"/>
  <c r="BM190" i="5"/>
  <c r="BJ190" i="5"/>
  <c r="BG190" i="5"/>
  <c r="BD190" i="5"/>
  <c r="AJ190" i="5"/>
  <c r="AB190" i="5"/>
  <c r="P190" i="5"/>
  <c r="AF189" i="5"/>
  <c r="AA189" i="5"/>
  <c r="BS188" i="5"/>
  <c r="BP188" i="5"/>
  <c r="BM188" i="5"/>
  <c r="BJ188" i="5"/>
  <c r="BG188" i="5"/>
  <c r="BD188" i="5"/>
  <c r="AJ188" i="5"/>
  <c r="AG188" i="5"/>
  <c r="AH188" i="5" s="1"/>
  <c r="AB188" i="5"/>
  <c r="P188" i="5"/>
  <c r="AB187" i="5"/>
  <c r="Q187" i="5"/>
  <c r="O187" i="5"/>
  <c r="P187" i="5"/>
  <c r="AB186" i="5"/>
  <c r="AC186" i="5" s="1"/>
  <c r="Q186" i="5"/>
  <c r="P186" i="5"/>
  <c r="O186" i="5"/>
  <c r="AB185" i="5"/>
  <c r="AC185" i="5" s="1"/>
  <c r="Q185" i="5"/>
  <c r="P185" i="5"/>
  <c r="O185" i="5"/>
  <c r="AB184" i="5"/>
  <c r="AC184" i="5" s="1"/>
  <c r="Q184" i="5"/>
  <c r="O184" i="5"/>
  <c r="P184" i="5" s="1"/>
  <c r="AB183" i="5"/>
  <c r="AC183" i="5"/>
  <c r="Q183" i="5"/>
  <c r="P183" i="5"/>
  <c r="O183" i="5"/>
  <c r="AB182" i="5"/>
  <c r="AC182" i="5" s="1"/>
  <c r="Q182" i="5"/>
  <c r="P182" i="5"/>
  <c r="O182" i="5"/>
  <c r="AB181" i="5"/>
  <c r="AC181" i="5"/>
  <c r="Q181" i="5"/>
  <c r="P181" i="5"/>
  <c r="O181" i="5"/>
  <c r="Z180" i="5"/>
  <c r="AB180" i="5" s="1"/>
  <c r="Q180" i="5"/>
  <c r="P180" i="5"/>
  <c r="O180" i="5"/>
  <c r="Z179" i="5"/>
  <c r="AB179" i="5" s="1"/>
  <c r="AC179" i="5" s="1"/>
  <c r="Q179" i="5"/>
  <c r="K179" i="5"/>
  <c r="G178" i="5"/>
  <c r="AB178" i="5"/>
  <c r="M178" i="5"/>
  <c r="L178" i="5"/>
  <c r="Q178" i="5"/>
  <c r="J178" i="5"/>
  <c r="I178" i="5"/>
  <c r="F178" i="5"/>
  <c r="Z177" i="5"/>
  <c r="AB177" i="5" s="1"/>
  <c r="Q177" i="5"/>
  <c r="P177" i="5"/>
  <c r="O177" i="5"/>
  <c r="Z176" i="5"/>
  <c r="AB176" i="5" s="1"/>
  <c r="Q176" i="5"/>
  <c r="P176" i="5"/>
  <c r="F176" i="5"/>
  <c r="F175" i="5" s="1"/>
  <c r="AB175" i="5"/>
  <c r="N175" i="5"/>
  <c r="M175" i="5"/>
  <c r="L175" i="5"/>
  <c r="Q175" i="5" s="1"/>
  <c r="K175" i="5"/>
  <c r="P175" i="5" s="1"/>
  <c r="J175" i="5"/>
  <c r="I175" i="5"/>
  <c r="H175" i="5"/>
  <c r="G175" i="5"/>
  <c r="AC175" i="5" s="1"/>
  <c r="Z174" i="5"/>
  <c r="AB174" i="5" s="1"/>
  <c r="Q174" i="5"/>
  <c r="K174" i="5"/>
  <c r="O174" i="5" s="1"/>
  <c r="Q173" i="5"/>
  <c r="O173" i="5"/>
  <c r="Q172" i="5"/>
  <c r="O172" i="5"/>
  <c r="O171" i="5" s="1"/>
  <c r="AB171" i="5"/>
  <c r="M171" i="5"/>
  <c r="L171" i="5"/>
  <c r="Q171" i="5" s="1"/>
  <c r="K171" i="5"/>
  <c r="P171" i="5" s="1"/>
  <c r="J171" i="5"/>
  <c r="I171" i="5"/>
  <c r="G171" i="5"/>
  <c r="AC171" i="5" s="1"/>
  <c r="F171" i="5"/>
  <c r="AB170" i="5"/>
  <c r="Q170" i="5"/>
  <c r="P170" i="5"/>
  <c r="O170" i="5"/>
  <c r="AC170" i="5" s="1"/>
  <c r="AB169" i="5"/>
  <c r="Q169" i="5"/>
  <c r="P169" i="5"/>
  <c r="O169" i="5"/>
  <c r="AC169" i="5" s="1"/>
  <c r="Z168" i="5"/>
  <c r="AB168" i="5"/>
  <c r="AC168" i="5" s="1"/>
  <c r="Q168" i="5"/>
  <c r="P168" i="5"/>
  <c r="O168" i="5"/>
  <c r="Z167" i="5"/>
  <c r="AB167" i="5" s="1"/>
  <c r="Q167" i="5"/>
  <c r="P167" i="5"/>
  <c r="O167" i="5"/>
  <c r="Q166" i="5"/>
  <c r="P166" i="5"/>
  <c r="O166" i="5"/>
  <c r="Z165" i="5"/>
  <c r="AB165" i="5" s="1"/>
  <c r="Q165" i="5"/>
  <c r="F165" i="5"/>
  <c r="K165" i="5"/>
  <c r="K164" i="5" s="1"/>
  <c r="P164" i="5" s="1"/>
  <c r="F164" i="5"/>
  <c r="AB164" i="5"/>
  <c r="M164" i="5"/>
  <c r="L164" i="5"/>
  <c r="Q164" i="5" s="1"/>
  <c r="J164" i="5"/>
  <c r="I164" i="5"/>
  <c r="H164" i="5"/>
  <c r="G164" i="5"/>
  <c r="AB163" i="5"/>
  <c r="Q163" i="5"/>
  <c r="P163" i="5"/>
  <c r="O163" i="5"/>
  <c r="AC163" i="5" s="1"/>
  <c r="Z162" i="5"/>
  <c r="AB162" i="5" s="1"/>
  <c r="Q162" i="5"/>
  <c r="P162" i="5"/>
  <c r="O162" i="5"/>
  <c r="AB161" i="5"/>
  <c r="Q161" i="5"/>
  <c r="P161" i="5"/>
  <c r="O161" i="5"/>
  <c r="AB160" i="5"/>
  <c r="Q160" i="5"/>
  <c r="P160" i="5"/>
  <c r="O160" i="5"/>
  <c r="Z159" i="5"/>
  <c r="AB159" i="5"/>
  <c r="Q159" i="5"/>
  <c r="P159" i="5"/>
  <c r="O159" i="5"/>
  <c r="AB158" i="5"/>
  <c r="Q158" i="5"/>
  <c r="P158" i="5"/>
  <c r="O158" i="5"/>
  <c r="Q157" i="5"/>
  <c r="P157" i="5"/>
  <c r="O157" i="5"/>
  <c r="Z156" i="5"/>
  <c r="Q156" i="5"/>
  <c r="P156" i="5"/>
  <c r="O156" i="5"/>
  <c r="Z155" i="5"/>
  <c r="AB155" i="5"/>
  <c r="M155" i="5"/>
  <c r="L155" i="5"/>
  <c r="Q155" i="5" s="1"/>
  <c r="K155" i="5"/>
  <c r="J155" i="5"/>
  <c r="I155" i="5"/>
  <c r="G155" i="5"/>
  <c r="F155" i="5"/>
  <c r="BS154" i="5"/>
  <c r="BP154" i="5"/>
  <c r="BM154" i="5"/>
  <c r="BJ154" i="5"/>
  <c r="BG154" i="5"/>
  <c r="BD154" i="5"/>
  <c r="AJ154" i="5"/>
  <c r="AB154" i="5"/>
  <c r="P154" i="5"/>
  <c r="AF153" i="5"/>
  <c r="AF222" i="5" s="1"/>
  <c r="AA153" i="5"/>
  <c r="X153" i="5"/>
  <c r="W153" i="5"/>
  <c r="BS152" i="5"/>
  <c r="BP152" i="5"/>
  <c r="BM152" i="5"/>
  <c r="BJ152" i="5"/>
  <c r="BG152" i="5"/>
  <c r="BD152" i="5"/>
  <c r="AJ152" i="5"/>
  <c r="AG152" i="5"/>
  <c r="AH152" i="5"/>
  <c r="AB152" i="5"/>
  <c r="AC152" i="5" s="1"/>
  <c r="P152" i="5"/>
  <c r="AB151" i="5"/>
  <c r="Q151" i="5"/>
  <c r="P151" i="5"/>
  <c r="G151" i="5"/>
  <c r="O151" i="5" s="1"/>
  <c r="AC151" i="5" s="1"/>
  <c r="AB150" i="5"/>
  <c r="Q150" i="5"/>
  <c r="P150" i="5"/>
  <c r="O150" i="5"/>
  <c r="AB149" i="5"/>
  <c r="Q149" i="5"/>
  <c r="P149" i="5"/>
  <c r="O149" i="5"/>
  <c r="AB148" i="5"/>
  <c r="Q148" i="5"/>
  <c r="P148" i="5"/>
  <c r="O148" i="5"/>
  <c r="AB147" i="5"/>
  <c r="Q147" i="5"/>
  <c r="P147" i="5"/>
  <c r="O147" i="5"/>
  <c r="AB146" i="5"/>
  <c r="AC146" i="5" s="1"/>
  <c r="Q146" i="5"/>
  <c r="P146" i="5"/>
  <c r="O146" i="5"/>
  <c r="AB145" i="5"/>
  <c r="Q145" i="5"/>
  <c r="P145" i="5"/>
  <c r="O145" i="5"/>
  <c r="AB144" i="5"/>
  <c r="AC144" i="5" s="1"/>
  <c r="Q144" i="5"/>
  <c r="P144" i="5"/>
  <c r="O144" i="5"/>
  <c r="AB143" i="5"/>
  <c r="Q143" i="5"/>
  <c r="P143" i="5"/>
  <c r="O143" i="5"/>
  <c r="AB142" i="5"/>
  <c r="AC142" i="5" s="1"/>
  <c r="O142" i="5"/>
  <c r="Q142" i="5"/>
  <c r="P142" i="5"/>
  <c r="AB141" i="5"/>
  <c r="Q141" i="5"/>
  <c r="P141" i="5"/>
  <c r="O141" i="5"/>
  <c r="AC141" i="5" s="1"/>
  <c r="AB140" i="5"/>
  <c r="Q140" i="5"/>
  <c r="P140" i="5"/>
  <c r="O140" i="5"/>
  <c r="AC140" i="5" s="1"/>
  <c r="Z139" i="5"/>
  <c r="AB139" i="5" s="1"/>
  <c r="AC139" i="5" s="1"/>
  <c r="Q139" i="5"/>
  <c r="P139" i="5"/>
  <c r="O139" i="5"/>
  <c r="AB138" i="5"/>
  <c r="Q138" i="5"/>
  <c r="P138" i="5"/>
  <c r="O138" i="5"/>
  <c r="AB137" i="5"/>
  <c r="Q137" i="5"/>
  <c r="P137" i="5"/>
  <c r="O137" i="5"/>
  <c r="AB136" i="5"/>
  <c r="Q136" i="5"/>
  <c r="P136" i="5"/>
  <c r="O136" i="5"/>
  <c r="AB135" i="5"/>
  <c r="O135" i="5"/>
  <c r="Q135" i="5"/>
  <c r="P135" i="5"/>
  <c r="Z134" i="5"/>
  <c r="Q134" i="5"/>
  <c r="P134" i="5"/>
  <c r="G134" i="5"/>
  <c r="O134" i="5" s="1"/>
  <c r="AB133" i="5"/>
  <c r="Q133" i="5"/>
  <c r="K133" i="5"/>
  <c r="Z132" i="5"/>
  <c r="AB132" i="5" s="1"/>
  <c r="Q132" i="5"/>
  <c r="P132" i="5"/>
  <c r="G132" i="5"/>
  <c r="O132" i="5" s="1"/>
  <c r="AC132" i="5" s="1"/>
  <c r="BS131" i="5"/>
  <c r="BP131" i="5"/>
  <c r="BM131" i="5"/>
  <c r="BJ131" i="5"/>
  <c r="BG131" i="5"/>
  <c r="BD131" i="5"/>
  <c r="AJ131" i="5"/>
  <c r="AB131" i="5"/>
  <c r="P131" i="5"/>
  <c r="AF130" i="5"/>
  <c r="AA130" i="5"/>
  <c r="W130" i="5"/>
  <c r="BS129" i="5"/>
  <c r="BP129" i="5"/>
  <c r="BM129" i="5"/>
  <c r="BJ129" i="5"/>
  <c r="BG129" i="5"/>
  <c r="BD129" i="5"/>
  <c r="AJ129" i="5"/>
  <c r="AG129" i="5"/>
  <c r="AH129" i="5" s="1"/>
  <c r="AB129" i="5"/>
  <c r="P129" i="5"/>
  <c r="AB128" i="5"/>
  <c r="AC128" i="5" s="1"/>
  <c r="Q128" i="5"/>
  <c r="P128" i="5"/>
  <c r="O128" i="5"/>
  <c r="AB127" i="5"/>
  <c r="O127" i="5"/>
  <c r="X127" i="5" s="1"/>
  <c r="Q127" i="5"/>
  <c r="P127" i="5"/>
  <c r="AC127" i="5"/>
  <c r="AB126" i="5"/>
  <c r="Q126" i="5"/>
  <c r="P126" i="5"/>
  <c r="O126" i="5"/>
  <c r="AC126" i="5" s="1"/>
  <c r="AB125" i="5"/>
  <c r="O125" i="5"/>
  <c r="Q125" i="5"/>
  <c r="P125" i="5"/>
  <c r="O124" i="5"/>
  <c r="AB124" i="5"/>
  <c r="Q124" i="5"/>
  <c r="P124" i="5"/>
  <c r="Z123" i="5"/>
  <c r="AB123" i="5" s="1"/>
  <c r="Q123" i="5"/>
  <c r="K123" i="5"/>
  <c r="Z122" i="5"/>
  <c r="AB122" i="5" s="1"/>
  <c r="Q122" i="5"/>
  <c r="K122" i="5"/>
  <c r="P122" i="5"/>
  <c r="Q121" i="5"/>
  <c r="P121" i="5"/>
  <c r="O121" i="5"/>
  <c r="O120" i="5"/>
  <c r="X120" i="5" s="1"/>
  <c r="Q120" i="5"/>
  <c r="P120" i="5"/>
  <c r="Z119" i="5"/>
  <c r="AB119" i="5" s="1"/>
  <c r="Q119" i="5"/>
  <c r="K119" i="5"/>
  <c r="P119" i="5" s="1"/>
  <c r="O118" i="5"/>
  <c r="AC118" i="5" s="1"/>
  <c r="Q118" i="5"/>
  <c r="P118" i="5"/>
  <c r="Z117" i="5"/>
  <c r="AB117" i="5" s="1"/>
  <c r="Q117" i="5"/>
  <c r="K117" i="5"/>
  <c r="P117" i="5" s="1"/>
  <c r="F117" i="5"/>
  <c r="BS116" i="5"/>
  <c r="BP116" i="5"/>
  <c r="BM116" i="5"/>
  <c r="BJ116" i="5"/>
  <c r="BG116" i="5"/>
  <c r="BD116" i="5"/>
  <c r="AJ116" i="5"/>
  <c r="AB116" i="5"/>
  <c r="P116" i="5"/>
  <c r="AF115" i="5"/>
  <c r="AA115" i="5"/>
  <c r="W115" i="5"/>
  <c r="BS114" i="5"/>
  <c r="BP114" i="5"/>
  <c r="BM114" i="5"/>
  <c r="BJ114" i="5"/>
  <c r="BG114" i="5"/>
  <c r="BD114" i="5"/>
  <c r="AJ114" i="5"/>
  <c r="AG114" i="5"/>
  <c r="AH114" i="5" s="1"/>
  <c r="AB114" i="5"/>
  <c r="P114" i="5"/>
  <c r="Z113" i="5"/>
  <c r="AB113" i="5" s="1"/>
  <c r="Q113" i="5"/>
  <c r="P113" i="5"/>
  <c r="F113" i="5"/>
  <c r="O113" i="5" s="1"/>
  <c r="AB112" i="5"/>
  <c r="Q112" i="5"/>
  <c r="P112" i="5"/>
  <c r="O112" i="5"/>
  <c r="AC112" i="5" s="1"/>
  <c r="Q111" i="5"/>
  <c r="P111" i="5"/>
  <c r="O111" i="5"/>
  <c r="AC111" i="5" s="1"/>
  <c r="AB110" i="5"/>
  <c r="Q110" i="5"/>
  <c r="P110" i="5"/>
  <c r="O110" i="5"/>
  <c r="AB109" i="5"/>
  <c r="Q109" i="5"/>
  <c r="P109" i="5"/>
  <c r="O109" i="5"/>
  <c r="AB108" i="5"/>
  <c r="Q108" i="5"/>
  <c r="P108" i="5"/>
  <c r="O108" i="5"/>
  <c r="Z107" i="5"/>
  <c r="AB107" i="5" s="1"/>
  <c r="Q107" i="5"/>
  <c r="P107" i="5"/>
  <c r="O107" i="5"/>
  <c r="O103" i="5" s="1"/>
  <c r="AC103" i="5" s="1"/>
  <c r="Z106" i="5"/>
  <c r="AB106" i="5" s="1"/>
  <c r="Q106" i="5"/>
  <c r="P106" i="5"/>
  <c r="O106" i="5"/>
  <c r="Z105" i="5"/>
  <c r="AB105" i="5" s="1"/>
  <c r="Q105" i="5"/>
  <c r="P105" i="5"/>
  <c r="O105" i="5"/>
  <c r="Z104" i="5"/>
  <c r="AB104" i="5" s="1"/>
  <c r="Q104" i="5"/>
  <c r="P104" i="5"/>
  <c r="F104" i="5"/>
  <c r="O104" i="5" s="1"/>
  <c r="AB103" i="5"/>
  <c r="M103" i="5"/>
  <c r="L103" i="5"/>
  <c r="Q103" i="5" s="1"/>
  <c r="K103" i="5"/>
  <c r="P103" i="5" s="1"/>
  <c r="J103" i="5"/>
  <c r="I103" i="5"/>
  <c r="G103" i="5"/>
  <c r="AB102" i="5"/>
  <c r="Q102" i="5"/>
  <c r="P102" i="5"/>
  <c r="O102" i="5"/>
  <c r="AB101" i="5"/>
  <c r="Q101" i="5"/>
  <c r="P101" i="5"/>
  <c r="O101" i="5"/>
  <c r="AB100" i="5"/>
  <c r="Q100" i="5"/>
  <c r="P100" i="5"/>
  <c r="O100" i="5"/>
  <c r="AB99" i="5"/>
  <c r="Q99" i="5"/>
  <c r="P99" i="5"/>
  <c r="O98" i="5"/>
  <c r="X98" i="5" s="1"/>
  <c r="AB98" i="5"/>
  <c r="Q98" i="5"/>
  <c r="P98" i="5"/>
  <c r="AB97" i="5"/>
  <c r="Q97" i="5"/>
  <c r="P97" i="5"/>
  <c r="O97" i="5"/>
  <c r="BA97" i="5" s="1"/>
  <c r="AB96" i="5"/>
  <c r="Q96" i="5"/>
  <c r="P96" i="5"/>
  <c r="O96" i="5"/>
  <c r="BA96" i="5" s="1"/>
  <c r="AB95" i="5"/>
  <c r="Q95" i="5"/>
  <c r="P95" i="5"/>
  <c r="O95" i="5"/>
  <c r="AB94" i="5"/>
  <c r="Q94" i="5"/>
  <c r="P94" i="5"/>
  <c r="O94" i="5"/>
  <c r="BS93" i="5"/>
  <c r="BP93" i="5"/>
  <c r="BM93" i="5"/>
  <c r="BJ93" i="5"/>
  <c r="BG93" i="5"/>
  <c r="BD93" i="5"/>
  <c r="AL93" i="5"/>
  <c r="AJ93" i="5"/>
  <c r="AB93" i="5"/>
  <c r="X93" i="5"/>
  <c r="P93" i="5"/>
  <c r="AV92" i="5"/>
  <c r="AS92" i="5"/>
  <c r="AF91" i="5"/>
  <c r="AA91" i="5"/>
  <c r="X91" i="5"/>
  <c r="W91" i="5"/>
  <c r="BS90" i="5"/>
  <c r="BP90" i="5"/>
  <c r="BM90" i="5"/>
  <c r="BJ90" i="5"/>
  <c r="BG90" i="5"/>
  <c r="BD90" i="5"/>
  <c r="AL90" i="5"/>
  <c r="AJ90" i="5"/>
  <c r="AG90" i="5"/>
  <c r="AH90" i="5" s="1"/>
  <c r="AB90" i="5"/>
  <c r="P90" i="5"/>
  <c r="Z89" i="5"/>
  <c r="AB89" i="5" s="1"/>
  <c r="AC89" i="5" s="1"/>
  <c r="Q89" i="5"/>
  <c r="K89" i="5"/>
  <c r="F89" i="5"/>
  <c r="O89" i="5" s="1"/>
  <c r="AB88" i="5"/>
  <c r="Q88" i="5"/>
  <c r="P88" i="5"/>
  <c r="O88" i="5"/>
  <c r="AB87" i="5"/>
  <c r="Q87" i="5"/>
  <c r="P87" i="5"/>
  <c r="O87" i="5"/>
  <c r="AB86" i="5"/>
  <c r="Q86" i="5"/>
  <c r="P86" i="5"/>
  <c r="O86" i="5"/>
  <c r="AB85" i="5"/>
  <c r="Q85" i="5"/>
  <c r="P85" i="5"/>
  <c r="O85" i="5"/>
  <c r="Z84" i="5"/>
  <c r="AB84" i="5" s="1"/>
  <c r="Q84" i="5"/>
  <c r="P84" i="5"/>
  <c r="O84" i="5"/>
  <c r="Z83" i="5"/>
  <c r="AB83" i="5" s="1"/>
  <c r="Q83" i="5"/>
  <c r="P83" i="5"/>
  <c r="F83" i="5"/>
  <c r="Z82" i="5"/>
  <c r="AB82" i="5" s="1"/>
  <c r="L82" i="5"/>
  <c r="Q82" i="5" s="1"/>
  <c r="M82" i="5"/>
  <c r="K82" i="5"/>
  <c r="P82" i="5" s="1"/>
  <c r="J82" i="5"/>
  <c r="I82" i="5"/>
  <c r="G82" i="5"/>
  <c r="Z81" i="5"/>
  <c r="AB81" i="5" s="1"/>
  <c r="Q81" i="5"/>
  <c r="P81" i="5"/>
  <c r="F81" i="5"/>
  <c r="O81" i="5" s="1"/>
  <c r="Z80" i="5"/>
  <c r="AB80" i="5" s="1"/>
  <c r="AC80" i="5" s="1"/>
  <c r="Q80" i="5"/>
  <c r="P80" i="5"/>
  <c r="O80" i="5"/>
  <c r="Z79" i="5"/>
  <c r="AB79" i="5" s="1"/>
  <c r="Q79" i="5"/>
  <c r="P79" i="5"/>
  <c r="G79" i="5"/>
  <c r="G78" i="5" s="1"/>
  <c r="F79" i="5"/>
  <c r="AB78" i="5"/>
  <c r="L78" i="5"/>
  <c r="Q78" i="5" s="1"/>
  <c r="M78" i="5"/>
  <c r="K78" i="5"/>
  <c r="P78" i="5" s="1"/>
  <c r="J78" i="5"/>
  <c r="I78" i="5"/>
  <c r="H78" i="5"/>
  <c r="AB77" i="5"/>
  <c r="AC77" i="5" s="1"/>
  <c r="Q77" i="5"/>
  <c r="P77" i="5"/>
  <c r="O77" i="5"/>
  <c r="Z76" i="5"/>
  <c r="AB76" i="5"/>
  <c r="AC76" i="5" s="1"/>
  <c r="Q76" i="5"/>
  <c r="P76" i="5"/>
  <c r="O76" i="5"/>
  <c r="AB75" i="5"/>
  <c r="AC75" i="5" s="1"/>
  <c r="Q75" i="5"/>
  <c r="P75" i="5"/>
  <c r="O75" i="5"/>
  <c r="AB74" i="5"/>
  <c r="Q74" i="5"/>
  <c r="P74" i="5"/>
  <c r="O74" i="5"/>
  <c r="AB73" i="5"/>
  <c r="AC73" i="5" s="1"/>
  <c r="Q73" i="5"/>
  <c r="P73" i="5"/>
  <c r="O73" i="5"/>
  <c r="AB72" i="5"/>
  <c r="Q72" i="5"/>
  <c r="P72" i="5"/>
  <c r="O72" i="5"/>
  <c r="AB71" i="5"/>
  <c r="Q71" i="5"/>
  <c r="P71" i="5"/>
  <c r="O71" i="5"/>
  <c r="AC71" i="5"/>
  <c r="AB70" i="5"/>
  <c r="Q70" i="5"/>
  <c r="P70" i="5"/>
  <c r="O70" i="5"/>
  <c r="AC70" i="5" s="1"/>
  <c r="AB69" i="5"/>
  <c r="Q69" i="5"/>
  <c r="P69" i="5"/>
  <c r="O69" i="5"/>
  <c r="AC69" i="5" s="1"/>
  <c r="AB68" i="5"/>
  <c r="Q68" i="5"/>
  <c r="P68" i="5"/>
  <c r="O68" i="5"/>
  <c r="AB67" i="5"/>
  <c r="Q67" i="5"/>
  <c r="P67" i="5"/>
  <c r="O67" i="5"/>
  <c r="AC67" i="5" s="1"/>
  <c r="AB66" i="5"/>
  <c r="Q66" i="5"/>
  <c r="P66" i="5"/>
  <c r="O66" i="5"/>
  <c r="AC66" i="5" s="1"/>
  <c r="Z65" i="5"/>
  <c r="Q65" i="5"/>
  <c r="P65" i="5"/>
  <c r="O65" i="5"/>
  <c r="Z64" i="5"/>
  <c r="AB64" i="5"/>
  <c r="O64" i="5"/>
  <c r="AC64" i="5" s="1"/>
  <c r="Q64" i="5"/>
  <c r="P64" i="5"/>
  <c r="Z63" i="5"/>
  <c r="AB63" i="5" s="1"/>
  <c r="Q63" i="5"/>
  <c r="K63" i="5"/>
  <c r="P63" i="5" s="1"/>
  <c r="G63" i="5"/>
  <c r="F63" i="5"/>
  <c r="AB62" i="5"/>
  <c r="O62" i="5"/>
  <c r="Q62" i="5"/>
  <c r="P62" i="5"/>
  <c r="Z61" i="5"/>
  <c r="AB61" i="5"/>
  <c r="Q61" i="5"/>
  <c r="P61" i="5"/>
  <c r="O61" i="5"/>
  <c r="AC61" i="5"/>
  <c r="Z60" i="5"/>
  <c r="AB60" i="5" s="1"/>
  <c r="Q60" i="5"/>
  <c r="P60" i="5"/>
  <c r="F60" i="5"/>
  <c r="O60" i="5" s="1"/>
  <c r="AB59" i="5"/>
  <c r="O59" i="5"/>
  <c r="AC59" i="5" s="1"/>
  <c r="Q59" i="5"/>
  <c r="P59" i="5"/>
  <c r="Z58" i="5"/>
  <c r="AB58" i="5" s="1"/>
  <c r="L58" i="5"/>
  <c r="Q58" i="5"/>
  <c r="K58" i="5"/>
  <c r="Z57" i="5"/>
  <c r="K57" i="5"/>
  <c r="P57" i="5"/>
  <c r="L57" i="5"/>
  <c r="O57" i="5" s="1"/>
  <c r="J57" i="5"/>
  <c r="BS56" i="5"/>
  <c r="BP56" i="5"/>
  <c r="BM56" i="5" s="1"/>
  <c r="BJ56" i="5"/>
  <c r="BG56" i="5"/>
  <c r="BD56" i="5"/>
  <c r="AL56" i="5"/>
  <c r="AJ56" i="5"/>
  <c r="AG56" i="5"/>
  <c r="AH56" i="5"/>
  <c r="AB56" i="5"/>
  <c r="P56" i="5"/>
  <c r="W55" i="5"/>
  <c r="AB54" i="5"/>
  <c r="P54" i="5"/>
  <c r="Z53" i="5"/>
  <c r="BS52" i="5"/>
  <c r="BP52" i="5"/>
  <c r="BM52" i="5"/>
  <c r="AL52" i="5"/>
  <c r="AJ52" i="5"/>
  <c r="P52" i="5"/>
  <c r="BJ51" i="5"/>
  <c r="BG51" i="5"/>
  <c r="BD51" i="5"/>
  <c r="Q51" i="5"/>
  <c r="P51" i="5"/>
  <c r="O51" i="5"/>
  <c r="BA51" i="5" s="1"/>
  <c r="BP50" i="5"/>
  <c r="BM50" i="5" s="1"/>
  <c r="AC50" i="5"/>
  <c r="Q50" i="5"/>
  <c r="P50" i="5"/>
  <c r="O50" i="5"/>
  <c r="Q49" i="5"/>
  <c r="P49" i="5"/>
  <c r="O49" i="5"/>
  <c r="Q48" i="5"/>
  <c r="P48" i="5"/>
  <c r="O48" i="5"/>
  <c r="Q47" i="5"/>
  <c r="P47" i="5"/>
  <c r="O47" i="5"/>
  <c r="Q46" i="5"/>
  <c r="P46" i="5"/>
  <c r="O46" i="5"/>
  <c r="Q45" i="5"/>
  <c r="P45" i="5"/>
  <c r="O45" i="5"/>
  <c r="Q44" i="5"/>
  <c r="P44" i="5"/>
  <c r="O44" i="5"/>
  <c r="Q43" i="5"/>
  <c r="P43" i="5"/>
  <c r="O43" i="5"/>
  <c r="BP42" i="5"/>
  <c r="BM42" i="5" s="1"/>
  <c r="AC42" i="5"/>
  <c r="Q42" i="5"/>
  <c r="P42" i="5"/>
  <c r="O42" i="5"/>
  <c r="BA42" i="5" s="1"/>
  <c r="AC41" i="5"/>
  <c r="Q41" i="5"/>
  <c r="P41" i="5"/>
  <c r="O41" i="5"/>
  <c r="AH41" i="5" s="1"/>
  <c r="BJ40" i="5"/>
  <c r="BG40" i="5"/>
  <c r="BD40" i="5"/>
  <c r="AC40" i="5"/>
  <c r="Q40" i="5"/>
  <c r="P40" i="5"/>
  <c r="O40" i="5"/>
  <c r="BA40" i="5" s="1"/>
  <c r="BS39" i="5"/>
  <c r="BP39" i="5"/>
  <c r="BM39" i="5" s="1"/>
  <c r="AL39" i="5"/>
  <c r="AJ39" i="5"/>
  <c r="P39" i="5"/>
  <c r="BG38" i="5"/>
  <c r="BD38" i="5"/>
  <c r="M38" i="5"/>
  <c r="L38" i="5"/>
  <c r="J38" i="5"/>
  <c r="I38" i="5"/>
  <c r="I53" i="5" s="1"/>
  <c r="I55" i="5" s="1"/>
  <c r="AJ37" i="5"/>
  <c r="Q36" i="5"/>
  <c r="P36" i="5"/>
  <c r="G36" i="5"/>
  <c r="O36" i="5" s="1"/>
  <c r="F36" i="5"/>
  <c r="F38" i="5" s="1"/>
  <c r="AC35" i="5"/>
  <c r="Q35" i="5"/>
  <c r="P35" i="5"/>
  <c r="O35" i="5"/>
  <c r="AH35" i="5"/>
  <c r="AC34" i="5"/>
  <c r="Q34" i="5"/>
  <c r="P34" i="5"/>
  <c r="O34" i="5"/>
  <c r="AH34" i="5" s="1"/>
  <c r="Q33" i="5"/>
  <c r="P33" i="5"/>
  <c r="O33" i="5"/>
  <c r="BJ32" i="5"/>
  <c r="AC32" i="5"/>
  <c r="Q32" i="5"/>
  <c r="K32" i="5"/>
  <c r="P32" i="5" s="1"/>
  <c r="BJ26" i="5"/>
  <c r="BJ27" i="5"/>
  <c r="BA30" i="5"/>
  <c r="AF30" i="5"/>
  <c r="AF53" i="5" s="1"/>
  <c r="AF55" i="5" s="1"/>
  <c r="AA30" i="5"/>
  <c r="AB30" i="5"/>
  <c r="AC30" i="5" s="1"/>
  <c r="AA53" i="5"/>
  <c r="AA55" i="5" s="1"/>
  <c r="W30" i="5"/>
  <c r="M30" i="5"/>
  <c r="M53" i="5"/>
  <c r="M55" i="5" s="1"/>
  <c r="L30" i="5"/>
  <c r="K30" i="5"/>
  <c r="P30" i="5"/>
  <c r="J30" i="5"/>
  <c r="J53" i="5" s="1"/>
  <c r="J55" i="5" s="1"/>
  <c r="I30" i="5"/>
  <c r="G30" i="5"/>
  <c r="F30" i="5"/>
  <c r="Q28" i="5"/>
  <c r="P28" i="5"/>
  <c r="O28" i="5"/>
  <c r="BP27" i="5"/>
  <c r="BM27" i="5" s="1"/>
  <c r="BG27" i="5"/>
  <c r="BD27" i="5"/>
  <c r="AC27" i="5"/>
  <c r="Q27" i="5"/>
  <c r="P27" i="5"/>
  <c r="O27" i="5"/>
  <c r="BG26" i="5"/>
  <c r="BG30" i="5" s="1"/>
  <c r="BD26" i="5"/>
  <c r="BD30" i="5" s="1"/>
  <c r="AC26" i="5"/>
  <c r="Q26" i="5"/>
  <c r="P26" i="5"/>
  <c r="O26" i="5"/>
  <c r="Q25" i="5"/>
  <c r="P25" i="5"/>
  <c r="O25" i="5"/>
  <c r="Q24" i="5"/>
  <c r="O24" i="5"/>
  <c r="O23" i="5"/>
  <c r="AA22" i="5"/>
  <c r="BM21" i="5"/>
  <c r="BL21" i="5"/>
  <c r="BJ21" i="5"/>
  <c r="BI21" i="5"/>
  <c r="BG21" i="5"/>
  <c r="BF21" i="5"/>
  <c r="BD21" i="5"/>
  <c r="BC21" i="5"/>
  <c r="BA21" i="5"/>
  <c r="AZ21" i="5"/>
  <c r="AX21" i="5"/>
  <c r="AW21" i="5"/>
  <c r="AU21" i="5"/>
  <c r="AT21" i="5"/>
  <c r="AQ21" i="5"/>
  <c r="AE21" i="5"/>
  <c r="O21" i="5"/>
  <c r="BL20" i="5"/>
  <c r="BI20" i="5"/>
  <c r="BF20" i="5"/>
  <c r="BC20" i="5"/>
  <c r="AZ20" i="5"/>
  <c r="AW20" i="5"/>
  <c r="AT20" i="5"/>
  <c r="AQ20" i="5"/>
  <c r="AK20" i="5"/>
  <c r="AE20" i="5"/>
  <c r="BL19" i="5"/>
  <c r="BI19" i="5"/>
  <c r="BF19" i="5"/>
  <c r="BC19" i="5"/>
  <c r="AZ19" i="5"/>
  <c r="AW19" i="5"/>
  <c r="AT19" i="5"/>
  <c r="AQ19" i="5"/>
  <c r="AK19" i="5"/>
  <c r="U17" i="5"/>
  <c r="T17" i="5"/>
  <c r="S17" i="5"/>
  <c r="R17" i="5"/>
  <c r="U12" i="5"/>
  <c r="T12" i="5"/>
  <c r="S12" i="5"/>
  <c r="R12" i="5"/>
  <c r="AQ11" i="5"/>
  <c r="AK11" i="5"/>
  <c r="E4" i="5"/>
  <c r="AO20" i="5" s="1"/>
  <c r="P174" i="5"/>
  <c r="O176" i="5"/>
  <c r="O175" i="5" s="1"/>
  <c r="P208" i="5"/>
  <c r="AC106" i="5"/>
  <c r="BA204" i="5"/>
  <c r="AC261" i="5"/>
  <c r="AC87" i="5"/>
  <c r="W307" i="5"/>
  <c r="AC138" i="5"/>
  <c r="O179" i="5"/>
  <c r="O79" i="5"/>
  <c r="AC79" i="5" s="1"/>
  <c r="AC100" i="5"/>
  <c r="AB234" i="5"/>
  <c r="AL268" i="5"/>
  <c r="O32" i="5"/>
  <c r="K38" i="5"/>
  <c r="P38" i="5" s="1"/>
  <c r="AF54" i="5"/>
  <c r="Q57" i="5"/>
  <c r="O30" i="5"/>
  <c r="AC68" i="5"/>
  <c r="AB57" i="5"/>
  <c r="AH50" i="5"/>
  <c r="P89" i="5"/>
  <c r="X97" i="5"/>
  <c r="AC113" i="5"/>
  <c r="O99" i="5"/>
  <c r="AC101" i="5"/>
  <c r="X96" i="5"/>
  <c r="AC81" i="5"/>
  <c r="O119" i="5"/>
  <c r="AC104" i="5"/>
  <c r="AC109" i="5"/>
  <c r="X118" i="5"/>
  <c r="AC145" i="5"/>
  <c r="X121" i="5"/>
  <c r="O122" i="5"/>
  <c r="AC121" i="5"/>
  <c r="AC143" i="5"/>
  <c r="AC160" i="5"/>
  <c r="X128" i="5"/>
  <c r="AB156" i="5"/>
  <c r="X126" i="5"/>
  <c r="AC136" i="5"/>
  <c r="AC177" i="5"/>
  <c r="AS223" i="5"/>
  <c r="AC159" i="5"/>
  <c r="AC176" i="5"/>
  <c r="AR204" i="5"/>
  <c r="O242" i="5"/>
  <c r="F209" i="5"/>
  <c r="BM204" i="5"/>
  <c r="X257" i="5"/>
  <c r="AC227" i="5"/>
  <c r="AC249" i="5"/>
  <c r="AC216" i="5"/>
  <c r="O210" i="5"/>
  <c r="AH204" i="5"/>
  <c r="O263" i="5"/>
  <c r="BA268" i="5"/>
  <c r="BG268" i="5"/>
  <c r="AC57" i="5"/>
  <c r="X30" i="5"/>
  <c r="D11" i="2"/>
  <c r="D10" i="2"/>
  <c r="F59" i="7"/>
  <c r="F37" i="7"/>
  <c r="F58" i="7"/>
  <c r="F36" i="7"/>
  <c r="F16" i="7"/>
  <c r="F41" i="7"/>
  <c r="F21" i="7"/>
  <c r="F28" i="7"/>
  <c r="F34" i="7"/>
  <c r="F49" i="7"/>
  <c r="F26" i="7"/>
  <c r="F31" i="7"/>
  <c r="F53" i="7"/>
  <c r="F33" i="7"/>
  <c r="F52" i="7"/>
  <c r="F32" i="7"/>
  <c r="F57" i="7"/>
  <c r="F35" i="7"/>
  <c r="F62" i="7"/>
  <c r="F20" i="7"/>
  <c r="F48" i="7"/>
  <c r="F40" i="7"/>
  <c r="F19" i="7"/>
  <c r="F43" i="7"/>
  <c r="F23" i="7"/>
  <c r="F42" i="7"/>
  <c r="F22" i="7"/>
  <c r="F47" i="7"/>
  <c r="F25" i="7"/>
  <c r="F50" i="7"/>
  <c r="F56" i="7"/>
  <c r="F46" i="7"/>
  <c r="F27" i="7"/>
  <c r="F51" i="7"/>
  <c r="F24" i="7"/>
  <c r="E50" i="7"/>
  <c r="E57" i="7"/>
  <c r="E56" i="7"/>
  <c r="E23" i="7"/>
  <c r="E28" i="7"/>
  <c r="E35" i="7"/>
  <c r="E62" i="7"/>
  <c r="E58" i="7"/>
  <c r="E24" i="7"/>
  <c r="E53" i="7"/>
  <c r="E40" i="7"/>
  <c r="E19" i="7"/>
  <c r="E16" i="7"/>
  <c r="E48" i="7"/>
  <c r="E46" i="7"/>
  <c r="E31" i="7"/>
  <c r="E27" i="7"/>
  <c r="E42" i="7"/>
  <c r="E41" i="7"/>
  <c r="E21" i="7"/>
  <c r="E25" i="7"/>
  <c r="E37" i="7"/>
  <c r="E47" i="7"/>
  <c r="E59" i="7"/>
  <c r="E36" i="7"/>
  <c r="E34" i="7"/>
  <c r="E32" i="7"/>
  <c r="E51" i="7"/>
  <c r="E33" i="7"/>
  <c r="E26" i="7"/>
  <c r="E22" i="7"/>
  <c r="E43" i="7"/>
  <c r="E49" i="7"/>
  <c r="E52" i="7"/>
  <c r="E20" i="7"/>
  <c r="AC60" i="5" l="1"/>
  <c r="BJ204" i="5"/>
  <c r="Z206" i="5"/>
  <c r="P165" i="5"/>
  <c r="E48" i="53"/>
  <c r="F48" i="55"/>
  <c r="F29" i="57"/>
  <c r="AA185" i="58"/>
  <c r="AA189" i="58" s="1"/>
  <c r="F47" i="64"/>
  <c r="F26" i="62"/>
  <c r="F46" i="62"/>
  <c r="F43" i="59"/>
  <c r="F20" i="59"/>
  <c r="F35" i="59"/>
  <c r="F51" i="57"/>
  <c r="F60" i="57"/>
  <c r="F19" i="57"/>
  <c r="F53" i="55"/>
  <c r="F16" i="55"/>
  <c r="F37" i="53"/>
  <c r="E23" i="53"/>
  <c r="E51" i="53"/>
  <c r="F58" i="53"/>
  <c r="F36" i="53"/>
  <c r="F45" i="66"/>
  <c r="F36" i="64"/>
  <c r="F21" i="59"/>
  <c r="F41" i="59"/>
  <c r="F31" i="59"/>
  <c r="F44" i="57"/>
  <c r="F54" i="57"/>
  <c r="F46" i="55"/>
  <c r="F35" i="55"/>
  <c r="F51" i="55"/>
  <c r="E61" i="53"/>
  <c r="F46" i="53"/>
  <c r="E31" i="53"/>
  <c r="E60" i="53"/>
  <c r="F43" i="53"/>
  <c r="F49" i="53"/>
  <c r="F33" i="64"/>
  <c r="F51" i="59"/>
  <c r="F23" i="59"/>
  <c r="F59" i="57"/>
  <c r="F16" i="57"/>
  <c r="F48" i="57"/>
  <c r="F41" i="55"/>
  <c r="F52" i="55"/>
  <c r="F29" i="55"/>
  <c r="F54" i="53"/>
  <c r="E37" i="53"/>
  <c r="E67" i="53"/>
  <c r="E68" i="53" s="1"/>
  <c r="F32" i="53"/>
  <c r="E57" i="70"/>
  <c r="AH42" i="5"/>
  <c r="Z130" i="5"/>
  <c r="AB130" i="5" s="1"/>
  <c r="AC107" i="5"/>
  <c r="AC120" i="5"/>
  <c r="AC174" i="5"/>
  <c r="W352" i="5"/>
  <c r="G122" i="12"/>
  <c r="G137" i="12"/>
  <c r="E21" i="53"/>
  <c r="F57" i="55"/>
  <c r="F19" i="59"/>
  <c r="E23" i="70"/>
  <c r="G38" i="5"/>
  <c r="AH40" i="5"/>
  <c r="O63" i="5"/>
  <c r="AC63" i="5" s="1"/>
  <c r="O133" i="5"/>
  <c r="AC133" i="5" s="1"/>
  <c r="P133" i="5"/>
  <c r="O165" i="5"/>
  <c r="AC180" i="5"/>
  <c r="O178" i="5"/>
  <c r="BP204" i="5"/>
  <c r="AC204" i="5"/>
  <c r="AJ204" i="5"/>
  <c r="F24" i="53"/>
  <c r="F19" i="53"/>
  <c r="F33" i="57"/>
  <c r="F24" i="59"/>
  <c r="V166" i="52"/>
  <c r="E26" i="70"/>
  <c r="AC72" i="5"/>
  <c r="AC74" i="5"/>
  <c r="F78" i="5"/>
  <c r="X94" i="5"/>
  <c r="AC94" i="5"/>
  <c r="AC96" i="5"/>
  <c r="AC97" i="5"/>
  <c r="AC102" i="5"/>
  <c r="F103" i="5"/>
  <c r="O117" i="5"/>
  <c r="AC135" i="5"/>
  <c r="AC147" i="5"/>
  <c r="AC148" i="5"/>
  <c r="AC149" i="5"/>
  <c r="AC150" i="5"/>
  <c r="P179" i="5"/>
  <c r="K178" i="5"/>
  <c r="P178" i="5" s="1"/>
  <c r="AC197" i="5"/>
  <c r="AC208" i="5"/>
  <c r="W351" i="5"/>
  <c r="F97" i="12"/>
  <c r="E64" i="51"/>
  <c r="E65" i="51" s="1"/>
  <c r="F23" i="51"/>
  <c r="Z166" i="50"/>
  <c r="Z81" i="50"/>
  <c r="AA166" i="50"/>
  <c r="X135" i="54"/>
  <c r="X166" i="54"/>
  <c r="AB166" i="54"/>
  <c r="V135" i="56"/>
  <c r="AB49" i="58"/>
  <c r="AB72" i="58"/>
  <c r="AB104" i="58"/>
  <c r="AB112" i="58"/>
  <c r="AB135" i="58"/>
  <c r="AB158" i="58"/>
  <c r="AB170" i="58" s="1"/>
  <c r="Z170" i="61"/>
  <c r="X139" i="63"/>
  <c r="U139" i="65"/>
  <c r="AB104" i="65"/>
  <c r="AC85" i="5"/>
  <c r="AC86" i="5"/>
  <c r="AC88" i="5"/>
  <c r="W222" i="5"/>
  <c r="W224" i="5" s="1"/>
  <c r="Z153" i="5"/>
  <c r="AB153" i="5" s="1"/>
  <c r="AB134" i="5"/>
  <c r="AC134" i="5" s="1"/>
  <c r="AC153" i="5" s="1"/>
  <c r="AC137" i="5"/>
  <c r="AC162" i="5"/>
  <c r="O203" i="5"/>
  <c r="AC203" i="5" s="1"/>
  <c r="AB252" i="5"/>
  <c r="G19" i="12"/>
  <c r="G77" i="12"/>
  <c r="G95" i="12"/>
  <c r="F35" i="51"/>
  <c r="F59" i="51"/>
  <c r="E34" i="51"/>
  <c r="Z135" i="50"/>
  <c r="AA181" i="52"/>
  <c r="AA185" i="52" s="1"/>
  <c r="Z135" i="52"/>
  <c r="Z181" i="52" s="1"/>
  <c r="Z185" i="52" s="1"/>
  <c r="E59" i="59"/>
  <c r="E34" i="59"/>
  <c r="Z104" i="69"/>
  <c r="AC242" i="5"/>
  <c r="W314" i="5"/>
  <c r="D69" i="12"/>
  <c r="E24" i="51"/>
  <c r="F29" i="51"/>
  <c r="F40" i="51"/>
  <c r="V135" i="50"/>
  <c r="W135" i="50"/>
  <c r="U166" i="52"/>
  <c r="AA166" i="52"/>
  <c r="V170" i="58"/>
  <c r="E40" i="59"/>
  <c r="X104" i="61"/>
  <c r="AB49" i="63"/>
  <c r="E44" i="66"/>
  <c r="F23" i="66"/>
  <c r="W104" i="69"/>
  <c r="AB139" i="69"/>
  <c r="AA83" i="61"/>
  <c r="X139" i="61"/>
  <c r="AB112" i="61"/>
  <c r="E49" i="62"/>
  <c r="V170" i="63"/>
  <c r="X170" i="63"/>
  <c r="Y139" i="63"/>
  <c r="AB183" i="63"/>
  <c r="AB165" i="63"/>
  <c r="F54" i="64"/>
  <c r="F24" i="64"/>
  <c r="F58" i="62"/>
  <c r="F33" i="62"/>
  <c r="F38" i="59"/>
  <c r="F37" i="59"/>
  <c r="F50" i="59"/>
  <c r="F58" i="59"/>
  <c r="F65" i="57"/>
  <c r="F68" i="57"/>
  <c r="F26" i="57"/>
  <c r="F41" i="57"/>
  <c r="F35" i="57"/>
  <c r="F62" i="55"/>
  <c r="F20" i="55"/>
  <c r="F27" i="55"/>
  <c r="F34" i="55"/>
  <c r="F33" i="55"/>
  <c r="E32" i="53"/>
  <c r="F29" i="53"/>
  <c r="E57" i="53"/>
  <c r="E25" i="53"/>
  <c r="E41" i="53"/>
  <c r="E58" i="53"/>
  <c r="F67" i="53"/>
  <c r="F42" i="53"/>
  <c r="F26" i="53"/>
  <c r="F64" i="53"/>
  <c r="X170" i="69"/>
  <c r="AA104" i="69"/>
  <c r="AC156" i="5"/>
  <c r="AC62" i="5"/>
  <c r="AC108" i="5"/>
  <c r="AC110" i="5"/>
  <c r="AC161" i="5"/>
  <c r="AC187" i="5"/>
  <c r="AC192" i="5"/>
  <c r="AC231" i="5"/>
  <c r="W324" i="5"/>
  <c r="W346" i="5"/>
  <c r="V166" i="50"/>
  <c r="W166" i="50"/>
  <c r="Y166" i="50"/>
  <c r="Y181" i="50" s="1"/>
  <c r="Y185" i="50" s="1"/>
  <c r="AA102" i="50"/>
  <c r="AB135" i="50"/>
  <c r="F53" i="53"/>
  <c r="F60" i="53"/>
  <c r="E52" i="53"/>
  <c r="E64" i="53"/>
  <c r="E65" i="53" s="1"/>
  <c r="F21" i="53"/>
  <c r="E40" i="53"/>
  <c r="F59" i="55"/>
  <c r="F23" i="55"/>
  <c r="F28" i="55"/>
  <c r="F21" i="57"/>
  <c r="F31" i="57"/>
  <c r="F34" i="57"/>
  <c r="F57" i="57"/>
  <c r="F49" i="59"/>
  <c r="F54" i="59"/>
  <c r="F60" i="59"/>
  <c r="V81" i="52"/>
  <c r="E26" i="55"/>
  <c r="AB81" i="54"/>
  <c r="AB102" i="54"/>
  <c r="U135" i="54"/>
  <c r="AB135" i="54"/>
  <c r="W135" i="54"/>
  <c r="AA135" i="54"/>
  <c r="Z81" i="56"/>
  <c r="X81" i="56"/>
  <c r="AB81" i="56"/>
  <c r="AB102" i="56"/>
  <c r="AC166" i="56"/>
  <c r="E16" i="59"/>
  <c r="E35" i="59"/>
  <c r="E54" i="59"/>
  <c r="E25" i="59"/>
  <c r="Y83" i="58"/>
  <c r="F35" i="62"/>
  <c r="E37" i="62"/>
  <c r="U139" i="63"/>
  <c r="V83" i="63"/>
  <c r="AA104" i="63"/>
  <c r="F58" i="64"/>
  <c r="V139" i="65"/>
  <c r="V185" i="65" s="1"/>
  <c r="V189" i="65" s="1"/>
  <c r="Y139" i="65"/>
  <c r="AA170" i="65"/>
  <c r="AB79" i="63"/>
  <c r="AB112" i="65"/>
  <c r="X83" i="69"/>
  <c r="Y104" i="69"/>
  <c r="Z139" i="69"/>
  <c r="AA170" i="69"/>
  <c r="AC166" i="50"/>
  <c r="U81" i="50"/>
  <c r="W166" i="52"/>
  <c r="AC166" i="52"/>
  <c r="AC201" i="52" s="1"/>
  <c r="E74" i="53" s="1"/>
  <c r="W102" i="54"/>
  <c r="U81" i="56"/>
  <c r="U83" i="58"/>
  <c r="V139" i="58"/>
  <c r="V185" i="58" s="1"/>
  <c r="V189" i="58" s="1"/>
  <c r="Y139" i="58"/>
  <c r="AA170" i="61"/>
  <c r="E26" i="62"/>
  <c r="E60" i="62"/>
  <c r="U170" i="63"/>
  <c r="Z170" i="63"/>
  <c r="AA139" i="63"/>
  <c r="Y104" i="65"/>
  <c r="AA139" i="65"/>
  <c r="X166" i="52"/>
  <c r="X102" i="52"/>
  <c r="U104" i="69"/>
  <c r="V104" i="69"/>
  <c r="W83" i="69"/>
  <c r="Y139" i="69"/>
  <c r="AB170" i="69"/>
  <c r="E58" i="51"/>
  <c r="E36" i="51"/>
  <c r="E26" i="51"/>
  <c r="E67" i="51"/>
  <c r="E68" i="51" s="1"/>
  <c r="E54" i="51"/>
  <c r="E35" i="51"/>
  <c r="F19" i="51"/>
  <c r="F50" i="51"/>
  <c r="F33" i="51"/>
  <c r="F25" i="51"/>
  <c r="F57" i="51"/>
  <c r="F42" i="51"/>
  <c r="F68" i="51"/>
  <c r="E27" i="59"/>
  <c r="E49" i="59"/>
  <c r="E51" i="59"/>
  <c r="F66" i="66"/>
  <c r="F66" i="72"/>
  <c r="F56" i="72"/>
  <c r="F39" i="72"/>
  <c r="F69" i="72"/>
  <c r="F63" i="72"/>
  <c r="F45" i="72"/>
  <c r="F33" i="72"/>
  <c r="E32" i="57"/>
  <c r="E40" i="62"/>
  <c r="E57" i="64"/>
  <c r="F22" i="62"/>
  <c r="F44" i="62"/>
  <c r="F65" i="62"/>
  <c r="F58" i="66"/>
  <c r="AO19" i="5"/>
  <c r="AN19" i="5"/>
  <c r="AN20" i="5"/>
  <c r="V104" i="68"/>
  <c r="AB165" i="68"/>
  <c r="AB170" i="68" s="1"/>
  <c r="AB112" i="68"/>
  <c r="AB135" i="68"/>
  <c r="AB104" i="68"/>
  <c r="E68" i="67"/>
  <c r="Y49" i="68"/>
  <c r="Z104" i="68"/>
  <c r="V83" i="68"/>
  <c r="W170" i="68"/>
  <c r="E53" i="67"/>
  <c r="AA170" i="68"/>
  <c r="AA83" i="68"/>
  <c r="AA139" i="68"/>
  <c r="X104" i="68"/>
  <c r="F16" i="67"/>
  <c r="Z170" i="68"/>
  <c r="AB79" i="68"/>
  <c r="F54" i="67"/>
  <c r="F42" i="67"/>
  <c r="V170" i="68"/>
  <c r="AA104" i="68"/>
  <c r="E25" i="67"/>
  <c r="F35" i="67"/>
  <c r="O83" i="5"/>
  <c r="AC83" i="5" s="1"/>
  <c r="F82" i="5"/>
  <c r="O82" i="5" s="1"/>
  <c r="AC82" i="5" s="1"/>
  <c r="P155" i="5"/>
  <c r="O155" i="5"/>
  <c r="AC155" i="5" s="1"/>
  <c r="AC211" i="5"/>
  <c r="E28" i="55"/>
  <c r="E51" i="55"/>
  <c r="E64" i="55"/>
  <c r="E65" i="55" s="1"/>
  <c r="E37" i="55"/>
  <c r="E59" i="55"/>
  <c r="X122" i="5"/>
  <c r="AC122" i="5"/>
  <c r="AC84" i="5"/>
  <c r="AC167" i="5"/>
  <c r="AB206" i="5"/>
  <c r="AC191" i="5"/>
  <c r="P218" i="5"/>
  <c r="AC218" i="5"/>
  <c r="X247" i="5"/>
  <c r="AC247" i="5"/>
  <c r="O252" i="5"/>
  <c r="AX267" i="5"/>
  <c r="AJ267" i="5"/>
  <c r="AR267" i="5"/>
  <c r="BJ267" i="5"/>
  <c r="AU267" i="5"/>
  <c r="E50" i="55"/>
  <c r="E60" i="57"/>
  <c r="E27" i="55"/>
  <c r="E20" i="55"/>
  <c r="O38" i="5"/>
  <c r="X38" i="5" s="1"/>
  <c r="BA32" i="5"/>
  <c r="AC165" i="5"/>
  <c r="O164" i="5"/>
  <c r="AC164" i="5" s="1"/>
  <c r="AA222" i="5"/>
  <c r="AC213" i="5"/>
  <c r="P213" i="5"/>
  <c r="P215" i="5"/>
  <c r="AC215" i="5"/>
  <c r="O229" i="5"/>
  <c r="F234" i="5"/>
  <c r="X232" i="5"/>
  <c r="AC232" i="5"/>
  <c r="AA181" i="50"/>
  <c r="AA185" i="50" s="1"/>
  <c r="E26" i="57"/>
  <c r="E58" i="57"/>
  <c r="U135" i="56"/>
  <c r="Y135" i="56"/>
  <c r="AB183" i="58"/>
  <c r="E19" i="66"/>
  <c r="E27" i="66"/>
  <c r="E38" i="66"/>
  <c r="E50" i="66"/>
  <c r="E61" i="66"/>
  <c r="F54" i="66"/>
  <c r="F42" i="66"/>
  <c r="F28" i="66"/>
  <c r="F20" i="66"/>
  <c r="E21" i="66"/>
  <c r="E34" i="66"/>
  <c r="F62" i="66"/>
  <c r="F49" i="66"/>
  <c r="F31" i="66"/>
  <c r="F16" i="66"/>
  <c r="E22" i="66"/>
  <c r="E36" i="66"/>
  <c r="E52" i="66"/>
  <c r="E16" i="66"/>
  <c r="F60" i="66"/>
  <c r="F48" i="66"/>
  <c r="F27" i="66"/>
  <c r="E26" i="66"/>
  <c r="E54" i="66"/>
  <c r="F50" i="66"/>
  <c r="F22" i="66"/>
  <c r="E31" i="66"/>
  <c r="E58" i="66"/>
  <c r="F38" i="66"/>
  <c r="E43" i="66"/>
  <c r="F35" i="66"/>
  <c r="E36" i="70"/>
  <c r="AB79" i="69"/>
  <c r="AB58" i="69"/>
  <c r="E31" i="70"/>
  <c r="E58" i="70"/>
  <c r="O209" i="5"/>
  <c r="AC209" i="5" s="1"/>
  <c r="AC210" i="5"/>
  <c r="Z115" i="5"/>
  <c r="AB115" i="5" s="1"/>
  <c r="O78" i="5"/>
  <c r="AC78" i="5" s="1"/>
  <c r="P123" i="5"/>
  <c r="O123" i="5"/>
  <c r="E67" i="55"/>
  <c r="E68" i="55" s="1"/>
  <c r="E41" i="55"/>
  <c r="AA181" i="54"/>
  <c r="AA185" i="54" s="1"/>
  <c r="E22" i="57"/>
  <c r="E23" i="57"/>
  <c r="E52" i="57"/>
  <c r="W170" i="58"/>
  <c r="AB83" i="58"/>
  <c r="AB158" i="61"/>
  <c r="AB135" i="61"/>
  <c r="AB139" i="61" s="1"/>
  <c r="AB72" i="61"/>
  <c r="AB83" i="61" s="1"/>
  <c r="E34" i="64"/>
  <c r="X119" i="5"/>
  <c r="AC119" i="5"/>
  <c r="X99" i="5"/>
  <c r="AC99" i="5"/>
  <c r="AA224" i="5"/>
  <c r="AA236" i="5" s="1"/>
  <c r="AA244" i="5" s="1"/>
  <c r="AA265" i="5" s="1"/>
  <c r="AA270" i="5" s="1"/>
  <c r="Z55" i="5"/>
  <c r="AB53" i="5"/>
  <c r="P58" i="5"/>
  <c r="O58" i="5"/>
  <c r="AC58" i="5" s="1"/>
  <c r="X95" i="5"/>
  <c r="X115" i="5" s="1"/>
  <c r="AC95" i="5"/>
  <c r="BA95" i="5"/>
  <c r="X125" i="5"/>
  <c r="AC125" i="5"/>
  <c r="W135" i="52"/>
  <c r="AB135" i="52"/>
  <c r="AB181" i="52" s="1"/>
  <c r="AB185" i="52" s="1"/>
  <c r="E22" i="55"/>
  <c r="E53" i="55"/>
  <c r="E16" i="55"/>
  <c r="U181" i="54"/>
  <c r="V181" i="56"/>
  <c r="V185" i="56" s="1"/>
  <c r="E48" i="57"/>
  <c r="E49" i="57"/>
  <c r="AB165" i="61"/>
  <c r="AB170" i="61" s="1"/>
  <c r="E58" i="64"/>
  <c r="E67" i="64"/>
  <c r="E68" i="64" s="1"/>
  <c r="W81" i="52"/>
  <c r="W181" i="52" s="1"/>
  <c r="W185" i="52" s="1"/>
  <c r="E42" i="57"/>
  <c r="X166" i="56"/>
  <c r="U139" i="61"/>
  <c r="Y139" i="61"/>
  <c r="AB49" i="69"/>
  <c r="E47" i="70"/>
  <c r="E16" i="70"/>
  <c r="E19" i="64"/>
  <c r="E23" i="64"/>
  <c r="E27" i="64"/>
  <c r="E32" i="64"/>
  <c r="E36" i="64"/>
  <c r="E41" i="64"/>
  <c r="E46" i="64"/>
  <c r="E50" i="64"/>
  <c r="E54" i="64"/>
  <c r="E59" i="64"/>
  <c r="E16" i="64"/>
  <c r="E64" i="64"/>
  <c r="E65" i="64" s="1"/>
  <c r="E24" i="64"/>
  <c r="E35" i="64"/>
  <c r="E42" i="64"/>
  <c r="E48" i="64"/>
  <c r="E53" i="64"/>
  <c r="E60" i="64"/>
  <c r="E21" i="64"/>
  <c r="E28" i="64"/>
  <c r="E37" i="64"/>
  <c r="E52" i="64"/>
  <c r="E20" i="64"/>
  <c r="E31" i="64"/>
  <c r="E33" i="64" s="1"/>
  <c r="E40" i="64"/>
  <c r="E51" i="64"/>
  <c r="E22" i="64"/>
  <c r="E43" i="64"/>
  <c r="E61" i="64"/>
  <c r="AB79" i="65"/>
  <c r="AB83" i="65" s="1"/>
  <c r="AB165" i="65"/>
  <c r="U185" i="69"/>
  <c r="U189" i="69" s="1"/>
  <c r="V185" i="69"/>
  <c r="V189" i="69" s="1"/>
  <c r="E37" i="70"/>
  <c r="E32" i="70"/>
  <c r="K53" i="5"/>
  <c r="X124" i="5"/>
  <c r="AC124" i="5"/>
  <c r="Z189" i="5"/>
  <c r="AC158" i="5"/>
  <c r="O194" i="5"/>
  <c r="AC194" i="5" s="1"/>
  <c r="P214" i="5"/>
  <c r="AC214" i="5"/>
  <c r="AC250" i="5"/>
  <c r="AC255" i="5"/>
  <c r="AC263" i="5" s="1"/>
  <c r="W330" i="5"/>
  <c r="W350" i="5"/>
  <c r="G82" i="12"/>
  <c r="G97" i="12" s="1"/>
  <c r="E25" i="51"/>
  <c r="E53" i="51"/>
  <c r="E40" i="51"/>
  <c r="E47" i="51"/>
  <c r="F41" i="51"/>
  <c r="F51" i="51"/>
  <c r="F38" i="51"/>
  <c r="F22" i="51"/>
  <c r="X166" i="50"/>
  <c r="X181" i="50" s="1"/>
  <c r="X185" i="50" s="1"/>
  <c r="U135" i="50"/>
  <c r="U181" i="50" s="1"/>
  <c r="U185" i="50" s="1"/>
  <c r="U196" i="50" s="1"/>
  <c r="Y181" i="52"/>
  <c r="Y185" i="52" s="1"/>
  <c r="E58" i="55"/>
  <c r="E46" i="55"/>
  <c r="E35" i="55"/>
  <c r="Z102" i="54"/>
  <c r="V135" i="54"/>
  <c r="Z135" i="54"/>
  <c r="Y135" i="54"/>
  <c r="Y181" i="54" s="1"/>
  <c r="Y185" i="54" s="1"/>
  <c r="AC102" i="54"/>
  <c r="E53" i="57"/>
  <c r="E41" i="57"/>
  <c r="X139" i="58"/>
  <c r="X185" i="58" s="1"/>
  <c r="X189" i="58" s="1"/>
  <c r="W83" i="61"/>
  <c r="W185" i="63"/>
  <c r="W189" i="63" s="1"/>
  <c r="X83" i="63"/>
  <c r="F23" i="64"/>
  <c r="F46" i="64"/>
  <c r="F65" i="64"/>
  <c r="E49" i="64"/>
  <c r="E26" i="64"/>
  <c r="Y170" i="65"/>
  <c r="Y185" i="65" s="1"/>
  <c r="Y189" i="65" s="1"/>
  <c r="E41" i="67"/>
  <c r="F21" i="67"/>
  <c r="Z185" i="69"/>
  <c r="E40" i="70"/>
  <c r="AF224" i="5"/>
  <c r="AF236" i="5" s="1"/>
  <c r="AF244" i="5" s="1"/>
  <c r="AF265" i="5" s="1"/>
  <c r="AF270" i="5" s="1"/>
  <c r="AB65" i="5"/>
  <c r="AC65" i="5" s="1"/>
  <c r="Z91" i="5"/>
  <c r="AB91" i="5" s="1"/>
  <c r="W313" i="5"/>
  <c r="W340" i="5"/>
  <c r="E69" i="12"/>
  <c r="G22" i="12"/>
  <c r="G29" i="12" s="1"/>
  <c r="D29" i="12"/>
  <c r="F62" i="51"/>
  <c r="F44" i="51"/>
  <c r="F26" i="51"/>
  <c r="F28" i="51"/>
  <c r="F52" i="51"/>
  <c r="F34" i="51"/>
  <c r="F65" i="51"/>
  <c r="F47" i="51"/>
  <c r="F64" i="51"/>
  <c r="F46" i="51"/>
  <c r="F27" i="51"/>
  <c r="E61" i="51"/>
  <c r="E41" i="51"/>
  <c r="E20" i="51"/>
  <c r="E46" i="51"/>
  <c r="E23" i="51"/>
  <c r="E59" i="51"/>
  <c r="E37" i="51"/>
  <c r="E38" i="51" s="1"/>
  <c r="E16" i="51"/>
  <c r="E52" i="51"/>
  <c r="F53" i="51"/>
  <c r="F31" i="51"/>
  <c r="F67" i="51"/>
  <c r="F43" i="51"/>
  <c r="F21" i="51"/>
  <c r="F37" i="51"/>
  <c r="F54" i="51"/>
  <c r="F32" i="51"/>
  <c r="E57" i="51"/>
  <c r="E28" i="51"/>
  <c r="E50" i="51"/>
  <c r="E19" i="51"/>
  <c r="E49" i="51"/>
  <c r="E22" i="51"/>
  <c r="E31" i="51"/>
  <c r="E33" i="51" s="1"/>
  <c r="F49" i="51"/>
  <c r="F16" i="51"/>
  <c r="F48" i="51"/>
  <c r="F60" i="51"/>
  <c r="F20" i="51"/>
  <c r="F36" i="51"/>
  <c r="E51" i="51"/>
  <c r="E60" i="51"/>
  <c r="E27" i="51"/>
  <c r="E43" i="51"/>
  <c r="E21" i="51"/>
  <c r="E42" i="51"/>
  <c r="W181" i="50"/>
  <c r="W185" i="50" s="1"/>
  <c r="Z181" i="50"/>
  <c r="Z185" i="50" s="1"/>
  <c r="U181" i="52"/>
  <c r="U185" i="52" s="1"/>
  <c r="U196" i="52" s="1"/>
  <c r="V181" i="52"/>
  <c r="V185" i="52" s="1"/>
  <c r="E21" i="55"/>
  <c r="E25" i="55"/>
  <c r="E34" i="55"/>
  <c r="E43" i="55"/>
  <c r="E48" i="55"/>
  <c r="E52" i="55"/>
  <c r="E57" i="55"/>
  <c r="E19" i="55"/>
  <c r="E24" i="55"/>
  <c r="E31" i="55"/>
  <c r="E36" i="55"/>
  <c r="E42" i="55"/>
  <c r="E49" i="55"/>
  <c r="E54" i="55"/>
  <c r="E60" i="55"/>
  <c r="E61" i="55"/>
  <c r="E23" i="55"/>
  <c r="E32" i="55"/>
  <c r="E40" i="55"/>
  <c r="E44" i="55" s="1"/>
  <c r="E47" i="55"/>
  <c r="X185" i="54"/>
  <c r="X181" i="54"/>
  <c r="Z166" i="54"/>
  <c r="Z181" i="54" s="1"/>
  <c r="Z185" i="54" s="1"/>
  <c r="U185" i="54"/>
  <c r="E64" i="57"/>
  <c r="E65" i="57" s="1"/>
  <c r="E24" i="57"/>
  <c r="E31" i="57"/>
  <c r="E33" i="57" s="1"/>
  <c r="E37" i="57"/>
  <c r="E43" i="57"/>
  <c r="E51" i="57"/>
  <c r="E57" i="57"/>
  <c r="E19" i="57"/>
  <c r="E27" i="57"/>
  <c r="E36" i="57"/>
  <c r="E46" i="57"/>
  <c r="E67" i="57"/>
  <c r="E68" i="57" s="1"/>
  <c r="E21" i="57"/>
  <c r="E28" i="57"/>
  <c r="E47" i="57"/>
  <c r="E61" i="57"/>
  <c r="W181" i="56"/>
  <c r="W185" i="56" s="1"/>
  <c r="AB58" i="58"/>
  <c r="Z185" i="61"/>
  <c r="Z189" i="61" s="1"/>
  <c r="AB49" i="61"/>
  <c r="E61" i="62"/>
  <c r="E53" i="62"/>
  <c r="E46" i="62"/>
  <c r="E34" i="62"/>
  <c r="E25" i="62"/>
  <c r="E19" i="62"/>
  <c r="E59" i="62"/>
  <c r="E47" i="62"/>
  <c r="E32" i="62"/>
  <c r="E21" i="62"/>
  <c r="E54" i="62"/>
  <c r="E41" i="62"/>
  <c r="E28" i="62"/>
  <c r="E20" i="62"/>
  <c r="E47" i="64"/>
  <c r="E25" i="64"/>
  <c r="W139" i="65"/>
  <c r="W185" i="65" s="1"/>
  <c r="W189" i="65" s="1"/>
  <c r="F66" i="67"/>
  <c r="F39" i="67"/>
  <c r="F69" i="67"/>
  <c r="F33" i="67"/>
  <c r="F69" i="66"/>
  <c r="F56" i="66"/>
  <c r="F29" i="66"/>
  <c r="F67" i="64"/>
  <c r="F61" i="64"/>
  <c r="F57" i="64"/>
  <c r="F52" i="64"/>
  <c r="F48" i="64"/>
  <c r="F43" i="64"/>
  <c r="F38" i="64"/>
  <c r="F34" i="64"/>
  <c r="F29" i="64"/>
  <c r="F25" i="64"/>
  <c r="F21" i="64"/>
  <c r="F67" i="62"/>
  <c r="F61" i="62"/>
  <c r="F57" i="62"/>
  <c r="F52" i="62"/>
  <c r="F48" i="62"/>
  <c r="F43" i="62"/>
  <c r="F38" i="62"/>
  <c r="F34" i="62"/>
  <c r="F29" i="62"/>
  <c r="F25" i="62"/>
  <c r="F21" i="62"/>
  <c r="F56" i="67"/>
  <c r="F63" i="66"/>
  <c r="F62" i="64"/>
  <c r="F55" i="64"/>
  <c r="F50" i="64"/>
  <c r="F44" i="64"/>
  <c r="F37" i="64"/>
  <c r="F32" i="64"/>
  <c r="F26" i="64"/>
  <c r="F20" i="64"/>
  <c r="F68" i="62"/>
  <c r="F60" i="62"/>
  <c r="F54" i="62"/>
  <c r="F49" i="62"/>
  <c r="F42" i="62"/>
  <c r="F36" i="62"/>
  <c r="F31" i="62"/>
  <c r="F24" i="62"/>
  <c r="F19" i="62"/>
  <c r="F52" i="59"/>
  <c r="F34" i="59"/>
  <c r="F65" i="59"/>
  <c r="F47" i="59"/>
  <c r="F28" i="59"/>
  <c r="F64" i="59"/>
  <c r="F46" i="59"/>
  <c r="F27" i="59"/>
  <c r="F62" i="59"/>
  <c r="F44" i="59"/>
  <c r="F26" i="59"/>
  <c r="F61" i="57"/>
  <c r="F40" i="57"/>
  <c r="F64" i="57"/>
  <c r="F47" i="57"/>
  <c r="F28" i="57"/>
  <c r="F20" i="57"/>
  <c r="F58" i="57"/>
  <c r="F38" i="57"/>
  <c r="F52" i="57"/>
  <c r="F37" i="57"/>
  <c r="F25" i="57"/>
  <c r="F68" i="55"/>
  <c r="F50" i="55"/>
  <c r="F32" i="55"/>
  <c r="F67" i="55"/>
  <c r="F49" i="55"/>
  <c r="F31" i="55"/>
  <c r="F65" i="55"/>
  <c r="F43" i="55"/>
  <c r="F22" i="55"/>
  <c r="F55" i="55"/>
  <c r="F37" i="55"/>
  <c r="F21" i="55"/>
  <c r="F65" i="53"/>
  <c r="F23" i="53"/>
  <c r="F35" i="53"/>
  <c r="F50" i="53"/>
  <c r="E59" i="53"/>
  <c r="E62" i="53" s="1"/>
  <c r="E20" i="53"/>
  <c r="E24" i="53"/>
  <c r="E28" i="53"/>
  <c r="E34" i="53"/>
  <c r="E46" i="53"/>
  <c r="E50" i="53"/>
  <c r="E54" i="53"/>
  <c r="F61" i="53"/>
  <c r="F57" i="53"/>
  <c r="F41" i="53"/>
  <c r="F31" i="53"/>
  <c r="F20" i="53"/>
  <c r="F28" i="53"/>
  <c r="F47" i="53"/>
  <c r="F55" i="53"/>
  <c r="F63" i="67"/>
  <c r="F33" i="66"/>
  <c r="F68" i="64"/>
  <c r="F59" i="64"/>
  <c r="F51" i="64"/>
  <c r="F42" i="64"/>
  <c r="F35" i="64"/>
  <c r="F27" i="64"/>
  <c r="F19" i="64"/>
  <c r="F64" i="62"/>
  <c r="F55" i="62"/>
  <c r="F47" i="62"/>
  <c r="F40" i="62"/>
  <c r="F32" i="62"/>
  <c r="F23" i="62"/>
  <c r="F57" i="59"/>
  <c r="F29" i="59"/>
  <c r="F55" i="59"/>
  <c r="F33" i="59"/>
  <c r="F59" i="59"/>
  <c r="F36" i="59"/>
  <c r="F67" i="59"/>
  <c r="F40" i="59"/>
  <c r="F16" i="59"/>
  <c r="F42" i="57"/>
  <c r="F53" i="57"/>
  <c r="F36" i="57"/>
  <c r="F22" i="57"/>
  <c r="F55" i="57"/>
  <c r="F62" i="57"/>
  <c r="F46" i="57"/>
  <c r="F23" i="57"/>
  <c r="F58" i="55"/>
  <c r="F36" i="55"/>
  <c r="F61" i="55"/>
  <c r="F40" i="55"/>
  <c r="F19" i="55"/>
  <c r="F38" i="55"/>
  <c r="F64" i="55"/>
  <c r="F42" i="55"/>
  <c r="E42" i="53"/>
  <c r="F27" i="53"/>
  <c r="F48" i="53"/>
  <c r="E16" i="53"/>
  <c r="E22" i="53"/>
  <c r="E27" i="53"/>
  <c r="E35" i="53"/>
  <c r="E43" i="53"/>
  <c r="E49" i="53"/>
  <c r="F62" i="53"/>
  <c r="F44" i="53"/>
  <c r="F33" i="53"/>
  <c r="F16" i="53"/>
  <c r="F34" i="53"/>
  <c r="F51" i="53"/>
  <c r="F39" i="66"/>
  <c r="F64" i="64"/>
  <c r="F53" i="64"/>
  <c r="F41" i="64"/>
  <c r="F31" i="64"/>
  <c r="F22" i="64"/>
  <c r="F62" i="62"/>
  <c r="F51" i="62"/>
  <c r="F41" i="62"/>
  <c r="F28" i="62"/>
  <c r="F20" i="62"/>
  <c r="F45" i="67"/>
  <c r="F60" i="64"/>
  <c r="F49" i="64"/>
  <c r="F40" i="64"/>
  <c r="F28" i="64"/>
  <c r="F16" i="64"/>
  <c r="F59" i="62"/>
  <c r="F50" i="62"/>
  <c r="F37" i="62"/>
  <c r="F27" i="62"/>
  <c r="F16" i="62"/>
  <c r="F61" i="59"/>
  <c r="F25" i="59"/>
  <c r="F42" i="59"/>
  <c r="F68" i="59"/>
  <c r="F32" i="59"/>
  <c r="F53" i="59"/>
  <c r="F22" i="59"/>
  <c r="F32" i="57"/>
  <c r="F49" i="57"/>
  <c r="F24" i="57"/>
  <c r="F43" i="57"/>
  <c r="F50" i="57"/>
  <c r="F27" i="57"/>
  <c r="F54" i="55"/>
  <c r="F24" i="55"/>
  <c r="F44" i="55"/>
  <c r="F60" i="55"/>
  <c r="F26" i="55"/>
  <c r="F47" i="55"/>
  <c r="F25" i="53"/>
  <c r="F52" i="53"/>
  <c r="E19" i="53"/>
  <c r="E26" i="53"/>
  <c r="E36" i="53"/>
  <c r="E47" i="53"/>
  <c r="E53" i="53"/>
  <c r="F59" i="53"/>
  <c r="F40" i="53"/>
  <c r="F22" i="53"/>
  <c r="F38" i="53"/>
  <c r="E44" i="67"/>
  <c r="E37" i="67"/>
  <c r="E20" i="67"/>
  <c r="F50" i="67"/>
  <c r="F34" i="67"/>
  <c r="E61" i="67"/>
  <c r="E48" i="67"/>
  <c r="E24" i="67"/>
  <c r="F61" i="67"/>
  <c r="F44" i="67"/>
  <c r="F28" i="67"/>
  <c r="E52" i="67"/>
  <c r="E28" i="67"/>
  <c r="F23" i="67"/>
  <c r="F58" i="67"/>
  <c r="E24" i="70"/>
  <c r="E61" i="70"/>
  <c r="E53" i="70"/>
  <c r="E22" i="70"/>
  <c r="F53" i="5"/>
  <c r="BA98" i="5"/>
  <c r="AC98" i="5"/>
  <c r="AC105" i="5"/>
  <c r="AC178" i="5"/>
  <c r="P206" i="5"/>
  <c r="AC217" i="5"/>
  <c r="P217" i="5"/>
  <c r="W308" i="5"/>
  <c r="W325" i="5"/>
  <c r="W339" i="5"/>
  <c r="D97" i="12"/>
  <c r="V102" i="50"/>
  <c r="V102" i="54"/>
  <c r="V181" i="54" s="1"/>
  <c r="V185" i="54" s="1"/>
  <c r="W166" i="54"/>
  <c r="W181" i="54" s="1"/>
  <c r="W185" i="54" s="1"/>
  <c r="AC135" i="54"/>
  <c r="U104" i="58"/>
  <c r="E21" i="59"/>
  <c r="E31" i="59"/>
  <c r="E41" i="59"/>
  <c r="E44" i="59" s="1"/>
  <c r="V185" i="61"/>
  <c r="V189" i="61" s="1"/>
  <c r="X185" i="61"/>
  <c r="X189" i="61" s="1"/>
  <c r="Y104" i="61"/>
  <c r="Z139" i="65"/>
  <c r="Z185" i="65" s="1"/>
  <c r="Z189" i="65" s="1"/>
  <c r="U170" i="65"/>
  <c r="U104" i="65"/>
  <c r="W185" i="69"/>
  <c r="W189" i="69" s="1"/>
  <c r="E51" i="70"/>
  <c r="X135" i="56"/>
  <c r="X181" i="56" s="1"/>
  <c r="X185" i="56" s="1"/>
  <c r="AB135" i="56"/>
  <c r="AB181" i="56" s="1"/>
  <c r="AB185" i="56" s="1"/>
  <c r="AC135" i="56"/>
  <c r="AC201" i="56" s="1"/>
  <c r="E74" i="57" s="1"/>
  <c r="Z185" i="58"/>
  <c r="Z189" i="58" s="1"/>
  <c r="E67" i="59"/>
  <c r="E68" i="59" s="1"/>
  <c r="E58" i="59"/>
  <c r="E52" i="59"/>
  <c r="E48" i="59"/>
  <c r="E57" i="59"/>
  <c r="E50" i="59"/>
  <c r="E43" i="59"/>
  <c r="E37" i="59"/>
  <c r="E32" i="59"/>
  <c r="E26" i="59"/>
  <c r="E22" i="59"/>
  <c r="E19" i="59"/>
  <c r="E61" i="59"/>
  <c r="E53" i="59"/>
  <c r="E46" i="59"/>
  <c r="E36" i="59"/>
  <c r="E38" i="59" s="1"/>
  <c r="E28" i="59"/>
  <c r="E23" i="59"/>
  <c r="E64" i="59"/>
  <c r="E65" i="59" s="1"/>
  <c r="AB183" i="61"/>
  <c r="Y185" i="63"/>
  <c r="AB49" i="65"/>
  <c r="AB135" i="65"/>
  <c r="AB139" i="65" s="1"/>
  <c r="AA185" i="69"/>
  <c r="AA189" i="69" s="1"/>
  <c r="E64" i="70"/>
  <c r="E65" i="70" s="1"/>
  <c r="E48" i="70"/>
  <c r="E34" i="70"/>
  <c r="E19" i="70"/>
  <c r="E52" i="70"/>
  <c r="E35" i="70"/>
  <c r="E21" i="70"/>
  <c r="G53" i="5"/>
  <c r="G55" i="5" s="1"/>
  <c r="L53" i="5"/>
  <c r="L55" i="5" s="1"/>
  <c r="BJ30" i="5"/>
  <c r="AC195" i="5"/>
  <c r="W345" i="5"/>
  <c r="G39" i="12"/>
  <c r="G44" i="12" s="1"/>
  <c r="G55" i="12"/>
  <c r="G69" i="12" s="1"/>
  <c r="G127" i="12"/>
  <c r="V81" i="50"/>
  <c r="V181" i="50" s="1"/>
  <c r="V185" i="50" s="1"/>
  <c r="AB102" i="50"/>
  <c r="AB181" i="50" s="1"/>
  <c r="AB185" i="50" s="1"/>
  <c r="AC135" i="50"/>
  <c r="AC181" i="50" s="1"/>
  <c r="AC185" i="50" s="1"/>
  <c r="AC181" i="52"/>
  <c r="AC185" i="52" s="1"/>
  <c r="AC81" i="54"/>
  <c r="E34" i="57"/>
  <c r="E38" i="57" s="1"/>
  <c r="E20" i="57"/>
  <c r="E25" i="57"/>
  <c r="E35" i="57"/>
  <c r="E40" i="57"/>
  <c r="E44" i="57" s="1"/>
  <c r="E50" i="57"/>
  <c r="E54" i="57"/>
  <c r="E59" i="57"/>
  <c r="E16" i="57"/>
  <c r="U181" i="56"/>
  <c r="U185" i="56" s="1"/>
  <c r="AA135" i="56"/>
  <c r="AA181" i="56" s="1"/>
  <c r="AA185" i="56" s="1"/>
  <c r="Z135" i="56"/>
  <c r="Z181" i="56" s="1"/>
  <c r="Z185" i="56" s="1"/>
  <c r="Y166" i="56"/>
  <c r="W139" i="58"/>
  <c r="W185" i="58" s="1"/>
  <c r="W189" i="58" s="1"/>
  <c r="U139" i="58"/>
  <c r="U170" i="61"/>
  <c r="U185" i="61" s="1"/>
  <c r="U189" i="61" s="1"/>
  <c r="AB58" i="61"/>
  <c r="E67" i="62"/>
  <c r="E68" i="62" s="1"/>
  <c r="E58" i="62"/>
  <c r="E52" i="62"/>
  <c r="E48" i="62"/>
  <c r="E42" i="62"/>
  <c r="E36" i="62"/>
  <c r="E31" i="62"/>
  <c r="E33" i="62" s="1"/>
  <c r="E16" i="62"/>
  <c r="E22" i="62"/>
  <c r="E57" i="62"/>
  <c r="E62" i="62" s="1"/>
  <c r="E50" i="62"/>
  <c r="E43" i="62"/>
  <c r="E35" i="62"/>
  <c r="E27" i="62"/>
  <c r="E23" i="62"/>
  <c r="E64" i="62"/>
  <c r="E65" i="62" s="1"/>
  <c r="V139" i="63"/>
  <c r="V185" i="63" s="1"/>
  <c r="V189" i="63" s="1"/>
  <c r="X104" i="63"/>
  <c r="Z139" i="63"/>
  <c r="Z185" i="63" s="1"/>
  <c r="AA83" i="63"/>
  <c r="AA185" i="63" s="1"/>
  <c r="AA83" i="65"/>
  <c r="AB112" i="63"/>
  <c r="W139" i="68"/>
  <c r="W104" i="68"/>
  <c r="Z139" i="68"/>
  <c r="E50" i="67"/>
  <c r="E20" i="66"/>
  <c r="E24" i="66"/>
  <c r="E28" i="66"/>
  <c r="E37" i="66"/>
  <c r="E42" i="66"/>
  <c r="E47" i="66"/>
  <c r="E51" i="66"/>
  <c r="E55" i="66"/>
  <c r="E60" i="66"/>
  <c r="F37" i="66"/>
  <c r="F68" i="66"/>
  <c r="F61" i="66"/>
  <c r="F55" i="66"/>
  <c r="F51" i="66"/>
  <c r="F47" i="66"/>
  <c r="F41" i="66"/>
  <c r="F34" i="66"/>
  <c r="F25" i="66"/>
  <c r="F21" i="66"/>
  <c r="E23" i="66"/>
  <c r="E35" i="66"/>
  <c r="E41" i="66"/>
  <c r="E45" i="66" s="1"/>
  <c r="E48" i="66"/>
  <c r="E53" i="66"/>
  <c r="E59" i="66"/>
  <c r="F65" i="66"/>
  <c r="F59" i="66"/>
  <c r="F52" i="66"/>
  <c r="F44" i="66"/>
  <c r="F36" i="66"/>
  <c r="F24" i="66"/>
  <c r="F19" i="66"/>
  <c r="E65" i="66"/>
  <c r="E66" i="66" s="1"/>
  <c r="E25" i="66"/>
  <c r="E32" i="66"/>
  <c r="E49" i="66"/>
  <c r="E68" i="66"/>
  <c r="E69" i="66" s="1"/>
  <c r="E62" i="66"/>
  <c r="F53" i="66"/>
  <c r="F43" i="66"/>
  <c r="F32" i="66"/>
  <c r="F26" i="66"/>
  <c r="E62" i="67"/>
  <c r="E22" i="67"/>
  <c r="E69" i="67"/>
  <c r="E60" i="67"/>
  <c r="E23" i="67"/>
  <c r="F65" i="67"/>
  <c r="F59" i="67"/>
  <c r="F53" i="67"/>
  <c r="F49" i="67"/>
  <c r="F43" i="67"/>
  <c r="F37" i="67"/>
  <c r="F32" i="67"/>
  <c r="F26" i="67"/>
  <c r="F22" i="67"/>
  <c r="E65" i="67"/>
  <c r="E66" i="67" s="1"/>
  <c r="E59" i="67"/>
  <c r="E51" i="67"/>
  <c r="E38" i="67"/>
  <c r="E31" i="67"/>
  <c r="E27" i="67"/>
  <c r="E19" i="67"/>
  <c r="F60" i="67"/>
  <c r="F52" i="67"/>
  <c r="F47" i="67"/>
  <c r="F38" i="67"/>
  <c r="F31" i="67"/>
  <c r="F24" i="67"/>
  <c r="F19" i="67"/>
  <c r="E58" i="67"/>
  <c r="E43" i="67"/>
  <c r="E42" i="67"/>
  <c r="E34" i="67"/>
  <c r="E26" i="67"/>
  <c r="E16" i="67"/>
  <c r="F68" i="67"/>
  <c r="F55" i="67"/>
  <c r="F48" i="67"/>
  <c r="F36" i="67"/>
  <c r="F27" i="67"/>
  <c r="F20" i="67"/>
  <c r="E55" i="67"/>
  <c r="E35" i="67"/>
  <c r="E21" i="67"/>
  <c r="F25" i="67"/>
  <c r="F41" i="67"/>
  <c r="F51" i="67"/>
  <c r="F62" i="67"/>
  <c r="X139" i="69"/>
  <c r="X185" i="69" s="1"/>
  <c r="E42" i="70"/>
  <c r="E20" i="70"/>
  <c r="Y170" i="58"/>
  <c r="Y104" i="58"/>
  <c r="AB205" i="58" s="1"/>
  <c r="E74" i="59" s="1"/>
  <c r="W139" i="61"/>
  <c r="AA139" i="61"/>
  <c r="AA185" i="61" s="1"/>
  <c r="AA189" i="61" s="1"/>
  <c r="W170" i="61"/>
  <c r="Y170" i="61"/>
  <c r="U185" i="63"/>
  <c r="U189" i="63" s="1"/>
  <c r="Y189" i="63"/>
  <c r="AA104" i="65"/>
  <c r="AB158" i="63"/>
  <c r="AB170" i="63" s="1"/>
  <c r="AB135" i="63"/>
  <c r="AB139" i="63" s="1"/>
  <c r="X83" i="65"/>
  <c r="U104" i="68"/>
  <c r="Y104" i="68"/>
  <c r="Y185" i="69"/>
  <c r="Y189" i="69" s="1"/>
  <c r="Z189" i="69"/>
  <c r="E60" i="70"/>
  <c r="E28" i="70"/>
  <c r="E27" i="70"/>
  <c r="X81" i="52"/>
  <c r="X181" i="52" s="1"/>
  <c r="X185" i="52" s="1"/>
  <c r="AB100" i="63"/>
  <c r="AB104" i="63" s="1"/>
  <c r="AB83" i="63"/>
  <c r="X170" i="65"/>
  <c r="X104" i="65"/>
  <c r="AB158" i="65"/>
  <c r="V139" i="68"/>
  <c r="W83" i="68"/>
  <c r="X139" i="68"/>
  <c r="X83" i="68"/>
  <c r="E36" i="67"/>
  <c r="X189" i="69"/>
  <c r="E49" i="70"/>
  <c r="E43" i="70"/>
  <c r="E25" i="70"/>
  <c r="E50" i="70"/>
  <c r="AB104" i="69"/>
  <c r="AB83" i="69"/>
  <c r="X170" i="68"/>
  <c r="E54" i="67"/>
  <c r="E67" i="70"/>
  <c r="E68" i="70" s="1"/>
  <c r="E59" i="70"/>
  <c r="E54" i="70"/>
  <c r="E46" i="70"/>
  <c r="E41" i="70"/>
  <c r="Y170" i="68"/>
  <c r="U170" i="68"/>
  <c r="E49" i="67"/>
  <c r="Y139" i="68"/>
  <c r="U139" i="68"/>
  <c r="E47" i="67"/>
  <c r="Y83" i="68"/>
  <c r="AB83" i="68"/>
  <c r="U83" i="68"/>
  <c r="E32" i="67"/>
  <c r="AB139" i="58" l="1"/>
  <c r="AB185" i="58" s="1"/>
  <c r="AB189" i="58" s="1"/>
  <c r="AA185" i="65"/>
  <c r="AA189" i="65" s="1"/>
  <c r="AC117" i="5"/>
  <c r="X117" i="5"/>
  <c r="AB185" i="61"/>
  <c r="AB181" i="54"/>
  <c r="AB185" i="54" s="1"/>
  <c r="AB185" i="63"/>
  <c r="AB189" i="63" s="1"/>
  <c r="AC201" i="54"/>
  <c r="E74" i="55" s="1"/>
  <c r="U185" i="65"/>
  <c r="U189" i="65" s="1"/>
  <c r="Y181" i="56"/>
  <c r="Y185" i="56" s="1"/>
  <c r="E33" i="53"/>
  <c r="E55" i="70"/>
  <c r="E55" i="59"/>
  <c r="E44" i="53"/>
  <c r="E44" i="62"/>
  <c r="E62" i="64"/>
  <c r="E62" i="70"/>
  <c r="V185" i="68"/>
  <c r="V189" i="68" s="1"/>
  <c r="Z185" i="68"/>
  <c r="Z189" i="68" s="1"/>
  <c r="AB139" i="68"/>
  <c r="E63" i="67"/>
  <c r="E33" i="67"/>
  <c r="E45" i="67"/>
  <c r="AB205" i="68"/>
  <c r="E75" i="67" s="1"/>
  <c r="E39" i="67"/>
  <c r="AA185" i="68"/>
  <c r="AA189" i="68" s="1"/>
  <c r="W185" i="68"/>
  <c r="W189" i="68" s="1"/>
  <c r="X185" i="68"/>
  <c r="X189" i="68" s="1"/>
  <c r="E29" i="67"/>
  <c r="U185" i="68"/>
  <c r="U189" i="68" s="1"/>
  <c r="F18" i="66"/>
  <c r="E55" i="53"/>
  <c r="E29" i="62"/>
  <c r="E62" i="55"/>
  <c r="E38" i="55"/>
  <c r="E62" i="51"/>
  <c r="E44" i="51"/>
  <c r="AC189" i="5"/>
  <c r="K55" i="5"/>
  <c r="P53" i="5"/>
  <c r="AB170" i="65"/>
  <c r="AB205" i="65" s="1"/>
  <c r="E75" i="66" s="1"/>
  <c r="AC181" i="54"/>
  <c r="AC185" i="54" s="1"/>
  <c r="E38" i="64"/>
  <c r="E63" i="66"/>
  <c r="Y185" i="68"/>
  <c r="Y189" i="68" s="1"/>
  <c r="AB205" i="63"/>
  <c r="E74" i="64" s="1"/>
  <c r="Y185" i="61"/>
  <c r="Y189" i="61" s="1"/>
  <c r="E33" i="59"/>
  <c r="E38" i="53"/>
  <c r="E33" i="55"/>
  <c r="E29" i="51"/>
  <c r="W185" i="61"/>
  <c r="W189" i="61" s="1"/>
  <c r="Z220" i="5"/>
  <c r="AB189" i="5"/>
  <c r="E55" i="64"/>
  <c r="E33" i="70"/>
  <c r="E33" i="66"/>
  <c r="E39" i="66"/>
  <c r="AC252" i="5"/>
  <c r="E56" i="66"/>
  <c r="E29" i="70"/>
  <c r="E62" i="59"/>
  <c r="E38" i="62"/>
  <c r="AB205" i="61"/>
  <c r="E74" i="62" s="1"/>
  <c r="AB189" i="61"/>
  <c r="Y185" i="58"/>
  <c r="Y189" i="58" s="1"/>
  <c r="E29" i="57"/>
  <c r="AC201" i="50"/>
  <c r="E74" i="51" s="1"/>
  <c r="E55" i="51"/>
  <c r="E55" i="55"/>
  <c r="AB205" i="69"/>
  <c r="E74" i="70" s="1"/>
  <c r="AB55" i="5"/>
  <c r="AC123" i="5"/>
  <c r="AC130" i="5" s="1"/>
  <c r="X123" i="5"/>
  <c r="X130" i="5" s="1"/>
  <c r="X222" i="5" s="1"/>
  <c r="AB185" i="69"/>
  <c r="AB189" i="69" s="1"/>
  <c r="AC206" i="5"/>
  <c r="X185" i="65"/>
  <c r="X189" i="65" s="1"/>
  <c r="F30" i="66"/>
  <c r="E38" i="70"/>
  <c r="E29" i="59"/>
  <c r="U185" i="58"/>
  <c r="U189" i="58" s="1"/>
  <c r="F55" i="5"/>
  <c r="O55" i="5" s="1"/>
  <c r="O53" i="5"/>
  <c r="E29" i="53"/>
  <c r="E70" i="53" s="1"/>
  <c r="E73" i="53" s="1"/>
  <c r="E75" i="53" s="1"/>
  <c r="E55" i="62"/>
  <c r="E70" i="62" s="1"/>
  <c r="E73" i="62" s="1"/>
  <c r="E75" i="62" s="1"/>
  <c r="E55" i="57"/>
  <c r="E62" i="57"/>
  <c r="E29" i="55"/>
  <c r="E44" i="70"/>
  <c r="X185" i="63"/>
  <c r="X189" i="63" s="1"/>
  <c r="E44" i="64"/>
  <c r="E29" i="64"/>
  <c r="AC91" i="5"/>
  <c r="E29" i="66"/>
  <c r="AC181" i="56"/>
  <c r="AC185" i="56" s="1"/>
  <c r="O234" i="5"/>
  <c r="AC229" i="5"/>
  <c r="AC234" i="5" s="1"/>
  <c r="E56" i="67"/>
  <c r="AB185" i="68"/>
  <c r="AB189" i="68" s="1"/>
  <c r="E71" i="66" l="1"/>
  <c r="E74" i="66" s="1"/>
  <c r="E76" i="66" s="1"/>
  <c r="E70" i="55"/>
  <c r="E73" i="55" s="1"/>
  <c r="E75" i="55" s="1"/>
  <c r="E70" i="64"/>
  <c r="E73" i="64" s="1"/>
  <c r="E75" i="64" s="1"/>
  <c r="E70" i="57"/>
  <c r="E73" i="57" s="1"/>
  <c r="E75" i="57" s="1"/>
  <c r="E70" i="70"/>
  <c r="E73" i="70" s="1"/>
  <c r="E75" i="70" s="1"/>
  <c r="E70" i="51"/>
  <c r="E73" i="51" s="1"/>
  <c r="E75" i="51" s="1"/>
  <c r="E70" i="59"/>
  <c r="E73" i="59" s="1"/>
  <c r="E75" i="59" s="1"/>
  <c r="E71" i="67"/>
  <c r="E74" i="67" s="1"/>
  <c r="E76" i="67" s="1"/>
  <c r="X55" i="5"/>
  <c r="X224" i="5" s="1"/>
  <c r="Z222" i="5"/>
  <c r="AB220" i="5"/>
  <c r="AB185" i="65"/>
  <c r="AC53" i="5"/>
  <c r="AC55" i="5" s="1"/>
  <c r="X53" i="5"/>
  <c r="P55" i="5"/>
  <c r="AC220" i="5"/>
  <c r="E18" i="66" l="1"/>
  <c r="E30" i="66"/>
  <c r="AB189" i="65"/>
  <c r="AB222" i="5"/>
  <c r="Z224" i="5"/>
  <c r="AB224" i="5" l="1"/>
  <c r="Z236" i="5"/>
  <c r="AB236" i="5" l="1"/>
  <c r="Z244" i="5"/>
  <c r="AB244" i="5" l="1"/>
  <c r="Z265" i="5"/>
  <c r="AB265" i="5" l="1"/>
  <c r="Z270" i="5"/>
  <c r="AB270" i="5" s="1"/>
  <c r="S158" i="5"/>
  <c r="H48" i="55"/>
  <c r="AW177" i="5"/>
  <c r="G64" i="55"/>
  <c r="H52" i="57"/>
  <c r="H23" i="64"/>
  <c r="H16" i="62"/>
  <c r="U177" i="5"/>
  <c r="AT74" i="5"/>
  <c r="AN149" i="5"/>
  <c r="T70" i="5"/>
  <c r="BR132" i="5"/>
  <c r="G49" i="7"/>
  <c r="G48" i="67"/>
  <c r="BF144" i="5"/>
  <c r="AT238" i="5"/>
  <c r="BI193" i="5"/>
  <c r="BF110" i="5"/>
  <c r="G25" i="59"/>
  <c r="BL41" i="5"/>
  <c r="AE158" i="5"/>
  <c r="AW35" i="5"/>
  <c r="AW172" i="5"/>
  <c r="S165" i="5"/>
  <c r="AO40" i="5"/>
  <c r="S100" i="5"/>
  <c r="G24" i="53"/>
  <c r="H59" i="55"/>
  <c r="E66" i="5"/>
  <c r="AW214" i="5"/>
  <c r="AE141" i="5"/>
  <c r="AT247" i="5"/>
  <c r="H40" i="55"/>
  <c r="U117" i="5"/>
  <c r="BO182" i="5"/>
  <c r="AE260" i="5"/>
  <c r="AO27" i="5"/>
  <c r="AW212" i="5"/>
  <c r="T161" i="5"/>
  <c r="AO239" i="5"/>
  <c r="AW200" i="5"/>
  <c r="H47" i="62"/>
  <c r="S186" i="5"/>
  <c r="H24" i="66"/>
  <c r="G58" i="67"/>
  <c r="BC144" i="5"/>
  <c r="G46" i="59"/>
  <c r="T58" i="5"/>
  <c r="BR110" i="5"/>
  <c r="BC256" i="5"/>
  <c r="U145" i="5"/>
  <c r="H34" i="70"/>
  <c r="AE135" i="5"/>
  <c r="BC72" i="5"/>
  <c r="AQ178" i="5"/>
  <c r="BR134" i="5"/>
  <c r="H16" i="53"/>
  <c r="S74" i="5"/>
  <c r="G42" i="66"/>
  <c r="H20" i="62"/>
  <c r="R182" i="5"/>
  <c r="AT59" i="5"/>
  <c r="AQ115" i="5"/>
  <c r="S50" i="5"/>
  <c r="BI44" i="5"/>
  <c r="BI197" i="5"/>
  <c r="BC171" i="5"/>
  <c r="AQ47" i="5"/>
  <c r="H37" i="57"/>
  <c r="G35" i="67"/>
  <c r="AZ238" i="5"/>
  <c r="H59" i="70"/>
  <c r="H40" i="53"/>
  <c r="U67" i="5"/>
  <c r="BL160" i="5"/>
  <c r="BR94" i="5"/>
  <c r="AE66" i="5"/>
  <c r="S107" i="5"/>
  <c r="BC124" i="5"/>
  <c r="H16" i="70"/>
  <c r="BI209" i="5"/>
  <c r="AN66" i="5"/>
  <c r="H34" i="51"/>
  <c r="AN117" i="5"/>
  <c r="AN65" i="5"/>
  <c r="BO53" i="5"/>
  <c r="T219" i="5"/>
  <c r="AE123" i="5"/>
  <c r="AO215" i="5"/>
  <c r="H67" i="64"/>
  <c r="AO71" i="5"/>
  <c r="BI208" i="5"/>
  <c r="H50" i="66"/>
  <c r="S151" i="5"/>
  <c r="AO88" i="5"/>
  <c r="AT166" i="5"/>
  <c r="AE259" i="5"/>
  <c r="G31" i="55"/>
  <c r="BO164" i="5"/>
  <c r="AZ210" i="5"/>
  <c r="AZ147" i="5"/>
  <c r="W48" i="5"/>
  <c r="U108" i="5"/>
  <c r="H25" i="59"/>
  <c r="AH299" i="5"/>
  <c r="AE203" i="5"/>
  <c r="AF331" i="5"/>
  <c r="AK113" i="5"/>
  <c r="AZ45" i="5"/>
  <c r="BF163" i="5"/>
  <c r="H22" i="67"/>
  <c r="AT58" i="5"/>
  <c r="T127" i="5"/>
  <c r="AN244" i="5"/>
  <c r="U260" i="5"/>
  <c r="R95" i="5"/>
  <c r="AO197" i="5"/>
  <c r="G21" i="55"/>
  <c r="H60" i="70"/>
  <c r="G41" i="51"/>
  <c r="BR62" i="5"/>
  <c r="BO178" i="5"/>
  <c r="AW222" i="5"/>
  <c r="BC160" i="5"/>
  <c r="BI82" i="5"/>
  <c r="H48" i="53"/>
  <c r="AQ49" i="5"/>
  <c r="BC185" i="5"/>
  <c r="G32" i="51"/>
  <c r="G27" i="57"/>
  <c r="AN183" i="5"/>
  <c r="H53" i="55"/>
  <c r="H59" i="62"/>
  <c r="T196" i="5"/>
  <c r="BL69" i="5"/>
  <c r="T61" i="5"/>
  <c r="G58" i="53"/>
  <c r="BI135" i="5"/>
  <c r="S248" i="5"/>
  <c r="AT180" i="5"/>
  <c r="T169" i="5"/>
  <c r="G47" i="53"/>
  <c r="H49" i="67"/>
  <c r="BL34" i="5"/>
  <c r="AQ130" i="5"/>
  <c r="G28" i="70"/>
  <c r="H58" i="59"/>
  <c r="S214" i="5"/>
  <c r="H34" i="66"/>
  <c r="BI175" i="5"/>
  <c r="R196" i="5"/>
  <c r="AZ59" i="5"/>
  <c r="H58" i="66"/>
  <c r="BL238" i="5"/>
  <c r="BR63" i="5"/>
  <c r="AN198" i="5"/>
  <c r="G64" i="59"/>
  <c r="AZ82" i="5"/>
  <c r="U168" i="5"/>
  <c r="AN213" i="5"/>
  <c r="H50" i="59"/>
  <c r="G54" i="55"/>
  <c r="AO180" i="5"/>
  <c r="G57" i="59"/>
  <c r="AE295" i="5"/>
  <c r="T71" i="5"/>
  <c r="W44" i="5"/>
  <c r="AO236" i="5"/>
  <c r="H54" i="57"/>
  <c r="H42" i="57"/>
  <c r="AZ200" i="5"/>
  <c r="G21" i="70"/>
  <c r="G48" i="70"/>
  <c r="G22" i="55"/>
  <c r="H58" i="70"/>
  <c r="AK61" i="5"/>
  <c r="AQ77" i="5"/>
  <c r="G25" i="67"/>
  <c r="AN187" i="5"/>
  <c r="AW168" i="5"/>
  <c r="BI128" i="5"/>
  <c r="BI144" i="5"/>
  <c r="AZ191" i="5"/>
  <c r="H27" i="66"/>
  <c r="E194" i="5"/>
  <c r="AQ123" i="5"/>
  <c r="H54" i="67"/>
  <c r="BL214" i="5"/>
  <c r="G25" i="55"/>
  <c r="AN222" i="5"/>
  <c r="BC158" i="5"/>
  <c r="G19" i="67"/>
  <c r="G40" i="51"/>
  <c r="AT99" i="5"/>
  <c r="G20" i="57"/>
  <c r="AQ136" i="5"/>
  <c r="BF84" i="5"/>
  <c r="E230" i="5"/>
  <c r="G61" i="67"/>
  <c r="AE50" i="5"/>
  <c r="G41" i="70"/>
  <c r="AZ118" i="5"/>
  <c r="AN61" i="5"/>
  <c r="BL26" i="5"/>
  <c r="AT50" i="5"/>
  <c r="AZ61" i="5"/>
  <c r="H25" i="70"/>
  <c r="AK82" i="5"/>
  <c r="U135" i="5"/>
  <c r="S97" i="5"/>
  <c r="H37" i="62"/>
  <c r="T193" i="5"/>
  <c r="H21" i="62"/>
  <c r="R202" i="5"/>
  <c r="AT239" i="5"/>
  <c r="BO174" i="5"/>
  <c r="AW206" i="5"/>
  <c r="AZ62" i="5"/>
  <c r="AN46" i="5"/>
  <c r="S25" i="5"/>
  <c r="AQ119" i="5"/>
  <c r="AT260" i="5"/>
  <c r="S163" i="5"/>
  <c r="AN27" i="5"/>
  <c r="AZ132" i="5"/>
  <c r="AK80" i="5"/>
  <c r="BI165" i="5"/>
  <c r="AO178" i="5"/>
  <c r="H27" i="57"/>
  <c r="T68" i="5"/>
  <c r="S36" i="5"/>
  <c r="T93" i="5"/>
  <c r="E229" i="5"/>
  <c r="AN82" i="5"/>
  <c r="AQ146" i="5"/>
  <c r="E86" i="5"/>
  <c r="U129" i="5"/>
  <c r="BF45" i="5"/>
  <c r="AT105" i="5"/>
  <c r="H40" i="59"/>
  <c r="AE220" i="5"/>
  <c r="AK246" i="5"/>
  <c r="BF196" i="5"/>
  <c r="BL228" i="5"/>
  <c r="BR47" i="5"/>
  <c r="BF132" i="5"/>
  <c r="AW153" i="5"/>
  <c r="AT73" i="5"/>
  <c r="R212" i="5"/>
  <c r="E208" i="5"/>
  <c r="AN95" i="5"/>
  <c r="AQ25" i="5"/>
  <c r="H49" i="51"/>
  <c r="AO162" i="5"/>
  <c r="AZ167" i="5"/>
  <c r="S176" i="5"/>
  <c r="G50" i="51"/>
  <c r="BL70" i="5"/>
  <c r="AZ216" i="5"/>
  <c r="G59" i="59"/>
  <c r="BR259" i="5"/>
  <c r="AN104" i="5"/>
  <c r="AW179" i="5"/>
  <c r="H21" i="57"/>
  <c r="R146" i="5"/>
  <c r="BO82" i="5"/>
  <c r="AE236" i="5"/>
  <c r="H65" i="66"/>
  <c r="AT24" i="5"/>
  <c r="AZ179" i="5"/>
  <c r="E257" i="5"/>
  <c r="H52" i="55"/>
  <c r="BR76" i="5"/>
  <c r="AZ71" i="5"/>
  <c r="AO254" i="5"/>
  <c r="AE257" i="5"/>
  <c r="AW36" i="5"/>
  <c r="R66" i="5"/>
  <c r="S66" i="5"/>
  <c r="AZ117" i="5"/>
  <c r="G52" i="70"/>
  <c r="T95" i="5"/>
  <c r="AK143" i="5"/>
  <c r="H26" i="55"/>
  <c r="BO202" i="5"/>
  <c r="AE72" i="5"/>
  <c r="AQ260" i="5"/>
  <c r="U259" i="5"/>
  <c r="G48" i="53"/>
  <c r="H51" i="59"/>
  <c r="BO79" i="5"/>
  <c r="H64" i="64"/>
  <c r="AO108" i="5"/>
  <c r="AX11" i="5"/>
  <c r="R191" i="5"/>
  <c r="H40" i="64"/>
  <c r="G59" i="57"/>
  <c r="H54" i="70"/>
  <c r="BC201" i="5"/>
  <c r="E11" i="5"/>
  <c r="G32" i="62"/>
  <c r="G56" i="7"/>
  <c r="G50" i="64"/>
  <c r="BC229" i="5"/>
  <c r="BC212" i="5"/>
  <c r="S168" i="5"/>
  <c r="T50" i="5"/>
  <c r="AQ195" i="5"/>
  <c r="T90" i="5"/>
  <c r="E213" i="5"/>
  <c r="AN22" i="5"/>
  <c r="AO193" i="5"/>
  <c r="AW241" i="5"/>
  <c r="BL151" i="5"/>
  <c r="AQ94" i="5"/>
  <c r="BI55" i="5"/>
  <c r="AW227" i="5"/>
  <c r="AK230" i="5"/>
  <c r="H48" i="57"/>
  <c r="E28" i="5"/>
  <c r="AZ110" i="5"/>
  <c r="G28" i="57"/>
  <c r="G57" i="64"/>
  <c r="AZ66" i="5"/>
  <c r="G54" i="53"/>
  <c r="T253" i="5"/>
  <c r="H40" i="70"/>
  <c r="H22" i="70"/>
  <c r="AT125" i="5"/>
  <c r="G51" i="67"/>
  <c r="AW148" i="5"/>
  <c r="S144" i="5"/>
  <c r="AZ214" i="5"/>
  <c r="AH317" i="5"/>
  <c r="H57" i="53"/>
  <c r="AW265" i="5"/>
  <c r="AE318" i="5"/>
  <c r="BI41" i="5"/>
  <c r="R89" i="5"/>
  <c r="AZ208" i="5"/>
  <c r="AQ167" i="5"/>
  <c r="AT127" i="5"/>
  <c r="E244" i="5"/>
  <c r="G58" i="70"/>
  <c r="BI125" i="5"/>
  <c r="AN62" i="5"/>
  <c r="H28" i="67"/>
  <c r="AZ87" i="5"/>
  <c r="AE250" i="5"/>
  <c r="BO247" i="5"/>
  <c r="G41" i="62"/>
  <c r="G53" i="59"/>
  <c r="G49" i="51"/>
  <c r="BR137" i="5"/>
  <c r="H37" i="67"/>
  <c r="AT170" i="5"/>
  <c r="H53" i="62"/>
  <c r="H23" i="59"/>
  <c r="G34" i="64"/>
  <c r="BF98" i="5"/>
  <c r="BR214" i="5"/>
  <c r="H40" i="7"/>
  <c r="BC228" i="5"/>
  <c r="AT43" i="5"/>
  <c r="BL47" i="5"/>
  <c r="S83" i="5"/>
  <c r="H60" i="67"/>
  <c r="AO230" i="5"/>
  <c r="R230" i="5"/>
  <c r="AT242" i="5"/>
  <c r="AF332" i="5"/>
  <c r="AQ117" i="5"/>
  <c r="AT263" i="5"/>
  <c r="G27" i="62"/>
  <c r="G67" i="62"/>
  <c r="BR46" i="5"/>
  <c r="H25" i="62"/>
  <c r="BR53" i="5"/>
  <c r="AO175" i="5"/>
  <c r="S87" i="5"/>
  <c r="H53" i="51"/>
  <c r="H24" i="53"/>
  <c r="H54" i="55"/>
  <c r="G35" i="66"/>
  <c r="AO132" i="5"/>
  <c r="AT139" i="5"/>
  <c r="G28" i="62"/>
  <c r="G24" i="70"/>
  <c r="AT168" i="5"/>
  <c r="H47" i="66"/>
  <c r="AE179" i="5"/>
  <c r="BI66" i="5"/>
  <c r="D63" i="7"/>
  <c r="U90" i="5"/>
  <c r="BI103" i="5"/>
  <c r="BR158" i="5"/>
  <c r="AX12" i="5"/>
  <c r="G43" i="70"/>
  <c r="BO238" i="5"/>
  <c r="G28" i="64"/>
  <c r="AO161" i="5"/>
  <c r="H23" i="62"/>
  <c r="BL104" i="5"/>
  <c r="AQ110" i="5"/>
  <c r="R127" i="5"/>
  <c r="BL128" i="5"/>
  <c r="G58" i="64"/>
  <c r="BF247" i="5"/>
  <c r="E89" i="5"/>
  <c r="R57" i="5"/>
  <c r="BC70" i="5"/>
  <c r="BC215" i="5"/>
  <c r="AT217" i="5"/>
  <c r="AK173" i="5"/>
  <c r="H51" i="66"/>
  <c r="AZ50" i="5"/>
  <c r="G53" i="67"/>
  <c r="AO164" i="5"/>
  <c r="T119" i="5"/>
  <c r="H47" i="51"/>
  <c r="AN51" i="5"/>
  <c r="U36" i="5"/>
  <c r="H58" i="64"/>
  <c r="G61" i="62"/>
  <c r="AQ185" i="5"/>
  <c r="S84" i="5"/>
  <c r="AN25" i="5"/>
  <c r="E105" i="5"/>
  <c r="AO212" i="5"/>
  <c r="AZ171" i="5"/>
  <c r="AW118" i="5"/>
  <c r="R197" i="5"/>
  <c r="AK107" i="5"/>
  <c r="G57" i="62"/>
  <c r="BC55" i="5"/>
  <c r="AE312" i="5"/>
  <c r="AK171" i="5"/>
  <c r="G41" i="64"/>
  <c r="BC50" i="5"/>
  <c r="G41" i="67"/>
  <c r="AT231" i="5"/>
  <c r="T49" i="5"/>
  <c r="G21" i="7"/>
  <c r="AH296" i="5"/>
  <c r="BI72" i="5"/>
  <c r="BR127" i="5"/>
  <c r="G21" i="62"/>
  <c r="G48" i="55"/>
  <c r="AK36" i="5"/>
  <c r="U71" i="5"/>
  <c r="S246" i="5"/>
  <c r="AN120" i="5"/>
  <c r="G61" i="53"/>
  <c r="H47" i="70"/>
  <c r="BL102" i="5"/>
  <c r="G26" i="55"/>
  <c r="AQ147" i="5"/>
  <c r="AN172" i="5"/>
  <c r="BO198" i="5"/>
  <c r="G40" i="57"/>
  <c r="AN43" i="5"/>
  <c r="H36" i="53"/>
  <c r="S112" i="5"/>
  <c r="H64" i="57"/>
  <c r="AE232" i="5"/>
  <c r="AE168" i="5"/>
  <c r="H20" i="70"/>
  <c r="BR170" i="5"/>
  <c r="BO183" i="5"/>
  <c r="AT232" i="5"/>
  <c r="G50" i="55"/>
  <c r="AE97" i="5"/>
  <c r="BL209" i="5"/>
  <c r="AO68" i="5"/>
  <c r="AK120" i="5"/>
  <c r="BO86" i="5"/>
  <c r="BR254" i="5"/>
  <c r="AK89" i="5"/>
  <c r="H43" i="66"/>
  <c r="H67" i="53"/>
  <c r="R159" i="5"/>
  <c r="G40" i="70"/>
  <c r="H42" i="7"/>
  <c r="AT181" i="5"/>
  <c r="G54" i="64"/>
  <c r="T146" i="5"/>
  <c r="AQ88" i="5"/>
  <c r="AE59" i="5"/>
  <c r="U26" i="5"/>
  <c r="H49" i="59"/>
  <c r="BI80" i="5"/>
  <c r="AE149" i="5"/>
  <c r="G16" i="67"/>
  <c r="AN227" i="5"/>
  <c r="BR119" i="5"/>
  <c r="G46" i="55"/>
  <c r="AE206" i="5"/>
  <c r="H61" i="59"/>
  <c r="AN71" i="5"/>
  <c r="G60" i="64"/>
  <c r="H34" i="57"/>
  <c r="G21" i="64"/>
  <c r="H49" i="53"/>
  <c r="BO246" i="5"/>
  <c r="G64" i="62"/>
  <c r="AN72" i="5"/>
  <c r="AO45" i="5"/>
  <c r="T233" i="5"/>
  <c r="H34" i="55"/>
  <c r="BR75" i="5"/>
  <c r="AK57" i="5"/>
  <c r="E123" i="5"/>
  <c r="H64" i="70"/>
  <c r="AW228" i="5"/>
  <c r="G50" i="70"/>
  <c r="G26" i="62"/>
  <c r="R162" i="5"/>
  <c r="BL98" i="5"/>
  <c r="BC46" i="5"/>
  <c r="BI141" i="5"/>
  <c r="H47" i="67"/>
  <c r="H37" i="53"/>
  <c r="AW184" i="5"/>
  <c r="BI148" i="5"/>
  <c r="T80" i="5"/>
  <c r="U170" i="5"/>
  <c r="G23" i="59"/>
  <c r="BI88" i="5"/>
  <c r="BC248" i="5"/>
  <c r="T59" i="5"/>
  <c r="U62" i="5"/>
  <c r="BL167" i="5"/>
  <c r="E238" i="5"/>
  <c r="AQ30" i="5"/>
  <c r="BI121" i="5"/>
  <c r="H24" i="64"/>
  <c r="G61" i="70"/>
  <c r="S62" i="5"/>
  <c r="BC181" i="5"/>
  <c r="AW160" i="5"/>
  <c r="T51" i="5"/>
  <c r="E143" i="5"/>
  <c r="G25" i="51"/>
  <c r="AQ182" i="5"/>
  <c r="AQ76" i="5"/>
  <c r="R34" i="5"/>
  <c r="T113" i="5"/>
  <c r="AW125" i="5"/>
  <c r="H64" i="59"/>
  <c r="E13" i="62"/>
  <c r="BR210" i="5"/>
  <c r="AN165" i="5"/>
  <c r="AK48" i="5"/>
  <c r="BR22" i="5"/>
  <c r="U45" i="5"/>
  <c r="BO260" i="5"/>
  <c r="E60" i="5"/>
  <c r="U160" i="5"/>
  <c r="AT254" i="5"/>
  <c r="H53" i="59"/>
  <c r="W228" i="5"/>
  <c r="BC146" i="5"/>
  <c r="S156" i="5"/>
  <c r="AQ86" i="5"/>
  <c r="BC194" i="5"/>
  <c r="AO231" i="5"/>
  <c r="H47" i="53"/>
  <c r="BR197" i="5"/>
  <c r="AT35" i="5"/>
  <c r="AO199" i="5"/>
  <c r="T114" i="5"/>
  <c r="H21" i="66"/>
  <c r="H26" i="53"/>
  <c r="BL164" i="5"/>
  <c r="G53" i="70"/>
  <c r="G34" i="70"/>
  <c r="G50" i="66"/>
  <c r="H51" i="70"/>
  <c r="E212" i="5"/>
  <c r="AK179" i="5"/>
  <c r="W250" i="5"/>
  <c r="G54" i="67"/>
  <c r="H51" i="51"/>
  <c r="AE261" i="5"/>
  <c r="U138" i="5"/>
  <c r="G34" i="67"/>
  <c r="G49" i="59"/>
  <c r="G54" i="59"/>
  <c r="AK133" i="5"/>
  <c r="U95" i="5"/>
  <c r="AT48" i="5"/>
  <c r="BC63" i="5"/>
  <c r="H31" i="53"/>
  <c r="D54" i="7"/>
  <c r="G26" i="70"/>
  <c r="BI49" i="5"/>
  <c r="AE197" i="5"/>
  <c r="AT210" i="5"/>
  <c r="T111" i="5"/>
  <c r="AW103" i="5"/>
  <c r="AK236" i="5"/>
  <c r="BR201" i="5"/>
  <c r="R87" i="5"/>
  <c r="H68" i="67"/>
  <c r="AK123" i="5"/>
  <c r="G42" i="67"/>
  <c r="BR176" i="5"/>
  <c r="AW110" i="5"/>
  <c r="U202" i="5"/>
  <c r="BO140" i="5"/>
  <c r="R104" i="5"/>
  <c r="H26" i="59"/>
  <c r="AT265" i="5"/>
  <c r="T63" i="5"/>
  <c r="AW171" i="5"/>
  <c r="AN217" i="5"/>
  <c r="BR212" i="5"/>
  <c r="AN110" i="5"/>
  <c r="T204" i="5"/>
  <c r="AT209" i="5"/>
  <c r="AT111" i="5"/>
  <c r="AZ155" i="5"/>
  <c r="AQ105" i="5"/>
  <c r="AT133" i="5"/>
  <c r="AQ213" i="5"/>
  <c r="AQ177" i="5"/>
  <c r="U124" i="5"/>
  <c r="AQ89" i="5"/>
  <c r="BR228" i="5"/>
  <c r="BR247" i="5"/>
  <c r="AW175" i="5"/>
  <c r="H52" i="64"/>
  <c r="AQ32" i="5"/>
  <c r="U139" i="5"/>
  <c r="U83" i="5"/>
  <c r="T201" i="5"/>
  <c r="BL36" i="5"/>
  <c r="BC140" i="5"/>
  <c r="AO151" i="5"/>
  <c r="AQ191" i="5"/>
  <c r="AQ139" i="5"/>
  <c r="R99" i="5"/>
  <c r="H65" i="67"/>
  <c r="G32" i="57"/>
  <c r="H23" i="66"/>
  <c r="H26" i="57"/>
  <c r="T129" i="5"/>
  <c r="G28" i="59"/>
  <c r="BO84" i="5"/>
  <c r="E158" i="5"/>
  <c r="BI102" i="5"/>
  <c r="AT25" i="5"/>
  <c r="H58" i="55"/>
  <c r="S174" i="5"/>
  <c r="G22" i="51"/>
  <c r="R255" i="5"/>
  <c r="G48" i="59"/>
  <c r="BO49" i="5"/>
  <c r="AT196" i="5"/>
  <c r="S260" i="5"/>
  <c r="AK255" i="5"/>
  <c r="AN196" i="5"/>
  <c r="G31" i="7"/>
  <c r="H31" i="64"/>
  <c r="E75" i="5"/>
  <c r="AE198" i="5"/>
  <c r="T26" i="5"/>
  <c r="T83" i="5"/>
  <c r="E88" i="5"/>
  <c r="G54" i="66"/>
  <c r="R192" i="5"/>
  <c r="AF308" i="5"/>
  <c r="BF230" i="5"/>
  <c r="AE111" i="5"/>
  <c r="AQ148" i="5"/>
  <c r="U261" i="5"/>
  <c r="BL168" i="5"/>
  <c r="BL108" i="5"/>
  <c r="G65" i="67"/>
  <c r="BI113" i="5"/>
  <c r="BI187" i="5"/>
  <c r="AK108" i="5"/>
  <c r="E53" i="5"/>
  <c r="R125" i="5"/>
  <c r="BI185" i="5"/>
  <c r="U66" i="5"/>
  <c r="BI136" i="5"/>
  <c r="AE160" i="5"/>
  <c r="AQ144" i="5"/>
  <c r="H35" i="64"/>
  <c r="AQ72" i="5"/>
  <c r="AZ78" i="5"/>
  <c r="E246" i="5"/>
  <c r="H58" i="53"/>
  <c r="G57" i="70"/>
  <c r="BC74" i="5"/>
  <c r="U200" i="5"/>
  <c r="BO66" i="5"/>
  <c r="BC240" i="5"/>
  <c r="BL38" i="5"/>
  <c r="BR112" i="5"/>
  <c r="BC112" i="5"/>
  <c r="BR106" i="5"/>
  <c r="AW257" i="5"/>
  <c r="T97" i="5"/>
  <c r="AQ42" i="5"/>
  <c r="H36" i="51"/>
  <c r="W230" i="5"/>
  <c r="AE163" i="5"/>
  <c r="R218" i="5"/>
  <c r="T110" i="5"/>
  <c r="AZ160" i="5"/>
  <c r="G21" i="57"/>
  <c r="H36" i="59"/>
  <c r="S147" i="5"/>
  <c r="H42" i="62"/>
  <c r="BF181" i="5"/>
  <c r="U166" i="5"/>
  <c r="AO47" i="5"/>
  <c r="G22" i="62"/>
  <c r="AO109" i="5"/>
  <c r="AK58" i="5"/>
  <c r="G40" i="62"/>
  <c r="H68" i="66"/>
  <c r="AK166" i="5"/>
  <c r="BC210" i="5"/>
  <c r="E165" i="5"/>
  <c r="H47" i="57"/>
  <c r="AK115" i="5"/>
  <c r="BI170" i="5"/>
  <c r="BL74" i="5"/>
  <c r="AN59" i="5"/>
  <c r="H16" i="64"/>
  <c r="AN157" i="5"/>
  <c r="AO112" i="5"/>
  <c r="BC110" i="5"/>
  <c r="AQ61" i="5"/>
  <c r="AT83" i="5"/>
  <c r="BD12" i="5"/>
  <c r="BR198" i="5"/>
  <c r="BL163" i="5"/>
  <c r="AH330" i="5"/>
  <c r="AW163" i="5"/>
  <c r="T182" i="5"/>
  <c r="AN77" i="5"/>
  <c r="AT201" i="5"/>
  <c r="AN191" i="5"/>
  <c r="AO63" i="5"/>
  <c r="T147" i="5"/>
  <c r="G37" i="53"/>
  <c r="R204" i="5"/>
  <c r="U163" i="5"/>
  <c r="G42" i="70"/>
  <c r="BD13" i="5"/>
  <c r="AT216" i="5"/>
  <c r="BF187" i="5"/>
  <c r="AQ122" i="5"/>
  <c r="E133" i="5"/>
  <c r="AN228" i="5"/>
  <c r="AK183" i="5"/>
  <c r="AN169" i="5"/>
  <c r="AQ171" i="5"/>
  <c r="G36" i="55"/>
  <c r="AT176" i="5"/>
  <c r="AO208" i="5"/>
  <c r="AW178" i="5"/>
  <c r="G52" i="64"/>
  <c r="BL139" i="5"/>
  <c r="G49" i="66"/>
  <c r="BR117" i="5"/>
  <c r="AK215" i="5"/>
  <c r="H46" i="55"/>
  <c r="G31" i="67"/>
  <c r="H27" i="59"/>
  <c r="T167" i="5"/>
  <c r="AO172" i="5"/>
  <c r="AQ194" i="5"/>
  <c r="E126" i="5"/>
  <c r="BG14" i="5"/>
  <c r="BI260" i="5"/>
  <c r="U193" i="5"/>
  <c r="G60" i="53"/>
  <c r="G46" i="51"/>
  <c r="AH326" i="5"/>
  <c r="AW33" i="5"/>
  <c r="E183" i="5"/>
  <c r="R50" i="5"/>
  <c r="AE142" i="5"/>
  <c r="BR174" i="5"/>
  <c r="BC141" i="5"/>
  <c r="AZ111" i="5"/>
  <c r="AN211" i="5"/>
  <c r="T260" i="5"/>
  <c r="G47" i="7"/>
  <c r="AT115" i="5"/>
  <c r="AN139" i="5"/>
  <c r="AQ222" i="5"/>
  <c r="H26" i="7"/>
  <c r="AT45" i="5"/>
  <c r="AO102" i="5"/>
  <c r="BL258" i="5"/>
  <c r="S48" i="5"/>
  <c r="BR249" i="5"/>
  <c r="G36" i="53"/>
  <c r="BF121" i="5"/>
  <c r="W46" i="5"/>
  <c r="BO149" i="5"/>
  <c r="BF73" i="5"/>
  <c r="AQ230" i="5"/>
  <c r="AZ65" i="5"/>
  <c r="AW238" i="5"/>
  <c r="S202" i="5"/>
  <c r="E179" i="5"/>
  <c r="BO28" i="5"/>
  <c r="G50" i="57"/>
  <c r="AQ183" i="5"/>
  <c r="AN134" i="5"/>
  <c r="BL272" i="5"/>
  <c r="E58" i="5"/>
  <c r="G59" i="70"/>
  <c r="BO33" i="5"/>
  <c r="G58" i="55"/>
  <c r="E61" i="5"/>
  <c r="AQ138" i="5"/>
  <c r="BF80" i="5"/>
  <c r="G41" i="53"/>
  <c r="AK132" i="5"/>
  <c r="BL134" i="5"/>
  <c r="AQ98" i="5"/>
  <c r="AE178" i="5"/>
  <c r="R213" i="5"/>
  <c r="AN194" i="5"/>
  <c r="T84" i="5"/>
  <c r="G32" i="55"/>
  <c r="AQ174" i="5"/>
  <c r="AO198" i="5"/>
  <c r="BL230" i="5"/>
  <c r="U25" i="5"/>
  <c r="AZ248" i="5"/>
  <c r="AH340" i="5"/>
  <c r="G50" i="62"/>
  <c r="U141" i="5"/>
  <c r="U219" i="5"/>
  <c r="BL184" i="5"/>
  <c r="H25" i="53"/>
  <c r="AE133" i="5"/>
  <c r="S157" i="5"/>
  <c r="S24" i="5"/>
  <c r="BO62" i="5"/>
  <c r="H32" i="55"/>
  <c r="AN255" i="5"/>
  <c r="U46" i="5"/>
  <c r="AO149" i="5"/>
  <c r="G23" i="70"/>
  <c r="AO140" i="5"/>
  <c r="T242" i="5"/>
  <c r="AQ175" i="5"/>
  <c r="AE32" i="5"/>
  <c r="BF185" i="5"/>
  <c r="AW140" i="5"/>
  <c r="AK256" i="5"/>
  <c r="R176" i="5"/>
  <c r="BC183" i="5"/>
  <c r="AQ168" i="5"/>
  <c r="AK34" i="5"/>
  <c r="U74" i="5"/>
  <c r="G27" i="53"/>
  <c r="AT162" i="5"/>
  <c r="AZ120" i="5"/>
  <c r="AE171" i="5"/>
  <c r="G46" i="62"/>
  <c r="AN168" i="5"/>
  <c r="G26" i="66"/>
  <c r="BL88" i="5"/>
  <c r="G37" i="66"/>
  <c r="H26" i="51"/>
  <c r="AQ142" i="5"/>
  <c r="G27" i="51"/>
  <c r="BO59" i="5"/>
  <c r="BO121" i="5"/>
  <c r="AH318" i="5"/>
  <c r="BL99" i="5"/>
  <c r="AW75" i="5"/>
  <c r="BF197" i="5"/>
  <c r="AZ73" i="5"/>
  <c r="AW55" i="5"/>
  <c r="G38" i="67"/>
  <c r="BF182" i="5"/>
  <c r="BI195" i="5"/>
  <c r="AO217" i="5"/>
  <c r="AO65" i="5"/>
  <c r="AE76" i="5"/>
  <c r="AO121" i="5"/>
  <c r="AE170" i="5"/>
  <c r="S88" i="5"/>
  <c r="AN124" i="5"/>
  <c r="AE124" i="5"/>
  <c r="AH305" i="5"/>
  <c r="E95" i="5"/>
  <c r="AZ88" i="5"/>
  <c r="AK127" i="5"/>
  <c r="BF141" i="5"/>
  <c r="AW32" i="5"/>
  <c r="BC83" i="5"/>
  <c r="AT42" i="5"/>
  <c r="H22" i="66"/>
  <c r="AK49" i="5"/>
  <c r="H31" i="55"/>
  <c r="G16" i="62"/>
  <c r="G51" i="7"/>
  <c r="S240" i="5"/>
  <c r="G46" i="64"/>
  <c r="AF312" i="5"/>
  <c r="BR74" i="5"/>
  <c r="G26" i="51"/>
  <c r="H37" i="70"/>
  <c r="AZ254" i="5"/>
  <c r="AN26" i="5"/>
  <c r="AQ135" i="5"/>
  <c r="H19" i="64"/>
  <c r="BI258" i="5"/>
  <c r="AK217" i="5"/>
  <c r="T188" i="5"/>
  <c r="BF195" i="5"/>
  <c r="BR101" i="5"/>
  <c r="G24" i="55"/>
  <c r="U188" i="5"/>
  <c r="AZ199" i="5"/>
  <c r="AQ51" i="5"/>
  <c r="H34" i="62"/>
  <c r="U72" i="5"/>
  <c r="BI22" i="5"/>
  <c r="G67" i="57"/>
  <c r="H19" i="53"/>
  <c r="H51" i="67"/>
  <c r="T79" i="5"/>
  <c r="BL121" i="5"/>
  <c r="H53" i="66"/>
  <c r="S32" i="5"/>
  <c r="R40" i="5"/>
  <c r="H25" i="51"/>
  <c r="BR199" i="5"/>
  <c r="BI123" i="5"/>
  <c r="AW150" i="5"/>
  <c r="E47" i="5"/>
  <c r="AO138" i="5"/>
  <c r="G43" i="59"/>
  <c r="G24" i="57"/>
  <c r="H52" i="51"/>
  <c r="BL43" i="5"/>
  <c r="H20" i="55"/>
  <c r="H53" i="70"/>
  <c r="BO170" i="5"/>
  <c r="W229" i="5"/>
  <c r="AQ137" i="5"/>
  <c r="AE35" i="5"/>
  <c r="U169" i="5"/>
  <c r="H23" i="7"/>
  <c r="AH338" i="5"/>
  <c r="AT146" i="5"/>
  <c r="AW218" i="5"/>
  <c r="BO26" i="5"/>
  <c r="AE162" i="5"/>
  <c r="AE290" i="5"/>
  <c r="BR60" i="5"/>
  <c r="BI214" i="5"/>
  <c r="T163" i="5"/>
  <c r="AT220" i="5"/>
  <c r="G49" i="53"/>
  <c r="U34" i="5"/>
  <c r="AN254" i="5"/>
  <c r="AT218" i="5"/>
  <c r="AH293" i="5"/>
  <c r="BF41" i="5"/>
  <c r="AE112" i="5"/>
  <c r="BO78" i="5"/>
  <c r="G33" i="7"/>
  <c r="AK156" i="5"/>
  <c r="AE62" i="5"/>
  <c r="AZ177" i="5"/>
  <c r="AZ156" i="5"/>
  <c r="BL132" i="5"/>
  <c r="E252" i="5"/>
  <c r="AE183" i="5"/>
  <c r="BI122" i="5"/>
  <c r="BR193" i="5"/>
  <c r="AQ28" i="5"/>
  <c r="AW165" i="5"/>
  <c r="G47" i="55"/>
  <c r="E139" i="5"/>
  <c r="BO196" i="5"/>
  <c r="AW236" i="5"/>
  <c r="BO127" i="5"/>
  <c r="BO215" i="5"/>
  <c r="BO228" i="5"/>
  <c r="U77" i="5"/>
  <c r="S85" i="5"/>
  <c r="AL11" i="5"/>
  <c r="AW186" i="5"/>
  <c r="G28" i="67"/>
  <c r="AW144" i="5"/>
  <c r="AT224" i="5"/>
  <c r="H51" i="7"/>
  <c r="H40" i="57"/>
  <c r="R150" i="5"/>
  <c r="S44" i="5"/>
  <c r="AO210" i="5"/>
  <c r="AO196" i="5"/>
  <c r="AQ169" i="5"/>
  <c r="AJ12" i="5"/>
  <c r="E81" i="5"/>
  <c r="AQ268" i="5"/>
  <c r="H21" i="53"/>
  <c r="E91" i="5"/>
  <c r="G20" i="67"/>
  <c r="BI155" i="5"/>
  <c r="BF168" i="5"/>
  <c r="H49" i="64"/>
  <c r="S137" i="5"/>
  <c r="R68" i="5"/>
  <c r="AZ231" i="5"/>
  <c r="AT106" i="5"/>
  <c r="AT33" i="5"/>
  <c r="H25" i="64"/>
  <c r="AO44" i="5"/>
  <c r="AN197" i="5"/>
  <c r="BI47" i="5"/>
  <c r="AN192" i="5"/>
  <c r="BC73" i="5"/>
  <c r="R48" i="5"/>
  <c r="G52" i="55"/>
  <c r="G32" i="7"/>
  <c r="G68" i="66"/>
  <c r="H62" i="66"/>
  <c r="AQ118" i="5"/>
  <c r="U246" i="5"/>
  <c r="G16" i="55"/>
  <c r="E100" i="5"/>
  <c r="S160" i="5"/>
  <c r="AN100" i="5"/>
  <c r="G54" i="57"/>
  <c r="R47" i="5"/>
  <c r="H41" i="59"/>
  <c r="G47" i="59"/>
  <c r="H16" i="67"/>
  <c r="BF151" i="5"/>
  <c r="AH325" i="5"/>
  <c r="BI176" i="5"/>
  <c r="AQ165" i="5"/>
  <c r="AZ162" i="5"/>
  <c r="H19" i="62"/>
  <c r="BO32" i="5"/>
  <c r="H46" i="7"/>
  <c r="AT64" i="5"/>
  <c r="H67" i="70"/>
  <c r="AH313" i="5"/>
  <c r="G32" i="66"/>
  <c r="E196" i="5"/>
  <c r="H41" i="51"/>
  <c r="E255" i="5"/>
  <c r="AE191" i="5"/>
  <c r="AN57" i="5"/>
  <c r="G24" i="62"/>
  <c r="G31" i="66"/>
  <c r="G51" i="59"/>
  <c r="BO117" i="5"/>
  <c r="AK196" i="5"/>
  <c r="U197" i="5"/>
  <c r="AZ150" i="5"/>
  <c r="U256" i="5"/>
  <c r="E215" i="5"/>
  <c r="T228" i="5"/>
  <c r="H32" i="7"/>
  <c r="BO87" i="5"/>
  <c r="S197" i="5"/>
  <c r="H23" i="57"/>
  <c r="G47" i="66"/>
  <c r="AZ106" i="5"/>
  <c r="AT157" i="5"/>
  <c r="AQ215" i="5"/>
  <c r="AT53" i="5"/>
  <c r="BF103" i="5"/>
  <c r="E203" i="5"/>
  <c r="G59" i="7"/>
  <c r="R259" i="5"/>
  <c r="H31" i="59"/>
  <c r="AQ53" i="5"/>
  <c r="BO40" i="5"/>
  <c r="AK62" i="5"/>
  <c r="H42" i="55"/>
  <c r="T74" i="5"/>
  <c r="H21" i="70"/>
  <c r="BO256" i="5"/>
  <c r="AE352" i="5"/>
  <c r="AN122" i="5"/>
  <c r="BL73" i="5"/>
  <c r="AF320" i="5"/>
  <c r="BL86" i="5"/>
  <c r="H50" i="55"/>
  <c r="H50" i="53"/>
  <c r="BF192" i="5"/>
  <c r="AK192" i="5"/>
  <c r="AO126" i="5"/>
  <c r="G22" i="64"/>
  <c r="AZ182" i="5"/>
  <c r="G42" i="59"/>
  <c r="T77" i="5"/>
  <c r="AE314" i="5"/>
  <c r="R138" i="5"/>
  <c r="S256" i="5"/>
  <c r="AE60" i="5"/>
  <c r="U86" i="5"/>
  <c r="AN103" i="5"/>
  <c r="BC49" i="5"/>
  <c r="AK148" i="5"/>
  <c r="BO180" i="5"/>
  <c r="AW63" i="5"/>
  <c r="AO216" i="5"/>
  <c r="BF108" i="5"/>
  <c r="AT110" i="5"/>
  <c r="AK47" i="5"/>
  <c r="S33" i="5"/>
  <c r="S68" i="5"/>
  <c r="AQ67" i="5"/>
  <c r="H48" i="51"/>
  <c r="AK214" i="5"/>
  <c r="H25" i="55"/>
  <c r="AO98" i="5"/>
  <c r="H53" i="57"/>
  <c r="AT22" i="5"/>
  <c r="AW143" i="5"/>
  <c r="R133" i="5"/>
  <c r="BI186" i="5"/>
  <c r="AE28" i="5"/>
  <c r="BL118" i="5"/>
  <c r="AO67" i="5"/>
  <c r="AQ58" i="5"/>
  <c r="AK220" i="5"/>
  <c r="AW46" i="5"/>
  <c r="U44" i="5"/>
  <c r="AQ34" i="5"/>
  <c r="AQ85" i="5"/>
  <c r="AW193" i="5"/>
  <c r="R64" i="5"/>
  <c r="AT187" i="5"/>
  <c r="G67" i="59"/>
  <c r="AW70" i="5"/>
  <c r="G48" i="7"/>
  <c r="AE174" i="5"/>
  <c r="BF87" i="5"/>
  <c r="BR67" i="5"/>
  <c r="AE86" i="5"/>
  <c r="E41" i="5"/>
  <c r="E15" i="5"/>
  <c r="AN44" i="5"/>
  <c r="AO133" i="5"/>
  <c r="AK27" i="5"/>
  <c r="S46" i="5"/>
  <c r="S125" i="5"/>
  <c r="BL94" i="5"/>
  <c r="T122" i="5"/>
  <c r="BL109" i="5"/>
  <c r="AF307" i="5"/>
  <c r="BF139" i="5"/>
  <c r="AN246" i="5"/>
  <c r="G24" i="51"/>
  <c r="AO128" i="5"/>
  <c r="AT124" i="5"/>
  <c r="H37" i="55"/>
  <c r="BR96" i="5"/>
  <c r="BC187" i="5"/>
  <c r="H36" i="62"/>
  <c r="G61" i="57"/>
  <c r="H19" i="70"/>
  <c r="AO60" i="5"/>
  <c r="AQ210" i="5"/>
  <c r="BF112" i="5"/>
  <c r="E210" i="5"/>
  <c r="BL216" i="5"/>
  <c r="AW43" i="5"/>
  <c r="U119" i="5"/>
  <c r="AT163" i="5"/>
  <c r="BI199" i="5"/>
  <c r="BL147" i="5"/>
  <c r="AE44" i="5"/>
  <c r="R112" i="5"/>
  <c r="H54" i="62"/>
  <c r="S200" i="5"/>
  <c r="H50" i="51"/>
  <c r="AK198" i="5"/>
  <c r="BL22" i="5"/>
  <c r="AF349" i="5"/>
  <c r="G32" i="67"/>
  <c r="T200" i="5"/>
  <c r="H41" i="57"/>
  <c r="H22" i="55"/>
  <c r="AQ80" i="5"/>
  <c r="BL67" i="5"/>
  <c r="BL97" i="5"/>
  <c r="BO107" i="5"/>
  <c r="BC184" i="5"/>
  <c r="R132" i="5"/>
  <c r="AO146" i="5"/>
  <c r="U181" i="5"/>
  <c r="AE83" i="5"/>
  <c r="U150" i="5"/>
  <c r="G47" i="70"/>
  <c r="AT229" i="5"/>
  <c r="U131" i="5"/>
  <c r="G59" i="51"/>
  <c r="BI149" i="5"/>
  <c r="G60" i="70"/>
  <c r="T223" i="5"/>
  <c r="E218" i="5"/>
  <c r="BR82" i="5"/>
  <c r="AK211" i="5"/>
  <c r="AE94" i="5"/>
  <c r="G60" i="57"/>
  <c r="AF352" i="5"/>
  <c r="S58" i="5"/>
  <c r="AT164" i="5"/>
  <c r="T133" i="5"/>
  <c r="R33" i="5"/>
  <c r="BR84" i="5"/>
  <c r="T125" i="5"/>
  <c r="AN143" i="5"/>
  <c r="AZ163" i="5"/>
  <c r="AZ79" i="5"/>
  <c r="BO150" i="5"/>
  <c r="AK174" i="5"/>
  <c r="E136" i="5"/>
  <c r="AW96" i="5"/>
  <c r="BO184" i="5"/>
  <c r="G64" i="51"/>
  <c r="BL162" i="5"/>
  <c r="G40" i="7"/>
  <c r="T60" i="5"/>
  <c r="AK260" i="5"/>
  <c r="BI107" i="5"/>
  <c r="BO119" i="5"/>
  <c r="G31" i="64"/>
  <c r="AN34" i="5"/>
  <c r="E130" i="5"/>
  <c r="AW119" i="5"/>
  <c r="BR162" i="5"/>
  <c r="BF62" i="5"/>
  <c r="BO124" i="5"/>
  <c r="AN180" i="5"/>
  <c r="U35" i="5"/>
  <c r="R81" i="5"/>
  <c r="H35" i="67"/>
  <c r="H32" i="66"/>
  <c r="U262" i="5"/>
  <c r="AQ60" i="5"/>
  <c r="BI167" i="5"/>
  <c r="G53" i="7"/>
  <c r="D10" i="3"/>
  <c r="G51" i="57"/>
  <c r="BC176" i="5"/>
  <c r="E57" i="5"/>
  <c r="H20" i="59"/>
  <c r="AW22" i="5"/>
  <c r="G34" i="66"/>
  <c r="AT140" i="5"/>
  <c r="BR218" i="5"/>
  <c r="BO141" i="5"/>
  <c r="G20" i="59"/>
  <c r="AN175" i="5"/>
  <c r="BI34" i="5"/>
  <c r="H62" i="67"/>
  <c r="AL13" i="5"/>
  <c r="AQ70" i="5"/>
  <c r="AZ176" i="5"/>
  <c r="AK38" i="5"/>
  <c r="S177" i="5"/>
  <c r="U61" i="5"/>
  <c r="H28" i="51"/>
  <c r="R74" i="5"/>
  <c r="AO38" i="5"/>
  <c r="BI179" i="5"/>
  <c r="AZ41" i="5"/>
  <c r="AE229" i="5"/>
  <c r="BR32" i="5"/>
  <c r="BO257" i="5"/>
  <c r="G43" i="7"/>
  <c r="T143" i="5"/>
  <c r="BR105" i="5"/>
  <c r="AN236" i="5"/>
  <c r="AK218" i="5"/>
  <c r="AF351" i="5"/>
  <c r="AO97" i="5"/>
  <c r="AT77" i="5"/>
  <c r="S111" i="5"/>
  <c r="AW28" i="5"/>
  <c r="AT148" i="5"/>
  <c r="R141" i="5"/>
  <c r="G53" i="53"/>
  <c r="H47" i="7"/>
  <c r="H48" i="67"/>
  <c r="BC192" i="5"/>
  <c r="G24" i="64"/>
  <c r="G28" i="7"/>
  <c r="G68" i="67"/>
  <c r="AW87" i="5"/>
  <c r="E163" i="5"/>
  <c r="AQ27" i="5"/>
  <c r="AK248" i="5"/>
  <c r="BF86" i="5"/>
  <c r="BR248" i="5"/>
  <c r="BO197" i="5"/>
  <c r="H57" i="62"/>
  <c r="AT195" i="5"/>
  <c r="G55" i="66"/>
  <c r="BO167" i="5"/>
  <c r="AW252" i="5"/>
  <c r="AO113" i="5"/>
  <c r="T72" i="5"/>
  <c r="AT118" i="5"/>
  <c r="BC64" i="5"/>
  <c r="AO89" i="5"/>
  <c r="AE87" i="5"/>
  <c r="AF338" i="5"/>
  <c r="AW232" i="5"/>
  <c r="R258" i="5"/>
  <c r="AN125" i="5"/>
  <c r="BR187" i="5"/>
  <c r="BF176" i="5"/>
  <c r="AK258" i="5"/>
  <c r="H40" i="62"/>
  <c r="R229" i="5"/>
  <c r="AN256" i="5"/>
  <c r="AQ228" i="5"/>
  <c r="G54" i="70"/>
  <c r="BL179" i="5"/>
  <c r="BC202" i="5"/>
  <c r="H57" i="7"/>
  <c r="AQ227" i="5"/>
  <c r="AO74" i="5"/>
  <c r="BI146" i="5"/>
  <c r="H54" i="64"/>
  <c r="AT78" i="5"/>
  <c r="BS11" i="5"/>
  <c r="BO145" i="5"/>
  <c r="U179" i="5"/>
  <c r="H60" i="59"/>
  <c r="S148" i="5"/>
  <c r="BC71" i="5"/>
  <c r="BF61" i="5"/>
  <c r="E79" i="5"/>
  <c r="BF119" i="5"/>
  <c r="G51" i="51"/>
  <c r="AQ145" i="5"/>
  <c r="BL155" i="5"/>
  <c r="R167" i="5"/>
  <c r="AO160" i="5"/>
  <c r="AE305" i="5"/>
  <c r="G25" i="70"/>
  <c r="AO62" i="5"/>
  <c r="G58" i="66"/>
  <c r="G37" i="62"/>
  <c r="BF191" i="5"/>
  <c r="R102" i="5"/>
  <c r="AO195" i="5"/>
  <c r="BR250" i="5"/>
  <c r="AW250" i="5"/>
  <c r="G46" i="53"/>
  <c r="H26" i="67"/>
  <c r="AO51" i="5"/>
  <c r="E127" i="5"/>
  <c r="G16" i="57"/>
  <c r="G59" i="55"/>
  <c r="R210" i="5"/>
  <c r="H28" i="64"/>
  <c r="BO108" i="5"/>
  <c r="S51" i="5"/>
  <c r="G22" i="70"/>
  <c r="BO38" i="5"/>
  <c r="AO257" i="5"/>
  <c r="G61" i="66"/>
  <c r="BF218" i="5"/>
  <c r="R27" i="5"/>
  <c r="E16" i="5"/>
  <c r="AN118" i="5"/>
  <c r="AK199" i="5"/>
  <c r="BI249" i="5"/>
  <c r="H32" i="64"/>
  <c r="BO218" i="5"/>
  <c r="BI139" i="5"/>
  <c r="AQ33" i="5"/>
  <c r="H21" i="55"/>
  <c r="U174" i="5"/>
  <c r="AN170" i="5"/>
  <c r="T118" i="5"/>
  <c r="BF126" i="5"/>
  <c r="BC75" i="5"/>
  <c r="AN73" i="5"/>
  <c r="G26" i="64"/>
  <c r="S126" i="5"/>
  <c r="BC198" i="5"/>
  <c r="BR35" i="5"/>
  <c r="U96" i="5"/>
  <c r="BL255" i="5"/>
  <c r="H19" i="67"/>
  <c r="BO185" i="5"/>
  <c r="AQ66" i="5"/>
  <c r="AN156" i="5"/>
  <c r="AZ94" i="5"/>
  <c r="BR195" i="5"/>
  <c r="W249" i="5"/>
  <c r="BI87" i="5"/>
  <c r="BO101" i="5"/>
  <c r="H34" i="67"/>
  <c r="S34" i="5"/>
  <c r="AF319" i="5"/>
  <c r="S159" i="5"/>
  <c r="AN81" i="5"/>
  <c r="G57" i="53"/>
  <c r="AO120" i="5"/>
  <c r="BC168" i="5"/>
  <c r="G57" i="55"/>
  <c r="AN98" i="5"/>
  <c r="H25" i="67"/>
  <c r="AK106" i="5"/>
  <c r="R170" i="5"/>
  <c r="AW146" i="5"/>
  <c r="H51" i="55"/>
  <c r="G20" i="62"/>
  <c r="E59" i="5"/>
  <c r="AK195" i="5"/>
  <c r="AW84" i="5"/>
  <c r="U185" i="5"/>
  <c r="G28" i="53"/>
  <c r="E45" i="5"/>
  <c r="BR41" i="5"/>
  <c r="BC118" i="5"/>
  <c r="AO91" i="5"/>
  <c r="E101" i="5"/>
  <c r="G41" i="59"/>
  <c r="BF48" i="5"/>
  <c r="AN155" i="5"/>
  <c r="AZ48" i="5"/>
  <c r="BL247" i="5"/>
  <c r="E181" i="5"/>
  <c r="U140" i="5"/>
  <c r="H36" i="7"/>
  <c r="E149" i="5"/>
  <c r="AQ212" i="5"/>
  <c r="BO60" i="5"/>
  <c r="G43" i="64"/>
  <c r="AQ127" i="5"/>
  <c r="BC68" i="5"/>
  <c r="AE244" i="5"/>
  <c r="AQ163" i="5"/>
  <c r="AN206" i="5"/>
  <c r="R215" i="5"/>
  <c r="BO175" i="5"/>
  <c r="AW210" i="5"/>
  <c r="AE177" i="5"/>
  <c r="G19" i="51"/>
  <c r="S229" i="5"/>
  <c r="AQ141" i="5"/>
  <c r="AK96" i="5"/>
  <c r="BC61" i="5"/>
  <c r="T262" i="5"/>
  <c r="AO25" i="5"/>
  <c r="H43" i="59"/>
  <c r="H16" i="7"/>
  <c r="AK201" i="5"/>
  <c r="AN102" i="5"/>
  <c r="BF177" i="5"/>
  <c r="G60" i="66"/>
  <c r="R179" i="5"/>
  <c r="AE346" i="5"/>
  <c r="S180" i="5"/>
  <c r="H61" i="66"/>
  <c r="AE161" i="5"/>
  <c r="BO259" i="5"/>
  <c r="G20" i="53"/>
  <c r="BL250" i="5"/>
  <c r="R126" i="5"/>
  <c r="G23" i="66"/>
  <c r="AT30" i="5"/>
  <c r="AK59" i="5"/>
  <c r="AE301" i="5"/>
  <c r="AW234" i="5"/>
  <c r="AO227" i="5"/>
  <c r="BC78" i="5"/>
  <c r="AE217" i="5"/>
  <c r="BL141" i="5"/>
  <c r="E46" i="5"/>
  <c r="H60" i="62"/>
  <c r="G16" i="66"/>
  <c r="BF83" i="5"/>
  <c r="AN38" i="5"/>
  <c r="BO211" i="5"/>
  <c r="BJ12" i="5"/>
  <c r="AH339" i="5"/>
  <c r="G34" i="51"/>
  <c r="BO75" i="5"/>
  <c r="U127" i="5"/>
  <c r="BI250" i="5"/>
  <c r="AN36" i="5"/>
  <c r="T123" i="5"/>
  <c r="AZ170" i="5"/>
  <c r="R199" i="5"/>
  <c r="BC145" i="5"/>
  <c r="AZ215" i="5"/>
  <c r="R32" i="5"/>
  <c r="U224" i="5"/>
  <c r="AE110" i="5"/>
  <c r="BL191" i="5"/>
  <c r="G19" i="70"/>
  <c r="BR178" i="5"/>
  <c r="R86" i="5"/>
  <c r="AW134" i="5"/>
  <c r="H43" i="55"/>
  <c r="U236" i="5"/>
  <c r="AW65" i="5"/>
  <c r="H34" i="59"/>
  <c r="AQ156" i="5"/>
  <c r="BL198" i="5"/>
  <c r="G26" i="59"/>
  <c r="BF199" i="5"/>
  <c r="AK43" i="5"/>
  <c r="H28" i="57"/>
  <c r="AO182" i="5"/>
  <c r="AN40" i="5"/>
  <c r="G16" i="7"/>
  <c r="E239" i="5"/>
  <c r="BF215" i="5"/>
  <c r="H31" i="7"/>
  <c r="AW138" i="5"/>
  <c r="AZ230" i="5"/>
  <c r="D11" i="3"/>
  <c r="AE109" i="5"/>
  <c r="AK87" i="5"/>
  <c r="BL159" i="5"/>
  <c r="G52" i="62"/>
  <c r="AW244" i="5"/>
  <c r="AE218" i="5"/>
  <c r="R134" i="5"/>
  <c r="BR184" i="5"/>
  <c r="AZ178" i="5"/>
  <c r="BO249" i="5"/>
  <c r="G49" i="62"/>
  <c r="BR142" i="5"/>
  <c r="W45" i="5"/>
  <c r="BO199" i="5"/>
  <c r="AW47" i="5"/>
  <c r="G34" i="62"/>
  <c r="AN55" i="5"/>
  <c r="AO24" i="5"/>
  <c r="BF35" i="5"/>
  <c r="R158" i="5"/>
  <c r="H34" i="53"/>
  <c r="BO123" i="5"/>
  <c r="S140" i="5"/>
  <c r="AE26" i="5"/>
  <c r="AW69" i="5"/>
  <c r="AE137" i="5"/>
  <c r="AN201" i="5"/>
  <c r="H57" i="59"/>
  <c r="U172" i="5"/>
  <c r="BC45" i="5"/>
  <c r="BR147" i="5"/>
  <c r="BR89" i="5"/>
  <c r="S102" i="5"/>
  <c r="AE193" i="5"/>
  <c r="BL137" i="5"/>
  <c r="BR44" i="5"/>
  <c r="BL249" i="5"/>
  <c r="AZ101" i="5"/>
  <c r="H42" i="67"/>
  <c r="BL51" i="5"/>
  <c r="AZ69" i="5"/>
  <c r="E178" i="5"/>
  <c r="AX13" i="5"/>
  <c r="AO55" i="5"/>
  <c r="AE46" i="5"/>
  <c r="AE148" i="5"/>
  <c r="BL85" i="5"/>
  <c r="AK119" i="5"/>
  <c r="AO244" i="5"/>
  <c r="R136" i="5"/>
  <c r="AW147" i="5"/>
  <c r="AT72" i="5"/>
  <c r="AE212" i="5"/>
  <c r="H28" i="59"/>
  <c r="AK112" i="5"/>
  <c r="AQ106" i="5"/>
  <c r="H19" i="55"/>
  <c r="AO141" i="5"/>
  <c r="BO272" i="5"/>
  <c r="T40" i="5"/>
  <c r="AE67" i="5"/>
  <c r="AQ209" i="5"/>
  <c r="BI42" i="5"/>
  <c r="H25" i="66"/>
  <c r="S28" i="5"/>
  <c r="S203" i="5"/>
  <c r="H60" i="64"/>
  <c r="AT137" i="5"/>
  <c r="BL49" i="5"/>
  <c r="AK210" i="5"/>
  <c r="AQ55" i="5"/>
  <c r="AK76" i="5"/>
  <c r="H42" i="53"/>
  <c r="BR66" i="5"/>
  <c r="BF165" i="5"/>
  <c r="AE189" i="5"/>
  <c r="AK60" i="5"/>
  <c r="U112" i="5"/>
  <c r="G46" i="57"/>
  <c r="BR95" i="5"/>
  <c r="G50" i="7"/>
  <c r="BF246" i="5"/>
  <c r="AN67" i="5"/>
  <c r="AT149" i="5"/>
  <c r="BR211" i="5"/>
  <c r="T96" i="5"/>
  <c r="U192" i="5"/>
  <c r="E132" i="5"/>
  <c r="G43" i="62"/>
  <c r="G31" i="59"/>
  <c r="R187" i="5"/>
  <c r="AE196" i="5"/>
  <c r="AZ80" i="5"/>
  <c r="AH302" i="5"/>
  <c r="R123" i="5"/>
  <c r="AW99" i="5"/>
  <c r="H58" i="62"/>
  <c r="H57" i="57"/>
  <c r="AT26" i="5"/>
  <c r="G19" i="66"/>
  <c r="H60" i="53"/>
  <c r="BL32" i="5"/>
  <c r="T221" i="5"/>
  <c r="AQ254" i="5"/>
  <c r="S105" i="5"/>
  <c r="AK153" i="5"/>
  <c r="G61" i="51"/>
  <c r="U250" i="5"/>
  <c r="BR200" i="5"/>
  <c r="AZ218" i="5"/>
  <c r="AZ108" i="5"/>
  <c r="E48" i="5"/>
  <c r="BA13" i="5"/>
  <c r="E13" i="5"/>
  <c r="G54" i="51"/>
  <c r="AK97" i="5"/>
  <c r="U258" i="5"/>
  <c r="G52" i="51"/>
  <c r="BI97" i="5"/>
  <c r="AQ99" i="5"/>
  <c r="BF198" i="5"/>
  <c r="E24" i="5"/>
  <c r="AF296" i="5"/>
  <c r="E12" i="5"/>
  <c r="AN179" i="5"/>
  <c r="R163" i="5"/>
  <c r="AN249" i="5"/>
  <c r="AQ162" i="5"/>
  <c r="T150" i="5"/>
  <c r="AZ55" i="5"/>
  <c r="H43" i="53"/>
  <c r="AO135" i="5"/>
  <c r="BO105" i="5"/>
  <c r="BO139" i="5"/>
  <c r="T126" i="5"/>
  <c r="E263" i="5"/>
  <c r="E206" i="5"/>
  <c r="AW83" i="5"/>
  <c r="H24" i="62"/>
  <c r="BF117" i="5"/>
  <c r="AO249" i="5"/>
  <c r="H26" i="64"/>
  <c r="AN128" i="5"/>
  <c r="AO256" i="5"/>
  <c r="BF179" i="5"/>
  <c r="BL182" i="5"/>
  <c r="G23" i="67"/>
  <c r="S161" i="5"/>
  <c r="AO248" i="5"/>
  <c r="H31" i="66"/>
  <c r="U57" i="5"/>
  <c r="AQ73" i="5"/>
  <c r="BC238" i="5"/>
  <c r="U100" i="5"/>
  <c r="BI202" i="5"/>
  <c r="G62" i="66"/>
  <c r="BR171" i="5"/>
  <c r="AZ240" i="5"/>
  <c r="AW215" i="5"/>
  <c r="AW136" i="5"/>
  <c r="BR202" i="5"/>
  <c r="AZ57" i="5"/>
  <c r="G37" i="70"/>
  <c r="S173" i="5"/>
  <c r="AZ228" i="5"/>
  <c r="AK102" i="5"/>
  <c r="BF97" i="5"/>
  <c r="AO46" i="5"/>
  <c r="BA12" i="5"/>
  <c r="AK203" i="5"/>
  <c r="BL174" i="5"/>
  <c r="AW73" i="5"/>
  <c r="S94" i="5"/>
  <c r="AW40" i="5"/>
  <c r="BI177" i="5"/>
  <c r="AO75" i="5"/>
  <c r="BF100" i="5"/>
  <c r="H28" i="70"/>
  <c r="H26" i="66"/>
  <c r="AE34" i="5"/>
  <c r="BO83" i="5"/>
  <c r="BR203" i="5"/>
  <c r="BS13" i="5"/>
  <c r="AN49" i="5"/>
  <c r="AO136" i="5"/>
  <c r="AK91" i="5"/>
  <c r="T227" i="5"/>
  <c r="AQ150" i="5"/>
  <c r="H22" i="51"/>
  <c r="G59" i="62"/>
  <c r="U205" i="5"/>
  <c r="BR227" i="5"/>
  <c r="H27" i="67"/>
  <c r="BF79" i="5"/>
  <c r="AH337" i="5"/>
  <c r="G35" i="70"/>
  <c r="BI216" i="5"/>
  <c r="BI84" i="5"/>
  <c r="BO258" i="5"/>
  <c r="U28" i="5"/>
  <c r="AE208" i="5"/>
  <c r="AQ68" i="5"/>
  <c r="AT70" i="5"/>
  <c r="AT61" i="5"/>
  <c r="AE138" i="5"/>
  <c r="S184" i="5"/>
  <c r="AE234" i="5"/>
  <c r="U84" i="5"/>
  <c r="BC203" i="5"/>
  <c r="AN208" i="5"/>
  <c r="AK140" i="5"/>
  <c r="BC127" i="5"/>
  <c r="BF149" i="5"/>
  <c r="BC122" i="5"/>
  <c r="S71" i="5"/>
  <c r="AR12" i="5"/>
  <c r="G57" i="51"/>
  <c r="AT128" i="5"/>
  <c r="BC199" i="5"/>
  <c r="AE125" i="5"/>
  <c r="AN138" i="5"/>
  <c r="T225" i="5"/>
  <c r="AE134" i="5"/>
  <c r="H38" i="66"/>
  <c r="BI118" i="5"/>
  <c r="G25" i="62"/>
  <c r="AN147" i="5"/>
  <c r="H67" i="55"/>
  <c r="AQ79" i="5"/>
  <c r="H37" i="7"/>
  <c r="BO136" i="5"/>
  <c r="G21" i="59"/>
  <c r="AK128" i="5"/>
  <c r="G40" i="59"/>
  <c r="G31" i="57"/>
  <c r="BL248" i="5"/>
  <c r="H55" i="66"/>
  <c r="AO159" i="5"/>
  <c r="AO234" i="5"/>
  <c r="H19" i="57"/>
  <c r="BL178" i="5"/>
  <c r="AK139" i="5"/>
  <c r="AE345" i="5"/>
  <c r="AE185" i="5"/>
  <c r="BF193" i="5"/>
  <c r="H50" i="70"/>
  <c r="AW27" i="5"/>
  <c r="BC214" i="5"/>
  <c r="T158" i="5"/>
  <c r="S72" i="5"/>
  <c r="G22" i="59"/>
  <c r="BI132" i="5"/>
  <c r="H32" i="59"/>
  <c r="BO112" i="5"/>
  <c r="U65" i="5"/>
  <c r="AO61" i="5"/>
  <c r="G22" i="57"/>
  <c r="AW162" i="5"/>
  <c r="H67" i="51"/>
  <c r="AK110" i="5"/>
  <c r="BL202" i="5"/>
  <c r="G21" i="51"/>
  <c r="T148" i="5"/>
  <c r="BR28" i="5"/>
  <c r="U106" i="5"/>
  <c r="AE268" i="5"/>
  <c r="BF148" i="5"/>
  <c r="AT177" i="5"/>
  <c r="T73" i="5"/>
  <c r="E125" i="5"/>
  <c r="E43" i="5"/>
  <c r="H61" i="57"/>
  <c r="G61" i="59"/>
  <c r="AO214" i="5"/>
  <c r="AE120" i="5"/>
  <c r="AE96" i="5"/>
  <c r="H27" i="53"/>
  <c r="BI43" i="5"/>
  <c r="BA11" i="5"/>
  <c r="AE167" i="5"/>
  <c r="AE132" i="5"/>
  <c r="T76" i="5"/>
  <c r="AO119" i="5"/>
  <c r="BF72" i="5"/>
  <c r="BO65" i="5"/>
  <c r="AW246" i="5"/>
  <c r="AE187" i="5"/>
  <c r="BF76" i="5"/>
  <c r="BR70" i="5"/>
  <c r="AT121" i="5"/>
  <c r="AK149" i="5"/>
  <c r="U223" i="5"/>
  <c r="AT82" i="5"/>
  <c r="AE33" i="5"/>
  <c r="H56" i="7"/>
  <c r="AT202" i="5"/>
  <c r="H16" i="57"/>
  <c r="AJ14" i="5"/>
  <c r="BO261" i="5"/>
  <c r="AQ232" i="5"/>
  <c r="AK227" i="5"/>
  <c r="AZ197" i="5"/>
  <c r="G49" i="55"/>
  <c r="U69" i="5"/>
  <c r="AE106" i="5"/>
  <c r="BR217" i="5"/>
  <c r="E146" i="5"/>
  <c r="E98" i="5"/>
  <c r="BS14" i="5"/>
  <c r="AX14" i="5"/>
  <c r="AQ132" i="5"/>
  <c r="D29" i="7"/>
  <c r="T43" i="5"/>
  <c r="AN177" i="5"/>
  <c r="BL232" i="5"/>
  <c r="AO43" i="5"/>
  <c r="AQ197" i="5"/>
  <c r="BF44" i="5"/>
  <c r="BL53" i="5"/>
  <c r="AT186" i="5"/>
  <c r="AT160" i="5"/>
  <c r="AN97" i="5"/>
  <c r="AT258" i="5"/>
  <c r="AT28" i="5"/>
  <c r="E261" i="5"/>
  <c r="AW49" i="5"/>
  <c r="H54" i="59"/>
  <c r="BF58" i="5"/>
  <c r="T35" i="5"/>
  <c r="W246" i="5"/>
  <c r="S169" i="5"/>
  <c r="BR48" i="5"/>
  <c r="R63" i="5"/>
  <c r="BF208" i="5"/>
  <c r="BR88" i="5"/>
  <c r="E232" i="5"/>
  <c r="BC60" i="5"/>
  <c r="H32" i="67"/>
  <c r="AE248" i="5"/>
  <c r="AO35" i="5"/>
  <c r="BR209" i="5"/>
  <c r="BF75" i="5"/>
  <c r="BL95" i="5"/>
  <c r="AT112" i="5"/>
  <c r="AE119" i="5"/>
  <c r="BC59" i="5"/>
  <c r="E169" i="5"/>
  <c r="G24" i="59"/>
  <c r="AQ166" i="5"/>
  <c r="U270" i="5"/>
  <c r="BC250" i="5"/>
  <c r="U239" i="5"/>
  <c r="G40" i="64"/>
  <c r="U240" i="5"/>
  <c r="AW45" i="5"/>
  <c r="BO227" i="5"/>
  <c r="AQ133" i="5"/>
  <c r="G27" i="7"/>
  <c r="AN151" i="5"/>
  <c r="BL96" i="5"/>
  <c r="BO208" i="5"/>
  <c r="AN210" i="5"/>
  <c r="AZ217" i="5"/>
  <c r="AW240" i="5"/>
  <c r="AT234" i="5"/>
  <c r="AW208" i="5"/>
  <c r="BI218" i="5"/>
  <c r="AE105" i="5"/>
  <c r="D60" i="7"/>
  <c r="AZ105" i="5"/>
  <c r="BO169" i="5"/>
  <c r="AK25" i="5"/>
  <c r="BL60" i="5"/>
  <c r="BI261" i="5"/>
  <c r="AE51" i="5"/>
  <c r="BP13" i="5"/>
  <c r="AT67" i="5"/>
  <c r="BF59" i="5"/>
  <c r="R42" i="5"/>
  <c r="AK182" i="5"/>
  <c r="AK77" i="5"/>
  <c r="S217" i="5"/>
  <c r="AW25" i="5"/>
  <c r="G54" i="62"/>
  <c r="AO76" i="5"/>
  <c r="H36" i="57"/>
  <c r="BC218" i="5"/>
  <c r="AZ124" i="5"/>
  <c r="AF300" i="5"/>
  <c r="U70" i="5"/>
  <c r="AK99" i="5"/>
  <c r="E265" i="5"/>
  <c r="AK72" i="5"/>
  <c r="T165" i="5"/>
  <c r="AN137" i="5"/>
  <c r="AO143" i="5"/>
  <c r="AZ49" i="5"/>
  <c r="BF89" i="5"/>
  <c r="AQ170" i="5"/>
  <c r="AK180" i="5"/>
  <c r="AE317" i="5"/>
  <c r="AT215" i="5"/>
  <c r="AE169" i="5"/>
  <c r="G49" i="57"/>
  <c r="BR181" i="5"/>
  <c r="H61" i="67"/>
  <c r="BF217" i="5"/>
  <c r="R80" i="5"/>
  <c r="G32" i="64"/>
  <c r="AK234" i="5"/>
  <c r="S150" i="5"/>
  <c r="AE73" i="5"/>
  <c r="G37" i="51"/>
  <c r="U82" i="5"/>
  <c r="AN89" i="5"/>
  <c r="BO163" i="5"/>
  <c r="BO85" i="5"/>
  <c r="AT228" i="5"/>
  <c r="AN193" i="5"/>
  <c r="BL240" i="5"/>
  <c r="AQ153" i="5"/>
  <c r="T174" i="5"/>
  <c r="AW196" i="5"/>
  <c r="BO44" i="5"/>
  <c r="AZ145" i="5"/>
  <c r="AT212" i="5"/>
  <c r="H19" i="51"/>
  <c r="AW68" i="5"/>
  <c r="AQ155" i="5"/>
  <c r="AK84" i="5"/>
  <c r="R177" i="5"/>
  <c r="AQ46" i="5"/>
  <c r="R121" i="5"/>
  <c r="BR86" i="5"/>
  <c r="BC76" i="5"/>
  <c r="R227" i="5"/>
  <c r="U167" i="5"/>
  <c r="BC89" i="5"/>
  <c r="AT102" i="5"/>
  <c r="AZ227" i="5"/>
  <c r="AT103" i="5"/>
  <c r="G31" i="62"/>
  <c r="BL144" i="5"/>
  <c r="AN158" i="5"/>
  <c r="BO171" i="5"/>
  <c r="G51" i="62"/>
  <c r="S81" i="5"/>
  <c r="BR256" i="5"/>
  <c r="G61" i="64"/>
  <c r="AO70" i="5"/>
  <c r="AT134" i="5"/>
  <c r="E186" i="5"/>
  <c r="AQ218" i="5"/>
  <c r="BL186" i="5"/>
  <c r="E97" i="5"/>
  <c r="AW100" i="5"/>
  <c r="U27" i="5"/>
  <c r="G41" i="7"/>
  <c r="U221" i="5"/>
  <c r="AN189" i="5"/>
  <c r="AN185" i="5"/>
  <c r="BO88" i="5"/>
  <c r="T237" i="5"/>
  <c r="H54" i="51"/>
  <c r="T85" i="5"/>
  <c r="H41" i="62"/>
  <c r="E107" i="5"/>
  <c r="AZ46" i="5"/>
  <c r="U59" i="5"/>
  <c r="BL25" i="5"/>
  <c r="BI71" i="5"/>
  <c r="AO169" i="5"/>
  <c r="AW95" i="5"/>
  <c r="AO201" i="5"/>
  <c r="AN109" i="5"/>
  <c r="H35" i="7"/>
  <c r="AK212" i="5"/>
  <c r="BL175" i="5"/>
  <c r="H57" i="64"/>
  <c r="H21" i="59"/>
  <c r="AO137" i="5"/>
  <c r="BO255" i="5"/>
  <c r="BR168" i="5"/>
  <c r="AW82" i="5"/>
  <c r="BL83" i="5"/>
  <c r="BC126" i="5"/>
  <c r="BR77" i="5"/>
  <c r="BF104" i="5"/>
  <c r="BR239" i="5"/>
  <c r="T251" i="5"/>
  <c r="BO203" i="5"/>
  <c r="G58" i="51"/>
  <c r="G37" i="64"/>
  <c r="G23" i="7"/>
  <c r="BI169" i="5"/>
  <c r="BI73" i="5"/>
  <c r="BF82" i="5"/>
  <c r="AW217" i="5"/>
  <c r="BL185" i="5"/>
  <c r="BL46" i="5"/>
  <c r="AQ102" i="5"/>
  <c r="AW189" i="5"/>
  <c r="BC164" i="5"/>
  <c r="AT159" i="5"/>
  <c r="AE308" i="5"/>
  <c r="H20" i="57"/>
  <c r="AE326" i="5"/>
  <c r="R254" i="5"/>
  <c r="R165" i="5"/>
  <c r="BI256" i="5"/>
  <c r="AZ202" i="5"/>
  <c r="AQ258" i="5"/>
  <c r="AQ244" i="5"/>
  <c r="AH308" i="5"/>
  <c r="H24" i="7"/>
  <c r="BC41" i="5"/>
  <c r="AQ214" i="5"/>
  <c r="BF128" i="5"/>
  <c r="U162" i="5"/>
  <c r="AQ179" i="5"/>
  <c r="U147" i="5"/>
  <c r="AZ146" i="5"/>
  <c r="BC69" i="5"/>
  <c r="AZ148" i="5"/>
  <c r="U255" i="5"/>
  <c r="AN86" i="5"/>
  <c r="AF313" i="5"/>
  <c r="AT184" i="5"/>
  <c r="BR231" i="5"/>
  <c r="BO147" i="5"/>
  <c r="AE199" i="5"/>
  <c r="BC159" i="5"/>
  <c r="G19" i="59"/>
  <c r="BF125" i="5"/>
  <c r="AN35" i="5"/>
  <c r="BC151" i="5"/>
  <c r="BC255" i="5"/>
  <c r="AE98" i="5"/>
  <c r="AQ206" i="5"/>
  <c r="AZ53" i="5"/>
  <c r="H50" i="7"/>
  <c r="H44" i="67"/>
  <c r="BR230" i="5"/>
  <c r="S89" i="5"/>
  <c r="AE126" i="5"/>
  <c r="BC142" i="5"/>
  <c r="U231" i="5"/>
  <c r="G21" i="53"/>
  <c r="BC105" i="5"/>
  <c r="AT252" i="5"/>
  <c r="T34" i="5"/>
  <c r="AN130" i="5"/>
  <c r="BO47" i="5"/>
  <c r="AW38" i="5"/>
  <c r="H50" i="64"/>
  <c r="AW194" i="5"/>
  <c r="T135" i="5"/>
  <c r="BO128" i="5"/>
  <c r="BO63" i="5"/>
  <c r="BC155" i="5"/>
  <c r="E184" i="5"/>
  <c r="S170" i="5"/>
  <c r="AT178" i="5"/>
  <c r="AT135" i="5"/>
  <c r="E142" i="5"/>
  <c r="E173" i="5"/>
  <c r="AE200" i="5"/>
  <c r="BO25" i="5"/>
  <c r="BO155" i="5"/>
  <c r="BI61" i="5"/>
  <c r="BR240" i="5"/>
  <c r="G44" i="67"/>
  <c r="U24" i="5"/>
  <c r="AW79" i="5"/>
  <c r="H52" i="62"/>
  <c r="BR145" i="5"/>
  <c r="U132" i="5"/>
  <c r="R111" i="5"/>
  <c r="H35" i="70"/>
  <c r="BO100" i="5"/>
  <c r="H36" i="55"/>
  <c r="AK187" i="5"/>
  <c r="AO247" i="5"/>
  <c r="BL66" i="5"/>
  <c r="BF170" i="5"/>
  <c r="AQ259" i="5"/>
  <c r="BO77" i="5"/>
  <c r="BF238" i="5"/>
  <c r="H59" i="64"/>
  <c r="H52" i="70"/>
  <c r="T109" i="5"/>
  <c r="AO34" i="5"/>
  <c r="AN247" i="5"/>
  <c r="AQ74" i="5"/>
  <c r="G32" i="53"/>
  <c r="E250" i="5"/>
  <c r="AO134" i="5"/>
  <c r="BC80" i="5"/>
  <c r="AQ255" i="5"/>
  <c r="G42" i="53"/>
  <c r="BF57" i="5"/>
  <c r="BC43" i="5"/>
  <c r="BO46" i="5"/>
  <c r="S181" i="5"/>
  <c r="AQ199" i="5"/>
  <c r="AE176" i="5"/>
  <c r="AE102" i="5"/>
  <c r="G37" i="7"/>
  <c r="AE118" i="5"/>
  <c r="H57" i="55"/>
  <c r="AF317" i="5"/>
  <c r="BL125" i="5"/>
  <c r="BR64" i="5"/>
  <c r="AW135" i="5"/>
  <c r="AO77" i="5"/>
  <c r="AQ231" i="5"/>
  <c r="BI161" i="5"/>
  <c r="U143" i="5"/>
  <c r="AQ50" i="5"/>
  <c r="BL100" i="5"/>
  <c r="R156" i="5"/>
  <c r="G28" i="55"/>
  <c r="T249" i="5"/>
  <c r="G43" i="53"/>
  <c r="AZ169" i="5"/>
  <c r="H44" i="66"/>
  <c r="H53" i="64"/>
  <c r="BL158" i="5"/>
  <c r="AT63" i="5"/>
  <c r="BO67" i="5"/>
  <c r="BR72" i="5"/>
  <c r="AQ24" i="5"/>
  <c r="E30" i="5"/>
  <c r="H60" i="55"/>
  <c r="AF290" i="5"/>
  <c r="E162" i="5"/>
  <c r="AT40" i="5"/>
  <c r="AZ47" i="5"/>
  <c r="G51" i="64"/>
  <c r="AO187" i="5"/>
  <c r="BG11" i="5"/>
  <c r="BI89" i="5"/>
  <c r="AK150" i="5"/>
  <c r="AO263" i="5"/>
  <c r="S258" i="5"/>
  <c r="AE57" i="5"/>
  <c r="AE78" i="5"/>
  <c r="BC81" i="5"/>
  <c r="BF138" i="5"/>
  <c r="T141" i="5"/>
  <c r="S196" i="5"/>
  <c r="H21" i="64"/>
  <c r="BC35" i="5"/>
  <c r="BF255" i="5"/>
  <c r="AZ44" i="5"/>
  <c r="BJ14" i="5"/>
  <c r="BF63" i="5"/>
  <c r="AK100" i="5"/>
  <c r="E104" i="5"/>
  <c r="G49" i="67"/>
  <c r="BF95" i="5"/>
  <c r="BC217" i="5"/>
  <c r="T173" i="5"/>
  <c r="BI75" i="5"/>
  <c r="AO32" i="5"/>
  <c r="AQ159" i="5"/>
  <c r="BC179" i="5"/>
  <c r="BC257" i="5"/>
  <c r="E176" i="5"/>
  <c r="AW161" i="5"/>
  <c r="R51" i="5"/>
  <c r="BO158" i="5"/>
  <c r="AO36" i="5"/>
  <c r="BF258" i="5"/>
  <c r="AW248" i="5"/>
  <c r="AQ125" i="5"/>
  <c r="R26" i="5"/>
  <c r="R216" i="5"/>
  <c r="AQ121" i="5"/>
  <c r="BR194" i="5"/>
  <c r="BG13" i="5"/>
  <c r="AN142" i="5"/>
  <c r="H52" i="53"/>
  <c r="AN24" i="5"/>
  <c r="BL78" i="5"/>
  <c r="AK194" i="5"/>
  <c r="E108" i="5"/>
  <c r="BI65" i="5"/>
  <c r="AO220" i="5"/>
  <c r="R72" i="5"/>
  <c r="BI109" i="5"/>
  <c r="AO123" i="5"/>
  <c r="BI79" i="5"/>
  <c r="G58" i="7"/>
  <c r="BR125" i="5"/>
  <c r="AZ174" i="5"/>
  <c r="S76" i="5"/>
  <c r="AW191" i="5"/>
  <c r="AO50" i="5"/>
  <c r="AO238" i="5"/>
  <c r="E144" i="5"/>
  <c r="BF214" i="5"/>
  <c r="BI182" i="5"/>
  <c r="BC95" i="5"/>
  <c r="AW239" i="5"/>
  <c r="R195" i="5"/>
  <c r="E50" i="5"/>
  <c r="W260" i="5"/>
  <c r="BO248" i="5"/>
  <c r="R128" i="5"/>
  <c r="R88" i="5"/>
  <c r="AQ26" i="5"/>
  <c r="U238" i="5"/>
  <c r="AH319" i="5"/>
  <c r="BL177" i="5"/>
  <c r="E155" i="5"/>
  <c r="S67" i="5"/>
  <c r="AZ229" i="5"/>
  <c r="E228" i="5"/>
  <c r="BI134" i="5"/>
  <c r="R43" i="5"/>
  <c r="AR13" i="5"/>
  <c r="AE43" i="5"/>
  <c r="AZ119" i="5"/>
  <c r="AK67" i="5"/>
  <c r="AO168" i="5"/>
  <c r="AW185" i="5"/>
  <c r="AT91" i="5"/>
  <c r="BO34" i="5"/>
  <c r="AE172" i="5"/>
  <c r="AH323" i="5"/>
  <c r="AO84" i="5"/>
  <c r="T264" i="5"/>
  <c r="T157" i="5"/>
  <c r="AK155" i="5"/>
  <c r="G67" i="51"/>
  <c r="BF240" i="5"/>
  <c r="T190" i="5"/>
  <c r="H22" i="59"/>
  <c r="S80" i="5"/>
  <c r="G35" i="55"/>
  <c r="BO135" i="5"/>
  <c r="BO80" i="5"/>
  <c r="BF210" i="5"/>
  <c r="E193" i="5"/>
  <c r="AQ109" i="5"/>
  <c r="AF294" i="5"/>
  <c r="H47" i="55"/>
  <c r="BL148" i="5"/>
  <c r="BR139" i="5"/>
  <c r="H27" i="64"/>
  <c r="AO179" i="5"/>
  <c r="AK162" i="5"/>
  <c r="G23" i="53"/>
  <c r="G36" i="59"/>
  <c r="AQ157" i="5"/>
  <c r="BC108" i="5"/>
  <c r="H52" i="66"/>
  <c r="AE249" i="5"/>
  <c r="BC191" i="5"/>
  <c r="BI67" i="5"/>
  <c r="S142" i="5"/>
  <c r="H61" i="51"/>
  <c r="H16" i="66"/>
  <c r="BR140" i="5"/>
  <c r="G43" i="66"/>
  <c r="H61" i="53"/>
  <c r="AN259" i="5"/>
  <c r="AQ208" i="5"/>
  <c r="U182" i="5"/>
  <c r="AN47" i="5"/>
  <c r="E72" i="5"/>
  <c r="H50" i="62"/>
  <c r="AT230" i="5"/>
  <c r="H59" i="67"/>
  <c r="R44" i="5"/>
  <c r="H41" i="7"/>
  <c r="BC22" i="5"/>
  <c r="AT80" i="5"/>
  <c r="H31" i="67"/>
  <c r="AW81" i="5"/>
  <c r="AE256" i="5"/>
  <c r="AZ89" i="5"/>
  <c r="BL143" i="5"/>
  <c r="AW187" i="5"/>
  <c r="AW91" i="5"/>
  <c r="BL123" i="5"/>
  <c r="H53" i="7"/>
  <c r="BC227" i="5"/>
  <c r="T28" i="5"/>
  <c r="AK66" i="5"/>
  <c r="H35" i="62"/>
  <c r="S145" i="5"/>
  <c r="H32" i="70"/>
  <c r="G47" i="67"/>
  <c r="AW34" i="5"/>
  <c r="U201" i="5"/>
  <c r="AO192" i="5"/>
  <c r="G53" i="64"/>
  <c r="AT122" i="5"/>
  <c r="AE107" i="5"/>
  <c r="AH314" i="5"/>
  <c r="S104" i="5"/>
  <c r="BC67" i="5"/>
  <c r="H54" i="66"/>
  <c r="BM11" i="5"/>
  <c r="AE103" i="5"/>
  <c r="R79" i="5"/>
  <c r="U118" i="5"/>
  <c r="AU13" i="5"/>
  <c r="BI192" i="5"/>
  <c r="S249" i="5"/>
  <c r="AZ194" i="5"/>
  <c r="R117" i="5"/>
  <c r="BL239" i="5"/>
  <c r="R211" i="5"/>
  <c r="BL254" i="5"/>
  <c r="BC133" i="5"/>
  <c r="AE222" i="5"/>
  <c r="BR108" i="5"/>
  <c r="AE184" i="5"/>
  <c r="AO185" i="5"/>
  <c r="BC84" i="5"/>
  <c r="H61" i="55"/>
  <c r="G55" i="67"/>
  <c r="AO194" i="5"/>
  <c r="S60" i="5"/>
  <c r="AN260" i="5"/>
  <c r="T48" i="5"/>
  <c r="U40" i="5"/>
  <c r="BR34" i="5"/>
  <c r="BC42" i="5"/>
  <c r="AE300" i="5"/>
  <c r="AO173" i="5"/>
  <c r="AQ217" i="5"/>
  <c r="U225" i="5"/>
  <c r="AN148" i="5"/>
  <c r="AT119" i="5"/>
  <c r="T270" i="5"/>
  <c r="AO167" i="5"/>
  <c r="S227" i="5"/>
  <c r="U137" i="5"/>
  <c r="H61" i="62"/>
  <c r="AZ85" i="5"/>
  <c r="BR185" i="5"/>
  <c r="H46" i="62"/>
  <c r="AK51" i="5"/>
  <c r="E94" i="5"/>
  <c r="G47" i="64"/>
  <c r="AZ159" i="5"/>
  <c r="BL76" i="5"/>
  <c r="AZ76" i="5"/>
  <c r="BC249" i="5"/>
  <c r="E62" i="5"/>
  <c r="BC128" i="5"/>
  <c r="BL79" i="5"/>
  <c r="G40" i="53"/>
  <c r="H34" i="7"/>
  <c r="AE156" i="5"/>
  <c r="AW106" i="5"/>
  <c r="AZ257" i="5"/>
  <c r="AO83" i="5"/>
  <c r="AW50" i="5"/>
  <c r="U85" i="5"/>
  <c r="U158" i="5"/>
  <c r="T205" i="5"/>
  <c r="T65" i="5"/>
  <c r="BI68" i="5"/>
  <c r="BC106" i="5"/>
  <c r="BR120" i="5"/>
  <c r="H23" i="53"/>
  <c r="E150" i="5"/>
  <c r="BL195" i="5"/>
  <c r="BL61" i="5"/>
  <c r="BL126" i="5"/>
  <c r="BC232" i="5"/>
  <c r="BR141" i="5"/>
  <c r="AE293" i="5"/>
  <c r="AW254" i="5"/>
  <c r="H20" i="7"/>
  <c r="AW89" i="5"/>
  <c r="AK254" i="5"/>
  <c r="BI59" i="5"/>
  <c r="BI64" i="5"/>
  <c r="H46" i="59"/>
  <c r="AZ165" i="5"/>
  <c r="U123" i="5"/>
  <c r="AT197" i="5"/>
  <c r="AK159" i="5"/>
  <c r="BI74" i="5"/>
  <c r="AQ180" i="5"/>
  <c r="BR175" i="5"/>
  <c r="AQ69" i="5"/>
  <c r="AQ126" i="5"/>
  <c r="W231" i="5"/>
  <c r="AZ84" i="5"/>
  <c r="G21" i="67"/>
  <c r="AO117" i="5"/>
  <c r="H28" i="62"/>
  <c r="BF164" i="5"/>
  <c r="AW62" i="5"/>
  <c r="BF213" i="5"/>
  <c r="BR99" i="5"/>
  <c r="BO209" i="5"/>
  <c r="AJ11" i="5"/>
  <c r="H32" i="57"/>
  <c r="G38" i="66"/>
  <c r="AW127" i="5"/>
  <c r="BI230" i="5"/>
  <c r="AZ259" i="5"/>
  <c r="H57" i="51"/>
  <c r="E82" i="5"/>
  <c r="G43" i="55"/>
  <c r="G34" i="57"/>
  <c r="AO156" i="5"/>
  <c r="H24" i="67"/>
  <c r="BR229" i="5"/>
  <c r="BO133" i="5"/>
  <c r="AW111" i="5"/>
  <c r="AE75" i="5"/>
  <c r="AW88" i="5"/>
  <c r="H58" i="7"/>
  <c r="T241" i="5"/>
  <c r="U253" i="5"/>
  <c r="R248" i="5"/>
  <c r="R137" i="5"/>
  <c r="R239" i="5"/>
  <c r="AW66" i="5"/>
  <c r="BC79" i="5"/>
  <c r="BR135" i="5"/>
  <c r="BR43" i="5"/>
  <c r="AT85" i="5"/>
  <c r="AH329" i="5"/>
  <c r="G35" i="53"/>
  <c r="AE224" i="5"/>
  <c r="BF120" i="5"/>
  <c r="BI210" i="5"/>
  <c r="AW117" i="5"/>
  <c r="AZ186" i="5"/>
  <c r="AQ104" i="5"/>
  <c r="AR16" i="5"/>
  <c r="R198" i="5"/>
  <c r="AT120" i="5"/>
  <c r="AE324" i="5"/>
  <c r="AO94" i="5"/>
  <c r="BR160" i="5"/>
  <c r="BP14" i="5"/>
  <c r="AN70" i="5"/>
  <c r="T112" i="5"/>
  <c r="T128" i="5"/>
  <c r="G19" i="64"/>
  <c r="AN263" i="5"/>
  <c r="BO125" i="5"/>
  <c r="G52" i="7"/>
  <c r="AT211" i="5"/>
  <c r="BI117" i="5"/>
  <c r="AW98" i="5"/>
  <c r="H20" i="64"/>
  <c r="W238" i="5"/>
  <c r="R113" i="5"/>
  <c r="AW173" i="5"/>
  <c r="AQ43" i="5"/>
  <c r="AE325" i="5"/>
  <c r="BC77" i="5"/>
  <c r="BL112" i="5"/>
  <c r="BC195" i="5"/>
  <c r="S8" i="5"/>
  <c r="H54" i="53"/>
  <c r="BI50" i="5"/>
  <c r="BO138" i="5"/>
  <c r="G37" i="59"/>
  <c r="AO183" i="5"/>
  <c r="AH350" i="5"/>
  <c r="BC254" i="5"/>
  <c r="H60" i="57"/>
  <c r="AZ247" i="5"/>
  <c r="BF123" i="5"/>
  <c r="BL259" i="5"/>
  <c r="AN224" i="5"/>
  <c r="R45" i="5"/>
  <c r="BI240" i="5"/>
  <c r="AZ35" i="5"/>
  <c r="AW192" i="5"/>
  <c r="AT62" i="5"/>
  <c r="AO200" i="5"/>
  <c r="AO171" i="5"/>
  <c r="S136" i="5"/>
  <c r="BI255" i="5"/>
  <c r="BF184" i="5"/>
  <c r="BO58" i="5"/>
  <c r="E258" i="5"/>
  <c r="BI86" i="5"/>
  <c r="BI164" i="5"/>
  <c r="AW44" i="5"/>
  <c r="T258" i="5"/>
  <c r="H51" i="64"/>
  <c r="G23" i="55"/>
  <c r="AN162" i="5"/>
  <c r="H43" i="62"/>
  <c r="G22" i="66"/>
  <c r="E153" i="5"/>
  <c r="G49" i="64"/>
  <c r="AT123" i="5"/>
  <c r="BL208" i="5"/>
  <c r="BO181" i="5"/>
  <c r="R142" i="5"/>
  <c r="AQ103" i="5"/>
  <c r="AO240" i="5"/>
  <c r="T183" i="5"/>
  <c r="BC113" i="5"/>
  <c r="AK161" i="5"/>
  <c r="G60" i="62"/>
  <c r="BC111" i="5"/>
  <c r="U63" i="5"/>
  <c r="H59" i="66"/>
  <c r="U144" i="5"/>
  <c r="G62" i="67"/>
  <c r="H48" i="7"/>
  <c r="BO187" i="5"/>
  <c r="BR216" i="5"/>
  <c r="AT249" i="5"/>
  <c r="AW80" i="5"/>
  <c r="AN115" i="5"/>
  <c r="AQ236" i="5"/>
  <c r="T255" i="5"/>
  <c r="T67" i="5"/>
  <c r="S99" i="5"/>
  <c r="AN220" i="5"/>
  <c r="AE331" i="5"/>
  <c r="BF50" i="5"/>
  <c r="G26" i="7"/>
  <c r="AK55" i="5"/>
  <c r="AW182" i="5"/>
  <c r="AO224" i="5"/>
  <c r="AK85" i="5"/>
  <c r="U114" i="5"/>
  <c r="AE100" i="5"/>
  <c r="BC148" i="5"/>
  <c r="AW26" i="5"/>
  <c r="BF96" i="5"/>
  <c r="BF49" i="5"/>
  <c r="G26" i="53"/>
  <c r="E55" i="5"/>
  <c r="BI200" i="5"/>
  <c r="AE139" i="5"/>
  <c r="T149" i="5"/>
  <c r="E124" i="5"/>
  <c r="G31" i="70"/>
  <c r="AK242" i="5"/>
  <c r="U136" i="5"/>
  <c r="G24" i="67"/>
  <c r="G36" i="62"/>
  <c r="H53" i="53"/>
  <c r="H25" i="57"/>
  <c r="S261" i="5"/>
  <c r="AO122" i="5"/>
  <c r="E175" i="5"/>
  <c r="AO85" i="5"/>
  <c r="AE27" i="5"/>
  <c r="G53" i="51"/>
  <c r="H36" i="70"/>
  <c r="U229" i="5"/>
  <c r="AW72" i="5"/>
  <c r="BC82" i="5"/>
  <c r="AT27" i="5"/>
  <c r="BI151" i="5"/>
  <c r="AT107" i="5"/>
  <c r="H48" i="59"/>
  <c r="S41" i="5"/>
  <c r="AK228" i="5"/>
  <c r="AT199" i="5"/>
  <c r="G64" i="53"/>
  <c r="R186" i="5"/>
  <c r="AF346" i="5"/>
  <c r="BC149" i="5"/>
  <c r="R49" i="5"/>
  <c r="AK68" i="5"/>
  <c r="E180" i="5"/>
  <c r="BF175" i="5"/>
  <c r="E227" i="5"/>
  <c r="BL122" i="5"/>
  <c r="BO68" i="5"/>
  <c r="S47" i="5"/>
  <c r="G43" i="67"/>
  <c r="E71" i="5"/>
  <c r="AZ113" i="5"/>
  <c r="BO250" i="5"/>
  <c r="H27" i="70"/>
  <c r="G46" i="7"/>
  <c r="AW108" i="5"/>
  <c r="T185" i="5"/>
  <c r="AW121" i="5"/>
  <c r="AW197" i="5"/>
  <c r="T108" i="5"/>
  <c r="T44" i="5"/>
  <c r="BF254" i="5"/>
  <c r="T140" i="5"/>
  <c r="T180" i="5"/>
  <c r="S167" i="5"/>
  <c r="BO111" i="5"/>
  <c r="AZ249" i="5"/>
  <c r="S187" i="5"/>
  <c r="AZ34" i="5"/>
  <c r="BO177" i="5"/>
  <c r="BI227" i="5"/>
  <c r="G58" i="59"/>
  <c r="AW128" i="5"/>
  <c r="AT34" i="5"/>
  <c r="G42" i="55"/>
  <c r="W258" i="5"/>
  <c r="H24" i="59"/>
  <c r="H49" i="70"/>
  <c r="AN88" i="5"/>
  <c r="BI76" i="5"/>
  <c r="H34" i="64"/>
  <c r="W254" i="5"/>
  <c r="E167" i="5"/>
  <c r="AO79" i="5"/>
  <c r="AK74" i="5"/>
  <c r="AK147" i="5"/>
  <c r="AE164" i="5"/>
  <c r="T107" i="5"/>
  <c r="BI231" i="5"/>
  <c r="AT75" i="5"/>
  <c r="AZ232" i="5"/>
  <c r="G41" i="66"/>
  <c r="AT46" i="5"/>
  <c r="AN146" i="5"/>
  <c r="BI168" i="5"/>
  <c r="H28" i="53"/>
  <c r="BR150" i="5"/>
  <c r="BR69" i="5"/>
  <c r="BR215" i="5"/>
  <c r="AE165" i="5"/>
  <c r="BL63" i="5"/>
  <c r="AT126" i="5"/>
  <c r="E156" i="5"/>
  <c r="G20" i="66"/>
  <c r="U51" i="5"/>
  <c r="R8" i="5"/>
  <c r="E211" i="5"/>
  <c r="T172" i="5"/>
  <c r="BF109" i="5"/>
  <c r="AK158" i="5"/>
  <c r="AK65" i="5"/>
  <c r="S98" i="5"/>
  <c r="AF343" i="5"/>
  <c r="AT169" i="5"/>
  <c r="AZ193" i="5"/>
  <c r="G48" i="62"/>
  <c r="BL181" i="5"/>
  <c r="AQ265" i="5"/>
  <c r="BO109" i="5"/>
  <c r="AQ91" i="5"/>
  <c r="AZ68" i="5"/>
  <c r="G19" i="57"/>
  <c r="U148" i="5"/>
  <c r="BL180" i="5"/>
  <c r="AH320" i="5"/>
  <c r="H37" i="64"/>
  <c r="AF339" i="5"/>
  <c r="G23" i="51"/>
  <c r="T75" i="5"/>
  <c r="BL107" i="5"/>
  <c r="BR118" i="5"/>
  <c r="T120" i="5"/>
  <c r="BL57" i="5"/>
  <c r="AZ239" i="5"/>
  <c r="G24" i="7"/>
  <c r="BL218" i="5"/>
  <c r="BL149" i="5"/>
  <c r="AK167" i="5"/>
  <c r="AE307" i="5"/>
  <c r="AQ22" i="5"/>
  <c r="U180" i="5"/>
  <c r="H67" i="62"/>
  <c r="AQ248" i="5"/>
  <c r="G48" i="51"/>
  <c r="U109" i="5"/>
  <c r="AE143" i="5"/>
  <c r="G47" i="51"/>
  <c r="BC174" i="5"/>
  <c r="E120" i="5"/>
  <c r="AF293" i="5"/>
  <c r="AN182" i="5"/>
  <c r="G27" i="55"/>
  <c r="BF107" i="5"/>
  <c r="AO176" i="5"/>
  <c r="AN58" i="5"/>
  <c r="AW176" i="5"/>
  <c r="AK240" i="5"/>
  <c r="BR179" i="5"/>
  <c r="AK45" i="5"/>
  <c r="AE195" i="5"/>
  <c r="AN41" i="5"/>
  <c r="E222" i="5"/>
  <c r="H59" i="7"/>
  <c r="R108" i="5"/>
  <c r="R120" i="5"/>
  <c r="G50" i="67"/>
  <c r="BL124" i="5"/>
  <c r="AO232" i="5"/>
  <c r="R35" i="5"/>
  <c r="AZ212" i="5"/>
  <c r="AZ104" i="5"/>
  <c r="BO156" i="5"/>
  <c r="AT69" i="5"/>
  <c r="AN144" i="5"/>
  <c r="T166" i="5"/>
  <c r="S259" i="5"/>
  <c r="AT175" i="5"/>
  <c r="H22" i="57"/>
  <c r="R106" i="5"/>
  <c r="R94" i="5"/>
  <c r="BF209" i="5"/>
  <c r="S133" i="5"/>
  <c r="AT161" i="5"/>
  <c r="E67" i="5"/>
  <c r="BL170" i="5"/>
  <c r="BL165" i="5"/>
  <c r="H64" i="55"/>
  <c r="H35" i="51"/>
  <c r="AF324" i="5"/>
  <c r="AW109" i="5"/>
  <c r="BR61" i="5"/>
  <c r="BL81" i="5"/>
  <c r="G21" i="66"/>
  <c r="BL199" i="5"/>
  <c r="S96" i="5"/>
  <c r="AZ83" i="5"/>
  <c r="AK229" i="5"/>
  <c r="U232" i="5"/>
  <c r="BF194" i="5"/>
  <c r="BF229" i="5"/>
  <c r="AN83" i="5"/>
  <c r="H33" i="7"/>
  <c r="BC197" i="5"/>
  <c r="BL227" i="5"/>
  <c r="T243" i="5"/>
  <c r="R77" i="5"/>
  <c r="H59" i="59"/>
  <c r="BR104" i="5"/>
  <c r="AQ242" i="5"/>
  <c r="AK125" i="5"/>
  <c r="H27" i="62"/>
  <c r="AK176" i="5"/>
  <c r="AH307" i="5"/>
  <c r="BI83" i="5"/>
  <c r="AW243" i="5"/>
  <c r="H48" i="70"/>
  <c r="U125" i="5"/>
  <c r="BL145" i="5"/>
  <c r="AT41" i="5"/>
  <c r="AE192" i="5"/>
  <c r="BF113" i="5"/>
  <c r="AK184" i="5"/>
  <c r="G43" i="51"/>
  <c r="AK244" i="5"/>
  <c r="G57" i="57"/>
  <c r="G27" i="67"/>
  <c r="U134" i="5"/>
  <c r="AF276" i="5"/>
  <c r="AN108" i="5"/>
  <c r="H32" i="62"/>
  <c r="AT117" i="5"/>
  <c r="AE276" i="5"/>
  <c r="U50" i="5"/>
  <c r="BI100" i="5"/>
  <c r="S26" i="5"/>
  <c r="S110" i="5"/>
  <c r="AN136" i="5"/>
  <c r="R160" i="5"/>
  <c r="D44" i="7"/>
  <c r="BO239" i="5"/>
  <c r="G31" i="53"/>
  <c r="U99" i="5"/>
  <c r="BR161" i="5"/>
  <c r="BI105" i="5"/>
  <c r="AZ198" i="5"/>
  <c r="BC258" i="5"/>
  <c r="R145" i="5"/>
  <c r="R200" i="5"/>
  <c r="G20" i="70"/>
  <c r="AE238" i="5"/>
  <c r="G41" i="57"/>
  <c r="BR183" i="5"/>
  <c r="S75" i="5"/>
  <c r="BI211" i="5"/>
  <c r="H64" i="51"/>
  <c r="BO97" i="5"/>
  <c r="BL62" i="5"/>
  <c r="G25" i="57"/>
  <c r="AE80" i="5"/>
  <c r="H31" i="51"/>
  <c r="H41" i="64"/>
  <c r="H50" i="67"/>
  <c r="BF257" i="5"/>
  <c r="AQ59" i="5"/>
  <c r="H24" i="57"/>
  <c r="G42" i="62"/>
  <c r="BR68" i="5"/>
  <c r="S108" i="5"/>
  <c r="AW120" i="5"/>
  <c r="R183" i="5"/>
  <c r="U149" i="5"/>
  <c r="H49" i="62"/>
  <c r="AE36" i="5"/>
  <c r="AE88" i="5"/>
  <c r="H28" i="66"/>
  <c r="AK86" i="5"/>
  <c r="BF81" i="5"/>
  <c r="AE349" i="5"/>
  <c r="H42" i="64"/>
  <c r="BI159" i="5"/>
  <c r="T238" i="5"/>
  <c r="BL48" i="5"/>
  <c r="BI196" i="5"/>
  <c r="AQ193" i="5"/>
  <c r="AQ200" i="5"/>
  <c r="H47" i="64"/>
  <c r="AK257" i="5"/>
  <c r="AO30" i="5"/>
  <c r="AT68" i="5"/>
  <c r="BR103" i="5"/>
  <c r="R69" i="5"/>
  <c r="E117" i="5"/>
  <c r="BF186" i="5"/>
  <c r="AE350" i="5"/>
  <c r="G23" i="64"/>
  <c r="AW198" i="5"/>
  <c r="BC175" i="5"/>
  <c r="BC193" i="5"/>
  <c r="S61" i="5"/>
  <c r="AQ202" i="5"/>
  <c r="AW258" i="5"/>
  <c r="S59" i="5"/>
  <c r="H64" i="53"/>
  <c r="R174" i="5"/>
  <c r="G42" i="57"/>
  <c r="AT155" i="5"/>
  <c r="H51" i="53"/>
  <c r="AE89" i="5"/>
  <c r="BF22" i="5"/>
  <c r="H31" i="57"/>
  <c r="G43" i="57"/>
  <c r="BF200" i="5"/>
  <c r="AK79" i="5"/>
  <c r="H26" i="62"/>
  <c r="H35" i="55"/>
  <c r="H60" i="51"/>
  <c r="AN159" i="5"/>
  <c r="H32" i="51"/>
  <c r="AT76" i="5"/>
  <c r="T192" i="5"/>
  <c r="AE157" i="5"/>
  <c r="T94" i="5"/>
  <c r="T25" i="5"/>
  <c r="AZ180" i="5"/>
  <c r="U98" i="5"/>
  <c r="BL120" i="5"/>
  <c r="BL256" i="5"/>
  <c r="G60" i="59"/>
  <c r="BF232" i="5"/>
  <c r="G60" i="67"/>
  <c r="AN111" i="5"/>
  <c r="T231" i="5"/>
  <c r="AK50" i="5"/>
  <c r="H52" i="59"/>
  <c r="AQ84" i="5"/>
  <c r="BR83" i="5"/>
  <c r="AZ43" i="5"/>
  <c r="E224" i="5"/>
  <c r="AE166" i="5"/>
  <c r="E115" i="5"/>
  <c r="T99" i="5"/>
  <c r="AW94" i="5"/>
  <c r="E200" i="5"/>
  <c r="AO111" i="5"/>
  <c r="BL72" i="5"/>
  <c r="G16" i="70"/>
  <c r="H59" i="51"/>
  <c r="AO229" i="5"/>
  <c r="AZ126" i="5"/>
  <c r="BR167" i="5"/>
  <c r="AN150" i="5"/>
  <c r="BF147" i="5"/>
  <c r="AO255" i="5"/>
  <c r="AE70" i="5"/>
  <c r="S124" i="5"/>
  <c r="U142" i="5"/>
  <c r="BC134" i="5"/>
  <c r="BO162" i="5"/>
  <c r="U264" i="5"/>
  <c r="AK117" i="5"/>
  <c r="AK105" i="5"/>
  <c r="AE339" i="5"/>
  <c r="BR97" i="5"/>
  <c r="H41" i="53"/>
  <c r="BR213" i="5"/>
  <c r="BO142" i="5"/>
  <c r="AK109" i="5"/>
  <c r="AE117" i="5"/>
  <c r="D17" i="7"/>
  <c r="AQ64" i="5"/>
  <c r="U128" i="5"/>
  <c r="AZ196" i="5"/>
  <c r="R73" i="5"/>
  <c r="G35" i="51"/>
  <c r="W47" i="5"/>
  <c r="AN121" i="5"/>
  <c r="G64" i="64"/>
  <c r="S238" i="5"/>
  <c r="H16" i="59"/>
  <c r="AO260" i="5"/>
  <c r="AZ58" i="5"/>
  <c r="AF350" i="5"/>
  <c r="AN250" i="5"/>
  <c r="BR255" i="5"/>
  <c r="BC165" i="5"/>
  <c r="U126" i="5"/>
  <c r="AW155" i="5"/>
  <c r="AW183" i="5"/>
  <c r="AQ216" i="5"/>
  <c r="AZ86" i="5"/>
  <c r="AW101" i="5"/>
  <c r="T106" i="5"/>
  <c r="T121" i="5"/>
  <c r="BI198" i="5"/>
  <c r="E112" i="5"/>
  <c r="AW60" i="5"/>
  <c r="BI272" i="5"/>
  <c r="AW156" i="5"/>
  <c r="AN50" i="5"/>
  <c r="AO144" i="5"/>
  <c r="BI150" i="5"/>
  <c r="BF155" i="5"/>
  <c r="AO155" i="5"/>
  <c r="AT240" i="5"/>
  <c r="BR180" i="5"/>
  <c r="AQ172" i="5"/>
  <c r="BO48" i="5"/>
  <c r="E111" i="5"/>
  <c r="AO157" i="5"/>
  <c r="R65" i="5"/>
  <c r="AN133" i="5"/>
  <c r="R107" i="5"/>
  <c r="H31" i="62"/>
  <c r="AE209" i="5"/>
  <c r="G67" i="53"/>
  <c r="AK136" i="5"/>
  <c r="E44" i="5"/>
  <c r="AZ184" i="5"/>
  <c r="AO147" i="5"/>
  <c r="G61" i="55"/>
  <c r="AT86" i="5"/>
  <c r="T199" i="5"/>
  <c r="E141" i="5"/>
  <c r="AT153" i="5"/>
  <c r="BF68" i="5"/>
  <c r="AO130" i="5"/>
  <c r="E69" i="5"/>
  <c r="E63" i="5"/>
  <c r="AO78" i="5"/>
  <c r="BC139" i="5"/>
  <c r="H51" i="62"/>
  <c r="BC100" i="5"/>
  <c r="U8" i="5"/>
  <c r="U157" i="5"/>
  <c r="BO161" i="5"/>
  <c r="AK191" i="5"/>
  <c r="E234" i="5"/>
  <c r="H51" i="57"/>
  <c r="G19" i="7"/>
  <c r="BC162" i="5"/>
  <c r="AO139" i="5"/>
  <c r="AW132" i="5"/>
  <c r="E168" i="5"/>
  <c r="U64" i="5"/>
  <c r="E34" i="5"/>
  <c r="AN232" i="5"/>
  <c r="BR58" i="5"/>
  <c r="AE85" i="5"/>
  <c r="H57" i="70"/>
  <c r="AQ201" i="5"/>
  <c r="S121" i="5"/>
  <c r="G59" i="66"/>
  <c r="AO81" i="5"/>
  <c r="AT66" i="5"/>
  <c r="AW126" i="5"/>
  <c r="AW164" i="5"/>
  <c r="AW195" i="5"/>
  <c r="G52" i="59"/>
  <c r="AZ134" i="5"/>
  <c r="AQ161" i="5"/>
  <c r="T88" i="5"/>
  <c r="BR136" i="5"/>
  <c r="T138" i="5"/>
  <c r="H46" i="57"/>
  <c r="AN240" i="5"/>
  <c r="BL257" i="5"/>
  <c r="U247" i="5"/>
  <c r="AT179" i="5"/>
  <c r="AO250" i="5"/>
  <c r="BO200" i="5"/>
  <c r="BO240" i="5"/>
  <c r="BC150" i="5"/>
  <c r="U176" i="5"/>
  <c r="AZ70" i="5"/>
  <c r="T224" i="5"/>
  <c r="AE239" i="5"/>
  <c r="E256" i="5"/>
  <c r="AW166" i="5"/>
  <c r="AF330" i="5"/>
  <c r="AE84" i="5"/>
  <c r="BF158" i="5"/>
  <c r="BF174" i="5"/>
  <c r="BI101" i="5"/>
  <c r="R240" i="5"/>
  <c r="BO144" i="5"/>
  <c r="AK126" i="5"/>
  <c r="AK33" i="5"/>
  <c r="G35" i="62"/>
  <c r="U49" i="5"/>
  <c r="E166" i="5"/>
  <c r="G59" i="67"/>
  <c r="R144" i="5"/>
  <c r="AW180" i="5"/>
  <c r="H35" i="53"/>
  <c r="T211" i="5"/>
  <c r="U76" i="5"/>
  <c r="AO261" i="5"/>
  <c r="BL200" i="5"/>
  <c r="E187" i="5"/>
  <c r="AQ97" i="5"/>
  <c r="AT100" i="5"/>
  <c r="AZ258" i="5"/>
  <c r="G52" i="66"/>
  <c r="AE128" i="5"/>
  <c r="BL193" i="5"/>
  <c r="H27" i="7"/>
  <c r="AE41" i="5"/>
  <c r="H42" i="51"/>
  <c r="H53" i="67"/>
  <c r="BF55" i="5"/>
  <c r="T86" i="5"/>
  <c r="AH294" i="5"/>
  <c r="AT183" i="5"/>
  <c r="G50" i="53"/>
  <c r="AE95" i="5"/>
  <c r="BF239" i="5"/>
  <c r="BI162" i="5"/>
  <c r="W256" i="5"/>
  <c r="G19" i="53"/>
  <c r="AE294" i="5"/>
  <c r="T162" i="5"/>
  <c r="BL231" i="5"/>
  <c r="S230" i="5"/>
  <c r="BR143" i="5"/>
  <c r="AO99" i="5"/>
  <c r="BL146" i="5"/>
  <c r="AO115" i="5"/>
  <c r="BF249" i="5"/>
  <c r="R59" i="5"/>
  <c r="AF305" i="5"/>
  <c r="AO189" i="5"/>
  <c r="AW202" i="5"/>
  <c r="AW67" i="5"/>
  <c r="AQ113" i="5"/>
  <c r="BC103" i="5"/>
  <c r="AK232" i="5"/>
  <c r="R166" i="5"/>
  <c r="BL171" i="5"/>
  <c r="T144" i="5"/>
  <c r="E103" i="5"/>
  <c r="E147" i="5"/>
  <c r="S79" i="5"/>
  <c r="AH346" i="5"/>
  <c r="AQ263" i="5"/>
  <c r="G20" i="55"/>
  <c r="G27" i="66"/>
  <c r="AW211" i="5"/>
  <c r="T257" i="5"/>
  <c r="BR149" i="5"/>
  <c r="AW247" i="5"/>
  <c r="R147" i="5"/>
  <c r="AW149" i="5"/>
  <c r="BI143" i="5"/>
  <c r="AW170" i="5"/>
  <c r="AK111" i="5"/>
  <c r="BP12" i="5"/>
  <c r="AQ158" i="5"/>
  <c r="AW61" i="5"/>
  <c r="AQ111" i="5"/>
  <c r="S119" i="5"/>
  <c r="G67" i="70"/>
  <c r="AE136" i="5"/>
  <c r="AZ187" i="5"/>
  <c r="AT95" i="5"/>
  <c r="AK137" i="5"/>
  <c r="T207" i="5"/>
  <c r="BF178" i="5"/>
  <c r="AK124" i="5"/>
  <c r="S86" i="5"/>
  <c r="AN261" i="5"/>
  <c r="BO216" i="5"/>
  <c r="BC178" i="5"/>
  <c r="E209" i="5"/>
  <c r="AE159" i="5"/>
  <c r="AH344" i="5"/>
  <c r="E13" i="67"/>
  <c r="AE186" i="5"/>
  <c r="BS12" i="5"/>
  <c r="G52" i="53"/>
  <c r="BO143" i="5"/>
  <c r="U80" i="5"/>
  <c r="G36" i="57"/>
  <c r="AN78" i="5"/>
  <c r="AO26" i="5"/>
  <c r="BO110" i="5"/>
  <c r="AO100" i="5"/>
  <c r="BC98" i="5"/>
  <c r="G60" i="51"/>
  <c r="S216" i="5"/>
  <c r="AU11" i="5"/>
  <c r="E113" i="5"/>
  <c r="AH351" i="5"/>
  <c r="E25" i="5"/>
  <c r="AZ158" i="5"/>
  <c r="BR57" i="5"/>
  <c r="BO22" i="5"/>
  <c r="BF150" i="5"/>
  <c r="AT165" i="5"/>
  <c r="BR113" i="5"/>
  <c r="BI147" i="5"/>
  <c r="G36" i="66"/>
  <c r="BL210" i="5"/>
  <c r="S139" i="5"/>
  <c r="AW174" i="5"/>
  <c r="S179" i="5"/>
  <c r="BO104" i="5"/>
  <c r="AE58" i="5"/>
  <c r="BC88" i="5"/>
  <c r="AN238" i="5"/>
  <c r="G19" i="62"/>
  <c r="E138" i="5"/>
  <c r="R76" i="5"/>
  <c r="BF124" i="5"/>
  <c r="T46" i="5"/>
  <c r="AE122" i="5"/>
  <c r="AE69" i="5"/>
  <c r="BF105" i="5"/>
  <c r="AT108" i="5"/>
  <c r="H61" i="64"/>
  <c r="E84" i="5"/>
  <c r="AW213" i="5"/>
  <c r="T81" i="5"/>
  <c r="S117" i="5"/>
  <c r="BI140" i="5"/>
  <c r="AT147" i="5"/>
  <c r="BA14" i="5"/>
  <c r="T240" i="5"/>
  <c r="AK200" i="5"/>
  <c r="AO202" i="5"/>
  <c r="BL59" i="5"/>
  <c r="BO57" i="5"/>
  <c r="AE194" i="5"/>
  <c r="AK32" i="5"/>
  <c r="E171" i="5"/>
  <c r="E74" i="5"/>
  <c r="BC169" i="5"/>
  <c r="AK26" i="5"/>
  <c r="AE181" i="5"/>
  <c r="S132" i="5"/>
  <c r="BR232" i="5"/>
  <c r="G65" i="66"/>
  <c r="AT142" i="5"/>
  <c r="U32" i="5"/>
  <c r="S141" i="5"/>
  <c r="AH349" i="5"/>
  <c r="BR196" i="5"/>
  <c r="AE210" i="5"/>
  <c r="S27" i="5"/>
  <c r="BR98" i="5"/>
  <c r="BR87" i="5"/>
  <c r="AT113" i="5"/>
  <c r="H40" i="51"/>
  <c r="E170" i="5"/>
  <c r="AO206" i="5"/>
  <c r="E220" i="5"/>
  <c r="U195" i="5"/>
  <c r="G50" i="59"/>
  <c r="AK69" i="5"/>
  <c r="BF136" i="5"/>
  <c r="AT208" i="5"/>
  <c r="U186" i="5"/>
  <c r="BF42" i="5"/>
  <c r="AE255" i="5"/>
  <c r="E77" i="5"/>
  <c r="E185" i="5"/>
  <c r="AT150" i="5"/>
  <c r="AE246" i="5"/>
  <c r="AW158" i="5"/>
  <c r="R61" i="5"/>
  <c r="S198" i="5"/>
  <c r="R60" i="5"/>
  <c r="R139" i="5"/>
  <c r="AO191" i="5"/>
  <c r="BR65" i="5"/>
  <c r="AW231" i="5"/>
  <c r="S185" i="5"/>
  <c r="AK78" i="5"/>
  <c r="AN84" i="5"/>
  <c r="AQ186" i="5"/>
  <c r="AK81" i="5"/>
  <c r="AH306" i="5"/>
  <c r="AZ185" i="5"/>
  <c r="BF74" i="5"/>
  <c r="T151" i="5"/>
  <c r="BI104" i="5"/>
  <c r="S254" i="5"/>
  <c r="BI95" i="5"/>
  <c r="R24" i="5"/>
  <c r="BL135" i="5"/>
  <c r="BO118" i="5"/>
  <c r="BF169" i="5"/>
  <c r="AN28" i="5"/>
  <c r="T156" i="5"/>
  <c r="AQ82" i="5"/>
  <c r="AE121" i="5"/>
  <c r="R140" i="5"/>
  <c r="G67" i="55"/>
  <c r="BO232" i="5"/>
  <c r="G60" i="55"/>
  <c r="BF70" i="5"/>
  <c r="AZ22" i="5"/>
  <c r="E197" i="5"/>
  <c r="AW209" i="5"/>
  <c r="AE48" i="5"/>
  <c r="BC143" i="5"/>
  <c r="G28" i="51"/>
  <c r="R98" i="5"/>
  <c r="AW201" i="5"/>
  <c r="BC246" i="5"/>
  <c r="BI215" i="5"/>
  <c r="R203" i="5"/>
  <c r="AW263" i="5"/>
  <c r="AQ149" i="5"/>
  <c r="BL150" i="5"/>
  <c r="AZ100" i="5"/>
  <c r="AN184" i="5"/>
  <c r="BC186" i="5"/>
  <c r="AZ143" i="5"/>
  <c r="BO194" i="5"/>
  <c r="S215" i="5"/>
  <c r="S146" i="5"/>
  <c r="AE104" i="5"/>
  <c r="R180" i="5"/>
  <c r="AN178" i="5"/>
  <c r="H58" i="57"/>
  <c r="AZ142" i="5"/>
  <c r="AK206" i="5"/>
  <c r="BF167" i="5"/>
  <c r="BL215" i="5"/>
  <c r="AZ211" i="5"/>
  <c r="AK163" i="5"/>
  <c r="BC34" i="5"/>
  <c r="AZ201" i="5"/>
  <c r="E68" i="5"/>
  <c r="AO181" i="5"/>
  <c r="AW53" i="5"/>
  <c r="H49" i="66"/>
  <c r="T259" i="5"/>
  <c r="BR38" i="5"/>
  <c r="BL192" i="5"/>
  <c r="U207" i="5"/>
  <c r="BL64" i="5"/>
  <c r="G51" i="70"/>
  <c r="U110" i="5"/>
  <c r="AH345" i="5"/>
  <c r="G34" i="55"/>
  <c r="AT250" i="5"/>
  <c r="U47" i="5"/>
  <c r="AE99" i="5"/>
  <c r="AH290" i="5"/>
  <c r="BI60" i="5"/>
  <c r="R143" i="5"/>
  <c r="BO151" i="5"/>
  <c r="AE202" i="5"/>
  <c r="AT257" i="5"/>
  <c r="H19" i="7"/>
  <c r="E80" i="5"/>
  <c r="BR26" i="5"/>
  <c r="BF211" i="5"/>
  <c r="BO179" i="5"/>
  <c r="U251" i="5"/>
  <c r="G35" i="57"/>
  <c r="R169" i="5"/>
  <c r="BL217" i="5"/>
  <c r="T100" i="5"/>
  <c r="H28" i="7"/>
  <c r="AT136" i="5"/>
  <c r="AQ192" i="5"/>
  <c r="BL113" i="5"/>
  <c r="BI57" i="5"/>
  <c r="AO22" i="5"/>
  <c r="U52" i="5"/>
  <c r="G51" i="66"/>
  <c r="AF302" i="5"/>
  <c r="E260" i="5"/>
  <c r="BL68" i="5"/>
  <c r="AE211" i="5"/>
  <c r="G34" i="53"/>
  <c r="BL33" i="5"/>
  <c r="BM13" i="5"/>
  <c r="BL75" i="5"/>
  <c r="BR59" i="5"/>
  <c r="AW167" i="5"/>
  <c r="E106" i="5"/>
  <c r="AE147" i="5"/>
  <c r="AZ121" i="5"/>
  <c r="BR192" i="5"/>
  <c r="AK259" i="5"/>
  <c r="R228" i="5"/>
  <c r="BR85" i="5"/>
  <c r="AW237" i="5"/>
  <c r="S123" i="5"/>
  <c r="H41" i="55"/>
  <c r="S239" i="5"/>
  <c r="AT193" i="5"/>
  <c r="AN141" i="5"/>
  <c r="BR238" i="5"/>
  <c r="G35" i="7"/>
  <c r="BR111" i="5"/>
  <c r="S122" i="5"/>
  <c r="S149" i="5"/>
  <c r="BO165" i="5"/>
  <c r="T57" i="5"/>
  <c r="AE313" i="5"/>
  <c r="BO126" i="5"/>
  <c r="H21" i="67"/>
  <c r="BI217" i="5"/>
  <c r="AK250" i="5"/>
  <c r="S118" i="5"/>
  <c r="AZ112" i="5"/>
  <c r="T232" i="5"/>
  <c r="AE115" i="5"/>
  <c r="R149" i="5"/>
  <c r="E13" i="70"/>
  <c r="E191" i="5"/>
  <c r="AQ95" i="5"/>
  <c r="BL65" i="5"/>
  <c r="AZ107" i="5"/>
  <c r="G36" i="67"/>
  <c r="R151" i="5"/>
  <c r="BL80" i="5"/>
  <c r="BI163" i="5"/>
  <c r="BL105" i="5"/>
  <c r="BI142" i="5"/>
  <c r="BO99" i="5"/>
  <c r="U257" i="5"/>
  <c r="W22" i="5"/>
  <c r="AT143" i="5"/>
  <c r="BJ13" i="5"/>
  <c r="AE153" i="5"/>
  <c r="R168" i="5"/>
  <c r="R101" i="5"/>
  <c r="AO166" i="5"/>
  <c r="BO74" i="5"/>
  <c r="R172" i="5"/>
  <c r="E248" i="5"/>
  <c r="AQ78" i="5"/>
  <c r="T105" i="5"/>
  <c r="G48" i="64"/>
  <c r="H24" i="70"/>
  <c r="AK252" i="5"/>
  <c r="AQ246" i="5"/>
  <c r="G59" i="64"/>
  <c r="S172" i="5"/>
  <c r="G24" i="66"/>
  <c r="AQ63" i="5"/>
  <c r="BF231" i="5"/>
  <c r="BL127" i="5"/>
  <c r="E145" i="5"/>
  <c r="AK70" i="5"/>
  <c r="G22" i="7"/>
  <c r="H23" i="51"/>
  <c r="U104" i="5"/>
  <c r="E214" i="5"/>
  <c r="BF227" i="5"/>
  <c r="AN258" i="5"/>
  <c r="R28" i="5"/>
  <c r="S183" i="5"/>
  <c r="BO134" i="5"/>
  <c r="U88" i="5"/>
  <c r="BF216" i="5"/>
  <c r="AO125" i="5"/>
  <c r="R84" i="5"/>
  <c r="T197" i="5"/>
  <c r="U81" i="5"/>
  <c r="BR257" i="5"/>
  <c r="H59" i="57"/>
  <c r="H43" i="7"/>
  <c r="U89" i="5"/>
  <c r="T186" i="5"/>
  <c r="BR272" i="5"/>
  <c r="S49" i="5"/>
  <c r="AE45" i="5"/>
  <c r="AE65" i="5"/>
  <c r="AT198" i="5"/>
  <c r="AE91" i="5"/>
  <c r="E27" i="5"/>
  <c r="AZ81" i="5"/>
  <c r="BF46" i="5"/>
  <c r="BI69" i="5"/>
  <c r="T250" i="5"/>
  <c r="BI184" i="5"/>
  <c r="S95" i="5"/>
  <c r="AK122" i="5"/>
  <c r="G67" i="64"/>
  <c r="AZ144" i="5"/>
  <c r="AO170" i="5"/>
  <c r="BL140" i="5"/>
  <c r="H23" i="70"/>
  <c r="R71" i="5"/>
  <c r="BF180" i="5"/>
  <c r="AW220" i="5"/>
  <c r="T87" i="5"/>
  <c r="W259" i="5"/>
  <c r="BR133" i="5"/>
  <c r="T142" i="5"/>
  <c r="H55" i="67"/>
  <c r="BL161" i="5"/>
  <c r="H23" i="67"/>
  <c r="AZ175" i="5"/>
  <c r="AN218" i="5"/>
  <c r="AZ133" i="5"/>
  <c r="G42" i="51"/>
  <c r="S64" i="5"/>
  <c r="AQ62" i="5"/>
  <c r="H31" i="70"/>
  <c r="AO87" i="5"/>
  <c r="AT185" i="5"/>
  <c r="T102" i="5"/>
  <c r="BC196" i="5"/>
  <c r="BC123" i="5"/>
  <c r="AW41" i="5"/>
  <c r="AE258" i="5"/>
  <c r="R119" i="5"/>
  <c r="S63" i="5"/>
  <c r="U183" i="5"/>
  <c r="AW58" i="5"/>
  <c r="AQ176" i="5"/>
  <c r="AK261" i="5"/>
  <c r="BL84" i="5"/>
  <c r="H22" i="62"/>
  <c r="AZ164" i="5"/>
  <c r="BC147" i="5"/>
  <c r="AE215" i="5"/>
  <c r="BM12" i="5"/>
  <c r="BR121" i="5"/>
  <c r="AQ211" i="5"/>
  <c r="BF101" i="5"/>
  <c r="AW181" i="5"/>
  <c r="T101" i="5"/>
  <c r="T202" i="5"/>
  <c r="AF326" i="5"/>
  <c r="S195" i="5"/>
  <c r="BF60" i="5"/>
  <c r="AW141" i="5"/>
  <c r="AF340" i="5"/>
  <c r="BI174" i="5"/>
  <c r="AQ173" i="5"/>
  <c r="T170" i="5"/>
  <c r="AE30" i="5"/>
  <c r="BC66" i="5"/>
  <c r="BC209" i="5"/>
  <c r="U165" i="5"/>
  <c r="BL106" i="5"/>
  <c r="AN42" i="5"/>
  <c r="BI126" i="5"/>
  <c r="BL201" i="5"/>
  <c r="G26" i="67"/>
  <c r="AN171" i="5"/>
  <c r="E87" i="5"/>
  <c r="AO28" i="5"/>
  <c r="AN53" i="5"/>
  <c r="G53" i="66"/>
  <c r="E189" i="5"/>
  <c r="BI145" i="5"/>
  <c r="H27" i="51"/>
  <c r="S134" i="5"/>
  <c r="AN181" i="5"/>
  <c r="BI124" i="5"/>
  <c r="AK197" i="5"/>
  <c r="U154" i="5"/>
  <c r="E65" i="5"/>
  <c r="BC97" i="5"/>
  <c r="AE175" i="5"/>
  <c r="G58" i="57"/>
  <c r="AW256" i="5"/>
  <c r="R249" i="5"/>
  <c r="U178" i="5"/>
  <c r="BC53" i="5"/>
  <c r="G34" i="7"/>
  <c r="U75" i="5"/>
  <c r="U68" i="5"/>
  <c r="E13" i="66"/>
  <c r="E249" i="5"/>
  <c r="BI156" i="5"/>
  <c r="AN231" i="5"/>
  <c r="U204" i="5"/>
  <c r="G36" i="70"/>
  <c r="AN230" i="5"/>
  <c r="AN160" i="5"/>
  <c r="BM14" i="5"/>
  <c r="BF88" i="5"/>
  <c r="H49" i="55"/>
  <c r="BO64" i="5"/>
  <c r="H58" i="51"/>
  <c r="S255" i="5"/>
  <c r="BO214" i="5"/>
  <c r="BL133" i="5"/>
  <c r="BI183" i="5"/>
  <c r="AT200" i="5"/>
  <c r="BL136" i="5"/>
  <c r="BL119" i="5"/>
  <c r="AT144" i="5"/>
  <c r="W239" i="5"/>
  <c r="AZ137" i="5"/>
  <c r="BL142" i="5"/>
  <c r="BC216" i="5"/>
  <c r="BR81" i="5"/>
  <c r="AZ60" i="5"/>
  <c r="E161" i="5"/>
  <c r="AO150" i="5"/>
  <c r="AT132" i="5"/>
  <c r="BO70" i="5"/>
  <c r="AW57" i="5"/>
  <c r="AT44" i="5"/>
  <c r="AZ213" i="5"/>
  <c r="H20" i="51"/>
  <c r="BR36" i="5"/>
  <c r="E160" i="5"/>
  <c r="AQ224" i="5"/>
  <c r="BO217" i="5"/>
  <c r="G44" i="66"/>
  <c r="BO98" i="5"/>
  <c r="AT55" i="5"/>
  <c r="G36" i="7"/>
  <c r="R124" i="5"/>
  <c r="AZ260" i="5"/>
  <c r="AO153" i="5"/>
  <c r="W43" i="5"/>
  <c r="BI133" i="5"/>
  <c r="AE180" i="5"/>
  <c r="U249" i="5"/>
  <c r="AK44" i="5"/>
  <c r="BC260" i="5"/>
  <c r="AN79" i="5"/>
  <c r="AE306" i="5"/>
  <c r="AH301" i="5"/>
  <c r="S162" i="5"/>
  <c r="G26" i="57"/>
  <c r="AE216" i="5"/>
  <c r="H52" i="7"/>
  <c r="H41" i="66"/>
  <c r="BF134" i="5"/>
  <c r="AK40" i="5"/>
  <c r="AN214" i="5"/>
  <c r="G28" i="66"/>
  <c r="S128" i="5"/>
  <c r="R238" i="5"/>
  <c r="BI98" i="5"/>
  <c r="R208" i="5"/>
  <c r="AT32" i="5"/>
  <c r="E83" i="5"/>
  <c r="R41" i="5"/>
  <c r="AN195" i="5"/>
  <c r="G31" i="51"/>
  <c r="AO103" i="5"/>
  <c r="AQ36" i="5"/>
  <c r="AK164" i="5"/>
  <c r="BF133" i="5"/>
  <c r="AW151" i="5"/>
  <c r="AW122" i="5"/>
  <c r="BC104" i="5"/>
  <c r="BF118" i="5"/>
  <c r="BC62" i="5"/>
  <c r="AT259" i="5"/>
  <c r="AR15" i="5"/>
  <c r="AK64" i="5"/>
  <c r="BR49" i="5"/>
  <c r="S106" i="5"/>
  <c r="AZ77" i="5"/>
  <c r="AN164" i="5"/>
  <c r="AE113" i="5"/>
  <c r="BI120" i="5"/>
  <c r="AZ72" i="5"/>
  <c r="BR163" i="5"/>
  <c r="E121" i="5"/>
  <c r="BL111" i="5"/>
  <c r="R58" i="5"/>
  <c r="T176" i="5"/>
  <c r="AW113" i="5"/>
  <c r="G32" i="70"/>
  <c r="H58" i="67"/>
  <c r="BO102" i="5"/>
  <c r="AW216" i="5"/>
  <c r="BF160" i="5"/>
  <c r="AE228" i="5"/>
  <c r="BC259" i="5"/>
  <c r="BI232" i="5"/>
  <c r="H37" i="66"/>
  <c r="AK22" i="5"/>
  <c r="BL101" i="5"/>
  <c r="BO212" i="5"/>
  <c r="H41" i="67"/>
  <c r="AO110" i="5"/>
  <c r="S143" i="5"/>
  <c r="AE64" i="5"/>
  <c r="BL183" i="5"/>
  <c r="AN234" i="5"/>
  <c r="AN229" i="5"/>
  <c r="G53" i="55"/>
  <c r="BI85" i="5"/>
  <c r="T8" i="5"/>
  <c r="BC117" i="5"/>
  <c r="E247" i="5"/>
  <c r="U254" i="5"/>
  <c r="H35" i="66"/>
  <c r="BL103" i="5"/>
  <c r="AQ250" i="5"/>
  <c r="U227" i="5"/>
  <c r="AE182" i="5"/>
  <c r="AK94" i="5"/>
  <c r="E201" i="5"/>
  <c r="AE340" i="5"/>
  <c r="BC213" i="5"/>
  <c r="U120" i="5"/>
  <c r="E14" i="5"/>
  <c r="T246" i="5"/>
  <c r="U102" i="5"/>
  <c r="R184" i="5"/>
  <c r="BI127" i="5"/>
  <c r="AN132" i="5"/>
  <c r="AW157" i="5"/>
  <c r="AW230" i="5"/>
  <c r="AO211" i="5"/>
  <c r="BI191" i="5"/>
  <c r="AO86" i="5"/>
  <c r="AN212" i="5"/>
  <c r="BO61" i="5"/>
  <c r="AQ196" i="5"/>
  <c r="BC163" i="5"/>
  <c r="AL14" i="5"/>
  <c r="H43" i="57"/>
  <c r="AZ136" i="5"/>
  <c r="S45" i="5"/>
  <c r="BL82" i="5"/>
  <c r="AE53" i="5"/>
  <c r="E122" i="5"/>
  <c r="AN30" i="5"/>
  <c r="AT145" i="5"/>
  <c r="AO104" i="5"/>
  <c r="BF102" i="5"/>
  <c r="AE42" i="5"/>
  <c r="E231" i="5"/>
  <c r="AW48" i="5"/>
  <c r="U233" i="5"/>
  <c r="BF106" i="5"/>
  <c r="E195" i="5"/>
  <c r="AQ71" i="5"/>
  <c r="S192" i="5"/>
  <c r="BI171" i="5"/>
  <c r="AW64" i="5"/>
  <c r="S43" i="5"/>
  <c r="AZ128" i="5"/>
  <c r="BC136" i="5"/>
  <c r="H21" i="51"/>
  <c r="AK189" i="5"/>
  <c r="BL71" i="5"/>
  <c r="S231" i="5"/>
  <c r="BC87" i="5"/>
  <c r="BC167" i="5"/>
  <c r="E242" i="5"/>
  <c r="AO158" i="5"/>
  <c r="S228" i="5"/>
  <c r="S199" i="5"/>
  <c r="BI35" i="5"/>
  <c r="BI180" i="5"/>
  <c r="AE230" i="5"/>
  <c r="BF94" i="5"/>
  <c r="E35" i="5"/>
  <c r="BF248" i="5"/>
  <c r="T136" i="5"/>
  <c r="AK71" i="5"/>
  <c r="H61" i="70"/>
  <c r="BO132" i="5"/>
  <c r="E42" i="5"/>
  <c r="BR246" i="5"/>
  <c r="AW123" i="5"/>
  <c r="AQ220" i="5"/>
  <c r="BI62" i="5"/>
  <c r="BL156" i="5"/>
  <c r="BL197" i="5"/>
  <c r="AN123" i="5"/>
  <c r="S57" i="5"/>
  <c r="AH312" i="5"/>
  <c r="AO58" i="5"/>
  <c r="AN76" i="5"/>
  <c r="BC180" i="5"/>
  <c r="BI194" i="5"/>
  <c r="G57" i="7"/>
  <c r="AQ35" i="5"/>
  <c r="AO73" i="5"/>
  <c r="E76" i="5"/>
  <c r="AW229" i="5"/>
  <c r="U94" i="5"/>
  <c r="BO191" i="5"/>
  <c r="BF111" i="5"/>
  <c r="AT244" i="5"/>
  <c r="AK46" i="5"/>
  <c r="H28" i="55"/>
  <c r="BF43" i="5"/>
  <c r="G53" i="62"/>
  <c r="BR73" i="5"/>
  <c r="AF325" i="5"/>
  <c r="BF67" i="5"/>
  <c r="U111" i="5"/>
  <c r="E199" i="5"/>
  <c r="BC101" i="5"/>
  <c r="BL40" i="5"/>
  <c r="BI110" i="5"/>
  <c r="AN33" i="5"/>
  <c r="AT98" i="5"/>
  <c r="BL45" i="5"/>
  <c r="AQ75" i="5"/>
  <c r="BC170" i="5"/>
  <c r="BO43" i="5"/>
  <c r="BI247" i="5"/>
  <c r="AQ239" i="5"/>
  <c r="AE330" i="5"/>
  <c r="AE227" i="5"/>
  <c r="S65" i="5"/>
  <c r="H67" i="59"/>
  <c r="AQ38" i="5"/>
  <c r="T179" i="5"/>
  <c r="AO252" i="5"/>
  <c r="AE329" i="5"/>
  <c r="AK172" i="5"/>
  <c r="BC107" i="5"/>
  <c r="AT236" i="5"/>
  <c r="BL176" i="5"/>
  <c r="AK247" i="5"/>
  <c r="AZ168" i="5"/>
  <c r="BI246" i="5"/>
  <c r="AQ44" i="5"/>
  <c r="G25" i="53"/>
  <c r="BR71" i="5"/>
  <c r="AN45" i="5"/>
  <c r="AW86" i="5"/>
  <c r="AO53" i="5"/>
  <c r="BI181" i="5"/>
  <c r="AN145" i="5"/>
  <c r="E259" i="5"/>
  <c r="BO176" i="5"/>
  <c r="AN239" i="5"/>
  <c r="AK41" i="5"/>
  <c r="T247" i="5"/>
  <c r="BC57" i="5"/>
  <c r="T239" i="5"/>
  <c r="BI81" i="5"/>
  <c r="BL246" i="5"/>
  <c r="AE270" i="5"/>
  <c r="AT227" i="5"/>
  <c r="G23" i="57"/>
  <c r="BC137" i="5"/>
  <c r="AQ164" i="5"/>
  <c r="BI229" i="5"/>
  <c r="H20" i="66"/>
  <c r="BC86" i="5"/>
  <c r="R110" i="5"/>
  <c r="G16" i="59"/>
  <c r="AE130" i="5"/>
  <c r="T52" i="5"/>
  <c r="BR258" i="5"/>
  <c r="BO95" i="5"/>
  <c r="H46" i="70"/>
  <c r="U42" i="5"/>
  <c r="E137" i="5"/>
  <c r="T98" i="5"/>
  <c r="S204" i="5"/>
  <c r="AO66" i="5"/>
  <c r="BI46" i="5"/>
  <c r="AN161" i="5"/>
  <c r="AQ261" i="5"/>
  <c r="AZ195" i="5"/>
  <c r="AW203" i="5"/>
  <c r="BR126" i="5"/>
  <c r="AF306" i="5"/>
  <c r="E140" i="5"/>
  <c r="BO120" i="5"/>
  <c r="AK141" i="5"/>
  <c r="AT97" i="5"/>
  <c r="AN153" i="5"/>
  <c r="BC230" i="5"/>
  <c r="AE77" i="5"/>
  <c r="U133" i="5"/>
  <c r="S257" i="5"/>
  <c r="AK83" i="5"/>
  <c r="R83" i="5"/>
  <c r="AW115" i="5"/>
  <c r="AW30" i="5"/>
  <c r="AZ74" i="5"/>
  <c r="E118" i="5"/>
  <c r="BO41" i="5"/>
  <c r="U73" i="5"/>
  <c r="BI203" i="5"/>
  <c r="AZ183" i="5"/>
  <c r="BF203" i="5"/>
  <c r="BC44" i="5"/>
  <c r="BR164" i="5"/>
  <c r="AJ13" i="5"/>
  <c r="G37" i="57"/>
  <c r="AQ181" i="5"/>
  <c r="AK95" i="5"/>
  <c r="BO94" i="5"/>
  <c r="BC120" i="5"/>
  <c r="T117" i="5"/>
  <c r="R247" i="5"/>
  <c r="H47" i="59"/>
  <c r="AZ64" i="5"/>
  <c r="AT96" i="5"/>
  <c r="AT261" i="5"/>
  <c r="AK193" i="5"/>
  <c r="AT130" i="5"/>
  <c r="BO159" i="5"/>
  <c r="S69" i="5"/>
  <c r="AQ160" i="5"/>
  <c r="BO195" i="5"/>
  <c r="G42" i="7"/>
  <c r="AE343" i="5"/>
  <c r="BF146" i="5"/>
  <c r="AK135" i="5"/>
  <c r="AW112" i="5"/>
  <c r="E85" i="5"/>
  <c r="BF250" i="5"/>
  <c r="AK169" i="5"/>
  <c r="AQ247" i="5"/>
  <c r="AN85" i="5"/>
  <c r="AH324" i="5"/>
  <c r="AT109" i="5"/>
  <c r="G22" i="67"/>
  <c r="G22" i="53"/>
  <c r="BC96" i="5"/>
  <c r="E40" i="5"/>
  <c r="AN91" i="5"/>
  <c r="BC65" i="5"/>
  <c r="U113" i="5"/>
  <c r="AN216" i="5"/>
  <c r="T134" i="5"/>
  <c r="R100" i="5"/>
  <c r="AN87" i="5"/>
  <c r="AT167" i="5"/>
  <c r="U58" i="5"/>
  <c r="AK222" i="5"/>
  <c r="S101" i="5"/>
  <c r="U242" i="5"/>
  <c r="R97" i="5"/>
  <c r="BI201" i="5"/>
  <c r="BF162" i="5"/>
  <c r="H48" i="64"/>
  <c r="AN94" i="5"/>
  <c r="T41" i="5"/>
  <c r="BL260" i="5"/>
  <c r="S182" i="5"/>
  <c r="E202" i="5"/>
  <c r="T203" i="5"/>
  <c r="AN106" i="5"/>
  <c r="G23" i="62"/>
  <c r="AO107" i="5"/>
  <c r="BC138" i="5"/>
  <c r="AZ103" i="5"/>
  <c r="H48" i="62"/>
  <c r="AO142" i="5"/>
  <c r="AE71" i="5"/>
  <c r="BI212" i="5"/>
  <c r="BL169" i="5"/>
  <c r="AN69" i="5"/>
  <c r="AW255" i="5"/>
  <c r="BF161" i="5"/>
  <c r="AO106" i="5"/>
  <c r="AZ149" i="5"/>
  <c r="BC47" i="5"/>
  <c r="BI45" i="5"/>
  <c r="T212" i="5"/>
  <c r="BO72" i="5"/>
  <c r="BO193" i="5"/>
  <c r="AZ67" i="5"/>
  <c r="BF142" i="5"/>
  <c r="AN107" i="5"/>
  <c r="G25" i="66"/>
  <c r="H22" i="7"/>
  <c r="D38" i="7"/>
  <c r="AE144" i="5"/>
  <c r="U121" i="5"/>
  <c r="BL194" i="5"/>
  <c r="BR128" i="5"/>
  <c r="S120" i="5"/>
  <c r="BI248" i="5"/>
  <c r="T132" i="5"/>
  <c r="AN173" i="5"/>
  <c r="BC239" i="5"/>
  <c r="H43" i="70"/>
  <c r="AQ57" i="5"/>
  <c r="T198" i="5"/>
  <c r="AK238" i="5"/>
  <c r="S113" i="5"/>
  <c r="T33" i="5"/>
  <c r="R261" i="5"/>
  <c r="BI112" i="5"/>
  <c r="T261" i="5"/>
  <c r="AO48" i="5"/>
  <c r="AO259" i="5"/>
  <c r="AO209" i="5"/>
  <c r="W227" i="5"/>
  <c r="AT255" i="5"/>
  <c r="BI178" i="5"/>
  <c r="G47" i="62"/>
  <c r="H48" i="66"/>
  <c r="E177" i="5"/>
  <c r="BD11" i="5"/>
  <c r="BR177" i="5"/>
  <c r="AO57" i="5"/>
  <c r="AE108" i="5"/>
  <c r="BF259" i="5"/>
  <c r="AN200" i="5"/>
  <c r="BR40" i="5"/>
  <c r="U41" i="5"/>
  <c r="BI53" i="5"/>
  <c r="AQ187" i="5"/>
  <c r="H24" i="55"/>
  <c r="AE47" i="5"/>
  <c r="R105" i="5"/>
  <c r="AO228" i="5"/>
  <c r="AW124" i="5"/>
  <c r="AO42" i="5"/>
  <c r="U173" i="5"/>
  <c r="E49" i="5"/>
  <c r="AW145" i="5"/>
  <c r="AE151" i="5"/>
  <c r="AQ40" i="5"/>
  <c r="AK30" i="5"/>
  <c r="H36" i="64"/>
  <c r="AO95" i="5"/>
  <c r="AK42" i="5"/>
  <c r="T45" i="5"/>
  <c r="AO105" i="5"/>
  <c r="AT182" i="5"/>
  <c r="AK104" i="5"/>
  <c r="AO33" i="5"/>
  <c r="AN119" i="5"/>
  <c r="E217" i="5"/>
  <c r="BO89" i="5"/>
  <c r="AE320" i="5"/>
  <c r="BR107" i="5"/>
  <c r="BI259" i="5"/>
  <c r="R135" i="5"/>
  <c r="AT79" i="5"/>
  <c r="AW76" i="5"/>
  <c r="AO203" i="5"/>
  <c r="AW139" i="5"/>
  <c r="AF295" i="5"/>
  <c r="AQ234" i="5"/>
  <c r="E78" i="5"/>
  <c r="BO96" i="5"/>
  <c r="AQ134" i="5"/>
  <c r="AK144" i="5"/>
  <c r="AN248" i="5"/>
  <c r="T42" i="5"/>
  <c r="AK138" i="5"/>
  <c r="AT101" i="5"/>
  <c r="BI63" i="5"/>
  <c r="AK75" i="5"/>
  <c r="BF78" i="5"/>
  <c r="BC211" i="5"/>
  <c r="AE68" i="5"/>
  <c r="G64" i="70"/>
  <c r="U175" i="5"/>
  <c r="R185" i="5"/>
  <c r="AT88" i="5"/>
  <c r="AQ240" i="5"/>
  <c r="S42" i="5"/>
  <c r="AQ229" i="5"/>
  <c r="AT138" i="5"/>
  <c r="AW199" i="5"/>
  <c r="AN64" i="5"/>
  <c r="AR11" i="5"/>
  <c r="AO80" i="5"/>
  <c r="AQ124" i="5"/>
  <c r="S232" i="5"/>
  <c r="U156" i="5"/>
  <c r="AE332" i="5"/>
  <c r="G52" i="57"/>
  <c r="BF256" i="5"/>
  <c r="AQ48" i="5"/>
  <c r="AW159" i="5"/>
  <c r="U198" i="5"/>
  <c r="AN48" i="5"/>
  <c r="BC125" i="5"/>
  <c r="T177" i="5"/>
  <c r="AK168" i="5"/>
  <c r="AT246" i="5"/>
  <c r="U116" i="5"/>
  <c r="R122" i="5"/>
  <c r="R67" i="5"/>
  <c r="E157" i="5"/>
  <c r="AZ261" i="5"/>
  <c r="BL229" i="5"/>
  <c r="AF345" i="5"/>
  <c r="AE344" i="5"/>
  <c r="AW104" i="5"/>
  <c r="AT38" i="5"/>
  <c r="AQ65" i="5"/>
  <c r="AZ127" i="5"/>
  <c r="S193" i="5"/>
  <c r="H36" i="67"/>
  <c r="G37" i="55"/>
  <c r="BR80" i="5"/>
  <c r="BI238" i="5"/>
  <c r="BI96" i="5"/>
  <c r="AT222" i="5"/>
  <c r="AE296" i="5"/>
  <c r="BF53" i="5"/>
  <c r="H67" i="57"/>
  <c r="T47" i="5"/>
  <c r="AQ87" i="5"/>
  <c r="E102" i="5"/>
  <c r="AN209" i="5"/>
  <c r="AE127" i="5"/>
  <c r="AT49" i="5"/>
  <c r="BC247" i="5"/>
  <c r="BI48" i="5"/>
  <c r="H64" i="62"/>
  <c r="AE323" i="5"/>
  <c r="H25" i="7"/>
  <c r="BI137" i="5"/>
  <c r="E64" i="5"/>
  <c r="AF318" i="5"/>
  <c r="G16" i="53"/>
  <c r="T145" i="5"/>
  <c r="U78" i="5"/>
  <c r="BO186" i="5"/>
  <c r="E151" i="5"/>
  <c r="BC177" i="5"/>
  <c r="U199" i="5"/>
  <c r="AW249" i="5"/>
  <c r="AK165" i="5"/>
  <c r="BF140" i="5"/>
  <c r="AW259" i="5"/>
  <c r="U48" i="5"/>
  <c r="R260" i="5"/>
  <c r="S77" i="5"/>
  <c r="BC208" i="5"/>
  <c r="AN202" i="5"/>
  <c r="BR159" i="5"/>
  <c r="BL187" i="5"/>
  <c r="H60" i="66"/>
  <c r="G64" i="57"/>
  <c r="BF202" i="5"/>
  <c r="AO59" i="5"/>
  <c r="BF127" i="5"/>
  <c r="AT189" i="5"/>
  <c r="BR45" i="5"/>
  <c r="R232" i="5"/>
  <c r="BP11" i="5"/>
  <c r="AE319" i="5"/>
  <c r="BG12" i="5"/>
  <c r="AZ181" i="5"/>
  <c r="G51" i="53"/>
  <c r="AW133" i="5"/>
  <c r="AZ63" i="5"/>
  <c r="H36" i="66"/>
  <c r="AK73" i="5"/>
  <c r="BO210" i="5"/>
  <c r="BI158" i="5"/>
  <c r="U151" i="5"/>
  <c r="G16" i="64"/>
  <c r="BO51" i="5"/>
  <c r="BF69" i="5"/>
  <c r="U101" i="5"/>
  <c r="AQ81" i="5"/>
  <c r="BO81" i="5"/>
  <c r="BL35" i="5"/>
  <c r="E164" i="5"/>
  <c r="AO96" i="5"/>
  <c r="G48" i="66"/>
  <c r="S70" i="5"/>
  <c r="AE61" i="5"/>
  <c r="E70" i="5"/>
  <c r="AO163" i="5"/>
  <c r="G46" i="70"/>
  <c r="AN113" i="5"/>
  <c r="BC102" i="5"/>
  <c r="AZ246" i="5"/>
  <c r="BJ11" i="5"/>
  <c r="AQ45" i="5"/>
  <c r="E198" i="5"/>
  <c r="AT194" i="5"/>
  <c r="AO101" i="5"/>
  <c r="AW142" i="5"/>
  <c r="AZ151" i="5"/>
  <c r="BC58" i="5"/>
  <c r="BI254" i="5"/>
  <c r="T154" i="5"/>
  <c r="AE22" i="5"/>
  <c r="BF34" i="5"/>
  <c r="AE63" i="5"/>
  <c r="AQ96" i="5"/>
  <c r="T254" i="5"/>
  <c r="AK142" i="5"/>
  <c r="S250" i="5"/>
  <c r="BR122" i="5"/>
  <c r="AW59" i="5"/>
  <c r="BL261" i="5"/>
  <c r="S40" i="5"/>
  <c r="S201" i="5"/>
  <c r="H41" i="70"/>
  <c r="AN75" i="5"/>
  <c r="BR25" i="5"/>
  <c r="G19" i="55"/>
  <c r="H21" i="7"/>
  <c r="AT94" i="5"/>
  <c r="AK216" i="5"/>
  <c r="AK202" i="5"/>
  <c r="S109" i="5"/>
  <c r="AE311" i="5"/>
  <c r="AE240" i="5"/>
  <c r="BO76" i="5"/>
  <c r="AZ255" i="5"/>
  <c r="AK178" i="5"/>
  <c r="AN215" i="5"/>
  <c r="S191" i="5"/>
  <c r="AN199" i="5"/>
  <c r="AQ83" i="5"/>
  <c r="AZ125" i="5"/>
  <c r="H23" i="55"/>
  <c r="AN126" i="5"/>
  <c r="G51" i="55"/>
  <c r="AN80" i="5"/>
  <c r="E148" i="5"/>
  <c r="E13" i="64"/>
  <c r="BR156" i="5"/>
  <c r="AF314" i="5"/>
  <c r="AE214" i="5"/>
  <c r="R161" i="5"/>
  <c r="G47" i="57"/>
  <c r="AT36" i="5"/>
  <c r="AH331" i="5"/>
  <c r="E134" i="5"/>
  <c r="BC85" i="5"/>
  <c r="AH311" i="5"/>
  <c r="E216" i="5"/>
  <c r="AR14" i="5"/>
  <c r="G25" i="7"/>
  <c r="E182" i="5"/>
  <c r="G34" i="59"/>
  <c r="AE150" i="5"/>
  <c r="AK35" i="5"/>
  <c r="AE242" i="5"/>
  <c r="H46" i="51"/>
  <c r="AT191" i="5"/>
  <c r="AE252" i="5"/>
  <c r="AN74" i="5"/>
  <c r="H22" i="64"/>
  <c r="AK249" i="5"/>
  <c r="BO192" i="5"/>
  <c r="H46" i="64"/>
  <c r="AZ139" i="5"/>
  <c r="BL212" i="5"/>
  <c r="BF212" i="5"/>
  <c r="BL44" i="5"/>
  <c r="H52" i="67"/>
  <c r="T256" i="5"/>
  <c r="AQ203" i="5"/>
  <c r="S247" i="5"/>
  <c r="AE201" i="5"/>
  <c r="AO124" i="5"/>
  <c r="BO201" i="5"/>
  <c r="BI213" i="5"/>
  <c r="AF301" i="5"/>
  <c r="BC119" i="5"/>
  <c r="AE302" i="5"/>
  <c r="H43" i="64"/>
  <c r="BR102" i="5"/>
  <c r="T210" i="5"/>
  <c r="T89" i="5"/>
  <c r="BO113" i="5"/>
  <c r="R181" i="5"/>
  <c r="AO177" i="5"/>
  <c r="AT87" i="5"/>
  <c r="AN105" i="5"/>
  <c r="BR260" i="5"/>
  <c r="BR261" i="5"/>
  <c r="U248" i="5"/>
  <c r="AN265" i="5"/>
  <c r="BR51" i="5"/>
  <c r="AK263" i="5"/>
  <c r="BL213" i="5"/>
  <c r="U97" i="5"/>
  <c r="AN68" i="5"/>
  <c r="S218" i="5"/>
  <c r="AW261" i="5"/>
  <c r="R250" i="5"/>
  <c r="BR186" i="5"/>
  <c r="AN167" i="5"/>
  <c r="G41" i="55"/>
  <c r="U230" i="5"/>
  <c r="AQ112" i="5"/>
  <c r="AK121" i="5"/>
  <c r="H22" i="53"/>
  <c r="AE155" i="5"/>
  <c r="H46" i="53"/>
  <c r="AZ75" i="5"/>
  <c r="BF122" i="5"/>
  <c r="AO165" i="5"/>
  <c r="H20" i="67"/>
  <c r="G52" i="67"/>
  <c r="H16" i="55"/>
  <c r="S138" i="5"/>
  <c r="AT213" i="5"/>
  <c r="AQ143" i="5"/>
  <c r="T160" i="5"/>
  <c r="R46" i="5"/>
  <c r="AQ257" i="5"/>
  <c r="AK208" i="5"/>
  <c r="E26" i="5"/>
  <c r="BL203" i="5"/>
  <c r="BI160" i="5"/>
  <c r="BF64" i="5"/>
  <c r="AZ123" i="5"/>
  <c r="AK185" i="5"/>
  <c r="AT171" i="5"/>
  <c r="AK98" i="5"/>
  <c r="BL28" i="5"/>
  <c r="AQ198" i="5"/>
  <c r="BF47" i="5"/>
  <c r="AQ107" i="5"/>
  <c r="BI108" i="5"/>
  <c r="BL196" i="5"/>
  <c r="AK186" i="5"/>
  <c r="AQ184" i="5"/>
  <c r="E236" i="5"/>
  <c r="AF344" i="5"/>
  <c r="H35" i="59"/>
  <c r="BO73" i="5"/>
  <c r="AK63" i="5"/>
  <c r="BI257" i="5"/>
  <c r="H42" i="66"/>
  <c r="R217" i="5"/>
  <c r="BF156" i="5"/>
  <c r="E73" i="5"/>
  <c r="AO127" i="5"/>
  <c r="U241" i="5"/>
  <c r="H19" i="59"/>
  <c r="U190" i="5"/>
  <c r="BR33" i="5"/>
  <c r="H62" i="7"/>
  <c r="AK170" i="5"/>
  <c r="BI70" i="5"/>
  <c r="H42" i="59"/>
  <c r="G62" i="7"/>
  <c r="AF299" i="5"/>
  <c r="AN186" i="5"/>
  <c r="E36" i="5"/>
  <c r="U107" i="5"/>
  <c r="H20" i="53"/>
  <c r="AN32" i="5"/>
  <c r="AT71" i="5"/>
  <c r="W49" i="5"/>
  <c r="BR155" i="5"/>
  <c r="R70" i="5"/>
  <c r="AO246" i="5"/>
  <c r="BF77" i="5"/>
  <c r="S166" i="5"/>
  <c r="AE146" i="5"/>
  <c r="AK88" i="5"/>
  <c r="BC182" i="5"/>
  <c r="AZ141" i="5"/>
  <c r="BO231" i="5"/>
  <c r="AW102" i="5"/>
  <c r="AE38" i="5"/>
  <c r="AZ109" i="5"/>
  <c r="AT156" i="5"/>
  <c r="AW130" i="5"/>
  <c r="AQ108" i="5"/>
  <c r="AE40" i="5"/>
  <c r="AQ252" i="5"/>
  <c r="AO118" i="5"/>
  <c r="G27" i="70"/>
  <c r="AK151" i="5"/>
  <c r="BI119" i="5"/>
  <c r="H49" i="7"/>
  <c r="H42" i="70"/>
  <c r="AN203" i="5"/>
  <c r="AT89" i="5"/>
  <c r="T36" i="5"/>
  <c r="AK103" i="5"/>
  <c r="T229" i="5"/>
  <c r="AK177" i="5"/>
  <c r="AT214" i="5"/>
  <c r="BO230" i="5"/>
  <c r="H38" i="67"/>
  <c r="G32" i="59"/>
  <c r="AW224" i="5"/>
  <c r="H49" i="57"/>
  <c r="AN60" i="5"/>
  <c r="U228" i="5"/>
  <c r="R62" i="5"/>
  <c r="T24" i="5"/>
  <c r="AT256" i="5"/>
  <c r="T66" i="5"/>
  <c r="W248" i="5"/>
  <c r="R25" i="5"/>
  <c r="AT51" i="5"/>
  <c r="BR148" i="5"/>
  <c r="AF311" i="5"/>
  <c r="AT206" i="5"/>
  <c r="U161" i="5"/>
  <c r="AQ249" i="5"/>
  <c r="AW85" i="5"/>
  <c r="BF261" i="5"/>
  <c r="T27" i="5"/>
  <c r="AO258" i="5"/>
  <c r="U146" i="5"/>
  <c r="AN101" i="5"/>
  <c r="AH300" i="5"/>
  <c r="BI58" i="5"/>
  <c r="AW42" i="5"/>
  <c r="AT174" i="5"/>
  <c r="AW51" i="5"/>
  <c r="AQ41" i="5"/>
  <c r="AT192" i="5"/>
  <c r="U203" i="5"/>
  <c r="BF137" i="5"/>
  <c r="AN140" i="5"/>
  <c r="AK209" i="5"/>
  <c r="H59" i="53"/>
  <c r="BI106" i="5"/>
  <c r="BR165" i="5"/>
  <c r="BI78" i="5"/>
  <c r="AZ135" i="5"/>
  <c r="AK28" i="5"/>
  <c r="BR78" i="5"/>
  <c r="BC48" i="5"/>
  <c r="BC109" i="5"/>
  <c r="BD14" i="5"/>
  <c r="H37" i="59"/>
  <c r="H27" i="55"/>
  <c r="AT57" i="5"/>
  <c r="G49" i="70"/>
  <c r="BR79" i="5"/>
  <c r="AU12" i="5"/>
  <c r="AE254" i="5"/>
  <c r="G16" i="51"/>
  <c r="E119" i="5"/>
  <c r="BR169" i="5"/>
  <c r="AT60" i="5"/>
  <c r="BR191" i="5"/>
  <c r="BI138" i="5"/>
  <c r="E254" i="5"/>
  <c r="BL117" i="5"/>
  <c r="AO64" i="5"/>
  <c r="BF71" i="5"/>
  <c r="BO69" i="5"/>
  <c r="AE263" i="5"/>
  <c r="G58" i="62"/>
  <c r="R246" i="5"/>
  <c r="BR124" i="5"/>
  <c r="T230" i="5"/>
  <c r="AK231" i="5"/>
  <c r="AK145" i="5"/>
  <c r="AF337" i="5"/>
  <c r="AO148" i="5"/>
  <c r="AT141" i="5"/>
  <c r="G20" i="51"/>
  <c r="AO69" i="5"/>
  <c r="AK160" i="5"/>
  <c r="AN99" i="5"/>
  <c r="AZ140" i="5"/>
  <c r="AQ101" i="5"/>
  <c r="BR208" i="5"/>
  <c r="H24" i="51"/>
  <c r="BC161" i="5"/>
  <c r="AQ100" i="5"/>
  <c r="BO160" i="5"/>
  <c r="R193" i="5"/>
  <c r="AW137" i="5"/>
  <c r="AZ192" i="5"/>
  <c r="AK175" i="5"/>
  <c r="AZ203" i="5"/>
  <c r="AE140" i="5"/>
  <c r="S35" i="5"/>
  <c r="E109" i="5"/>
  <c r="AH295" i="5"/>
  <c r="E174" i="5"/>
  <c r="AK265" i="5"/>
  <c r="H16" i="51"/>
  <c r="AE338" i="5"/>
  <c r="AO213" i="5"/>
  <c r="AH343" i="5"/>
  <c r="E99" i="5"/>
  <c r="AW242" i="5"/>
  <c r="BR138" i="5"/>
  <c r="AN96" i="5"/>
  <c r="AT151" i="5"/>
  <c r="AE299" i="5"/>
  <c r="AK181" i="5"/>
  <c r="AO145" i="5"/>
  <c r="H32" i="53"/>
  <c r="AN176" i="5"/>
  <c r="AW78" i="5"/>
  <c r="R173" i="5"/>
  <c r="R96" i="5"/>
  <c r="AT158" i="5"/>
  <c r="BO213" i="5"/>
  <c r="AT47" i="5"/>
  <c r="AT65" i="5"/>
  <c r="AW260" i="5"/>
  <c r="AZ250" i="5"/>
  <c r="BI77" i="5"/>
  <c r="AE337" i="5"/>
  <c r="S127" i="5"/>
  <c r="G25" i="64"/>
  <c r="BF201" i="5"/>
  <c r="AQ238" i="5"/>
  <c r="E240" i="5"/>
  <c r="R148" i="5"/>
  <c r="U191" i="5"/>
  <c r="BC121" i="5"/>
  <c r="E172" i="5"/>
  <c r="S208" i="5"/>
  <c r="H19" i="66"/>
  <c r="AK101" i="5"/>
  <c r="BF171" i="5"/>
  <c r="AO72" i="5"/>
  <c r="W255" i="5"/>
  <c r="AZ102" i="5"/>
  <c r="E32" i="5"/>
  <c r="U196" i="5"/>
  <c r="BC261" i="5"/>
  <c r="E192" i="5"/>
  <c r="BF159" i="5"/>
  <c r="U43" i="5"/>
  <c r="AT172" i="5"/>
  <c r="BO71" i="5"/>
  <c r="AN112" i="5"/>
  <c r="AO174" i="5"/>
  <c r="AW169" i="5"/>
  <c r="E128" i="5"/>
  <c r="BO229" i="5"/>
  <c r="BF85" i="5"/>
  <c r="T131" i="5"/>
  <c r="T69" i="5"/>
  <c r="R75" i="5"/>
  <c r="BI111" i="5"/>
  <c r="AQ140" i="5"/>
  <c r="U79" i="5"/>
  <c r="AK53" i="5"/>
  <c r="BF260" i="5"/>
  <c r="AK157" i="5"/>
  <c r="G48" i="57"/>
  <c r="G35" i="59"/>
  <c r="BC94" i="5"/>
  <c r="U33" i="5"/>
  <c r="BR144" i="5"/>
  <c r="T137" i="5"/>
  <c r="T181" i="5"/>
  <c r="AE101" i="5"/>
  <c r="AE213" i="5"/>
  <c r="H26" i="70"/>
  <c r="AQ120" i="5"/>
  <c r="T139" i="5"/>
  <c r="AO265" i="5"/>
  <c r="AU14" i="5"/>
  <c r="BO148" i="5"/>
  <c r="AW97" i="5"/>
  <c r="AN252" i="5"/>
  <c r="S213" i="5"/>
  <c r="BI239" i="5"/>
  <c r="BR151" i="5"/>
  <c r="AZ161" i="5"/>
  <c r="AK239" i="5"/>
  <c r="S135" i="5"/>
  <c r="AO186" i="5"/>
  <c r="AF323" i="5"/>
  <c r="U122" i="5"/>
  <c r="BL138" i="5"/>
  <c r="AK224" i="5"/>
  <c r="BO35" i="5"/>
  <c r="AT203" i="5"/>
  <c r="AZ138" i="5"/>
  <c r="AE231" i="5"/>
  <c r="BO106" i="5"/>
  <c r="BC200" i="5"/>
  <c r="BR100" i="5"/>
  <c r="BO45" i="5"/>
  <c r="AT248" i="5"/>
  <c r="AN135" i="5"/>
  <c r="AW71" i="5"/>
  <c r="BF65" i="5"/>
  <c r="AO49" i="5"/>
  <c r="AW105" i="5"/>
  <c r="E38" i="5"/>
  <c r="AZ122" i="5"/>
  <c r="T159" i="5"/>
  <c r="AW107" i="5"/>
  <c r="AE82" i="5"/>
  <c r="G27" i="64"/>
  <c r="BI228" i="5"/>
  <c r="W261" i="5"/>
  <c r="BO168" i="5"/>
  <c r="E51" i="5"/>
  <c r="AQ256" i="5"/>
  <c r="BO103" i="5"/>
  <c r="G20" i="64"/>
  <c r="H43" i="67"/>
  <c r="R214" i="5"/>
  <c r="AE74" i="5"/>
  <c r="R85" i="5"/>
  <c r="AE49" i="5"/>
  <c r="BC135" i="5"/>
  <c r="E110" i="5"/>
  <c r="H37" i="51"/>
  <c r="T124" i="5"/>
  <c r="BC231" i="5"/>
  <c r="BC132" i="5"/>
  <c r="BO122" i="5"/>
  <c r="BO137" i="5"/>
  <c r="BL211" i="5"/>
  <c r="G40" i="55"/>
  <c r="G59" i="53"/>
  <c r="S73" i="5"/>
  <c r="BF135" i="5"/>
  <c r="AN257" i="5"/>
  <c r="U60" i="5"/>
  <c r="AT84" i="5"/>
  <c r="AN163" i="5"/>
  <c r="U164" i="5"/>
  <c r="BO254" i="5"/>
  <c r="G37" i="67"/>
  <c r="R201" i="5"/>
  <c r="AK118" i="5"/>
  <c r="R256" i="5"/>
  <c r="BF145" i="5"/>
  <c r="U159" i="5"/>
  <c r="G42" i="64"/>
  <c r="U105" i="5"/>
  <c r="H35" i="57"/>
  <c r="AT104" i="5"/>
  <c r="U243" i="5"/>
  <c r="BO36" i="5"/>
  <c r="AE173" i="5"/>
  <c r="BR109" i="5"/>
  <c r="AH332" i="5"/>
  <c r="T116" i="5"/>
  <c r="G53" i="57"/>
  <c r="AK130" i="5"/>
  <c r="AE81" i="5"/>
  <c r="R231" i="5"/>
  <c r="AT173" i="5"/>
  <c r="BR146" i="5"/>
  <c r="AE55" i="5"/>
  <c r="G35" i="64"/>
  <c r="AK134" i="5"/>
  <c r="AE351" i="5"/>
  <c r="G20" i="7"/>
  <c r="T248" i="5"/>
  <c r="AN166" i="5"/>
  <c r="AK213" i="5"/>
  <c r="AE247" i="5"/>
  <c r="AZ256" i="5"/>
  <c r="T62" i="5"/>
  <c r="BL110" i="5"/>
  <c r="E159" i="5"/>
  <c r="BR182" i="5"/>
  <c r="BF183" i="5"/>
  <c r="H50" i="57"/>
  <c r="BR123" i="5"/>
  <c r="U87" i="5"/>
  <c r="U93" i="5"/>
  <c r="E135" i="5"/>
  <c r="G36" i="51"/>
  <c r="R109" i="5"/>
  <c r="R257" i="5"/>
  <c r="AT81" i="5"/>
  <c r="AE145" i="5"/>
  <c r="W240" i="5"/>
  <c r="AN174" i="5"/>
  <c r="AN63" i="5"/>
  <c r="BL58" i="5"/>
  <c r="AF329" i="5"/>
  <c r="AO222" i="5"/>
  <c r="E96" i="5"/>
  <c r="BF66" i="5"/>
  <c r="AE265" i="5"/>
  <c r="AO218" i="5"/>
  <c r="U237" i="5"/>
  <c r="AN127" i="5"/>
  <c r="AK146" i="5"/>
  <c r="H43" i="51"/>
  <c r="AO41" i="5"/>
  <c r="AZ209" i="5"/>
  <c r="R118" i="5"/>
  <c r="BL89" i="5"/>
  <c r="T195" i="5"/>
  <c r="T168" i="5"/>
  <c r="AW77" i="5"/>
  <c r="BF228" i="5"/>
  <c r="BL87" i="5"/>
  <c r="G27" i="59"/>
  <c r="BL77" i="5"/>
  <c r="AQ128" i="5"/>
  <c r="R157" i="5"/>
  <c r="E33" i="5"/>
  <c r="AW74" i="5"/>
  <c r="G36" i="64"/>
  <c r="AH352" i="5"/>
  <c r="AO82" i="5"/>
  <c r="BF143" i="5"/>
  <c r="AO184" i="5"/>
  <c r="BI94" i="5"/>
  <c r="T191" i="5"/>
  <c r="AQ151" i="5"/>
  <c r="BO146" i="5"/>
  <c r="AL12" i="5"/>
  <c r="BC156" i="5"/>
  <c r="BC189" i="5" l="1"/>
  <c r="BD156" i="5"/>
  <c r="BP146" i="5"/>
  <c r="AR151" i="5"/>
  <c r="T323" i="5"/>
  <c r="T206" i="5"/>
  <c r="BJ94" i="5"/>
  <c r="AL184" i="5"/>
  <c r="AJ184" i="5"/>
  <c r="BG143" i="5"/>
  <c r="AJ82" i="5"/>
  <c r="AL82" i="5"/>
  <c r="AX74" i="5"/>
  <c r="R319" i="5"/>
  <c r="AR128" i="5"/>
  <c r="BM77" i="5"/>
  <c r="BM87" i="5"/>
  <c r="BG228" i="5"/>
  <c r="AX77" i="5"/>
  <c r="BM89" i="5"/>
  <c r="BA209" i="5"/>
  <c r="BS41" i="5"/>
  <c r="AL41" i="5"/>
  <c r="AJ41" i="5"/>
  <c r="AJ218" i="5"/>
  <c r="AL218" i="5"/>
  <c r="AG265" i="5"/>
  <c r="BG66" i="5"/>
  <c r="BM58" i="5"/>
  <c r="X240" i="5"/>
  <c r="AG145" i="5"/>
  <c r="AH145" i="5" s="1"/>
  <c r="AU81" i="5"/>
  <c r="BS123" i="5"/>
  <c r="BG183" i="5"/>
  <c r="BS182" i="5"/>
  <c r="BM110" i="5"/>
  <c r="BA256" i="5"/>
  <c r="AG247" i="5"/>
  <c r="AH247" i="5" s="1"/>
  <c r="AG55" i="5"/>
  <c r="AH55" i="5" s="1"/>
  <c r="BS146" i="5"/>
  <c r="AG81" i="5"/>
  <c r="AH81" i="5" s="1"/>
  <c r="BS109" i="5"/>
  <c r="AG173" i="5"/>
  <c r="AH173" i="5" s="1"/>
  <c r="AU104" i="5"/>
  <c r="BG145" i="5"/>
  <c r="BP254" i="5"/>
  <c r="BO263" i="5"/>
  <c r="BP263" i="5" s="1"/>
  <c r="AU84" i="5"/>
  <c r="BG135" i="5"/>
  <c r="BM211" i="5"/>
  <c r="BP137" i="5"/>
  <c r="BP122" i="5"/>
  <c r="BD132" i="5"/>
  <c r="BC153" i="5"/>
  <c r="BD231" i="5"/>
  <c r="BD135" i="5"/>
  <c r="AG74" i="5"/>
  <c r="AH74" i="5" s="1"/>
  <c r="BP103" i="5"/>
  <c r="AR256" i="5"/>
  <c r="BP168" i="5"/>
  <c r="X261" i="5"/>
  <c r="BJ228" i="5"/>
  <c r="AG82" i="5"/>
  <c r="AH82" i="5" s="1"/>
  <c r="AX107" i="5"/>
  <c r="BA122" i="5"/>
  <c r="AX105" i="5"/>
  <c r="BS49" i="5"/>
  <c r="AJ49" i="5"/>
  <c r="AL49" i="5"/>
  <c r="BG65" i="5"/>
  <c r="AX71" i="5"/>
  <c r="AU248" i="5"/>
  <c r="BP45" i="5"/>
  <c r="BM45" i="5" s="1"/>
  <c r="BS100" i="5"/>
  <c r="BD200" i="5"/>
  <c r="BP106" i="5"/>
  <c r="AG231" i="5"/>
  <c r="AH231" i="5" s="1"/>
  <c r="BA138" i="5"/>
  <c r="AU203" i="5"/>
  <c r="BP35" i="5"/>
  <c r="BM35" i="5" s="1"/>
  <c r="AK225" i="5"/>
  <c r="BM138" i="5"/>
  <c r="AL186" i="5"/>
  <c r="AJ186" i="5"/>
  <c r="BA161" i="5"/>
  <c r="BS151" i="5"/>
  <c r="BJ239" i="5"/>
  <c r="AX97" i="5"/>
  <c r="BP148" i="5"/>
  <c r="AO270" i="5"/>
  <c r="AR120" i="5"/>
  <c r="AG213" i="5"/>
  <c r="AH213" i="5" s="1"/>
  <c r="AG101" i="5"/>
  <c r="AH101" i="5" s="1"/>
  <c r="BS144" i="5"/>
  <c r="BD94" i="5"/>
  <c r="BG260" i="5"/>
  <c r="AK54" i="5"/>
  <c r="AR140" i="5"/>
  <c r="BJ111" i="5"/>
  <c r="BG85" i="5"/>
  <c r="BP229" i="5"/>
  <c r="AX169" i="5"/>
  <c r="AJ174" i="5"/>
  <c r="AL174" i="5"/>
  <c r="BP71" i="5"/>
  <c r="BG159" i="5"/>
  <c r="BD261" i="5"/>
  <c r="BA102" i="5"/>
  <c r="X255" i="5"/>
  <c r="AJ72" i="5"/>
  <c r="AL72" i="5"/>
  <c r="BG171" i="5"/>
  <c r="S220" i="5"/>
  <c r="S329" i="5"/>
  <c r="W329" i="5" s="1"/>
  <c r="AG329" i="5" s="1"/>
  <c r="BD121" i="5"/>
  <c r="U206" i="5"/>
  <c r="U323" i="5"/>
  <c r="AR238" i="5"/>
  <c r="BG201" i="5"/>
  <c r="BJ77" i="5"/>
  <c r="BA250" i="5"/>
  <c r="AX260" i="5"/>
  <c r="AU65" i="5"/>
  <c r="AU47" i="5"/>
  <c r="BP213" i="5"/>
  <c r="AU158" i="5"/>
  <c r="R320" i="5"/>
  <c r="AX78" i="5"/>
  <c r="AL145" i="5"/>
  <c r="AJ145" i="5"/>
  <c r="AU151" i="5"/>
  <c r="BS138" i="5"/>
  <c r="AX242" i="5"/>
  <c r="AJ213" i="5"/>
  <c r="AL213" i="5"/>
  <c r="AK270" i="5"/>
  <c r="AG140" i="5"/>
  <c r="AH140" i="5" s="1"/>
  <c r="BA203" i="5"/>
  <c r="BA192" i="5"/>
  <c r="AX137" i="5"/>
  <c r="BP160" i="5"/>
  <c r="AR100" i="5"/>
  <c r="BD161" i="5"/>
  <c r="BS208" i="5"/>
  <c r="AR101" i="5"/>
  <c r="BA140" i="5"/>
  <c r="AL69" i="5"/>
  <c r="AJ69" i="5"/>
  <c r="AU141" i="5"/>
  <c r="AJ148" i="5"/>
  <c r="AL148" i="5"/>
  <c r="BS124" i="5"/>
  <c r="R252" i="5"/>
  <c r="R343" i="5"/>
  <c r="AG263" i="5"/>
  <c r="AH263" i="5" s="1"/>
  <c r="AE264" i="5"/>
  <c r="AG264" i="5" s="1"/>
  <c r="BP69" i="5"/>
  <c r="BG71" i="5"/>
  <c r="AL64" i="5"/>
  <c r="AJ64" i="5"/>
  <c r="BL130" i="5"/>
  <c r="BM117" i="5"/>
  <c r="BJ138" i="5"/>
  <c r="BS191" i="5"/>
  <c r="BR206" i="5"/>
  <c r="BS206" i="5" s="1"/>
  <c r="AU60" i="5"/>
  <c r="BS169" i="5"/>
  <c r="AG254" i="5"/>
  <c r="AH254" i="5" s="1"/>
  <c r="BS79" i="5"/>
  <c r="AU57" i="5"/>
  <c r="BD109" i="5"/>
  <c r="BD48" i="5"/>
  <c r="BS78" i="5"/>
  <c r="BA135" i="5"/>
  <c r="BJ78" i="5"/>
  <c r="BS165" i="5"/>
  <c r="BJ106" i="5"/>
  <c r="BG137" i="5"/>
  <c r="AU192" i="5"/>
  <c r="AR41" i="5"/>
  <c r="AX51" i="5"/>
  <c r="AU174" i="5"/>
  <c r="AX42" i="5"/>
  <c r="BJ58" i="5"/>
  <c r="AJ258" i="5"/>
  <c r="AL258" i="5"/>
  <c r="BG261" i="5"/>
  <c r="AX85" i="5"/>
  <c r="AR249" i="5"/>
  <c r="BS148" i="5"/>
  <c r="AU51" i="5"/>
  <c r="X248" i="5"/>
  <c r="AU256" i="5"/>
  <c r="T30" i="5"/>
  <c r="AW225" i="5"/>
  <c r="BP230" i="5"/>
  <c r="AU214" i="5"/>
  <c r="AU89" i="5"/>
  <c r="BJ119" i="5"/>
  <c r="AJ118" i="5"/>
  <c r="AL118" i="5"/>
  <c r="AR108" i="5"/>
  <c r="AU156" i="5"/>
  <c r="BA109" i="5"/>
  <c r="AX102" i="5"/>
  <c r="BP231" i="5"/>
  <c r="BA141" i="5"/>
  <c r="BD182" i="5"/>
  <c r="AG146" i="5"/>
  <c r="AH146" i="5" s="1"/>
  <c r="BG77" i="5"/>
  <c r="AJ246" i="5"/>
  <c r="AL246" i="5"/>
  <c r="BS155" i="5"/>
  <c r="X49" i="5"/>
  <c r="AU71" i="5"/>
  <c r="U302" i="5"/>
  <c r="BJ70" i="5"/>
  <c r="AJ127" i="5"/>
  <c r="AL127" i="5"/>
  <c r="BG156" i="5"/>
  <c r="BF189" i="5"/>
  <c r="BJ257" i="5"/>
  <c r="BP73" i="5"/>
  <c r="AG344" i="5"/>
  <c r="AR184" i="5"/>
  <c r="BM196" i="5"/>
  <c r="BJ108" i="5"/>
  <c r="AR107" i="5"/>
  <c r="BG47" i="5"/>
  <c r="AR198" i="5"/>
  <c r="AU171" i="5"/>
  <c r="BA123" i="5"/>
  <c r="BG64" i="5"/>
  <c r="BJ160" i="5"/>
  <c r="BM203" i="5"/>
  <c r="AR257" i="5"/>
  <c r="AR143" i="5"/>
  <c r="AU213" i="5"/>
  <c r="AJ165" i="5"/>
  <c r="AL165" i="5"/>
  <c r="BG122" i="5"/>
  <c r="BA75" i="5"/>
  <c r="AG155" i="5"/>
  <c r="AH155" i="5" s="1"/>
  <c r="AR112" i="5"/>
  <c r="BS186" i="5"/>
  <c r="AX261" i="5"/>
  <c r="BM213" i="5"/>
  <c r="AN270" i="5"/>
  <c r="BS261" i="5"/>
  <c r="BS260" i="5"/>
  <c r="AU87" i="5"/>
  <c r="AL177" i="5"/>
  <c r="AJ177" i="5"/>
  <c r="BP113" i="5"/>
  <c r="T329" i="5"/>
  <c r="BS102" i="5"/>
  <c r="BD119" i="5"/>
  <c r="BJ213" i="5"/>
  <c r="BP201" i="5"/>
  <c r="AJ124" i="5"/>
  <c r="AL124" i="5"/>
  <c r="AG201" i="5"/>
  <c r="AH201" i="5" s="1"/>
  <c r="AR203" i="5"/>
  <c r="BG212" i="5"/>
  <c r="BM212" i="5"/>
  <c r="BA139" i="5"/>
  <c r="BP192" i="5"/>
  <c r="AG252" i="5"/>
  <c r="AH252" i="5" s="1"/>
  <c r="AU191" i="5"/>
  <c r="AU206" i="5" s="1"/>
  <c r="AG242" i="5"/>
  <c r="AH242" i="5" s="1"/>
  <c r="AG150" i="5"/>
  <c r="AH150" i="5" s="1"/>
  <c r="BD85" i="5"/>
  <c r="AG214" i="5"/>
  <c r="AH214" i="5" s="1"/>
  <c r="AG314" i="5"/>
  <c r="BS156" i="5"/>
  <c r="BR189" i="5"/>
  <c r="BS189" i="5" s="1"/>
  <c r="BA125" i="5"/>
  <c r="AR83" i="5"/>
  <c r="S206" i="5"/>
  <c r="S323" i="5"/>
  <c r="W323" i="5" s="1"/>
  <c r="AG323" i="5" s="1"/>
  <c r="BA255" i="5"/>
  <c r="BP76" i="5"/>
  <c r="AG240" i="5"/>
  <c r="AH240" i="5" s="1"/>
  <c r="AU94" i="5"/>
  <c r="BM261" i="5"/>
  <c r="AX59" i="5"/>
  <c r="BS122" i="5"/>
  <c r="T263" i="5"/>
  <c r="T349" i="5"/>
  <c r="AR96" i="5"/>
  <c r="AG63" i="5"/>
  <c r="AH63" i="5" s="1"/>
  <c r="AG22" i="5"/>
  <c r="AH22" i="5" s="1"/>
  <c r="AF22" i="5"/>
  <c r="BI263" i="5"/>
  <c r="BJ263" i="5" s="1"/>
  <c r="BJ254" i="5"/>
  <c r="BD58" i="5"/>
  <c r="BA151" i="5"/>
  <c r="AX142" i="5"/>
  <c r="AL101" i="5"/>
  <c r="AJ101" i="5"/>
  <c r="AU194" i="5"/>
  <c r="AR45" i="5"/>
  <c r="BA246" i="5"/>
  <c r="BA252" i="5" s="1"/>
  <c r="AZ252" i="5"/>
  <c r="BD102" i="5"/>
  <c r="AL163" i="5"/>
  <c r="AJ163" i="5"/>
  <c r="AG61" i="5"/>
  <c r="AH61" i="5" s="1"/>
  <c r="AL96" i="5"/>
  <c r="AJ96" i="5"/>
  <c r="BP81" i="5"/>
  <c r="AR81" i="5"/>
  <c r="BG69" i="5"/>
  <c r="BP51" i="5"/>
  <c r="BM51" i="5" s="1"/>
  <c r="BJ158" i="5"/>
  <c r="BP210" i="5"/>
  <c r="BA63" i="5"/>
  <c r="AX133" i="5"/>
  <c r="BA181" i="5"/>
  <c r="BG127" i="5"/>
  <c r="AJ59" i="5"/>
  <c r="AL59" i="5"/>
  <c r="BG202" i="5"/>
  <c r="BM187" i="5"/>
  <c r="BL220" i="5"/>
  <c r="BS159" i="5"/>
  <c r="BD208" i="5"/>
  <c r="AX259" i="5"/>
  <c r="BG140" i="5"/>
  <c r="AX249" i="5"/>
  <c r="BD177" i="5"/>
  <c r="BP186" i="5"/>
  <c r="AG318" i="5"/>
  <c r="BJ137" i="5"/>
  <c r="BJ48" i="5"/>
  <c r="BD247" i="5"/>
  <c r="AU49" i="5"/>
  <c r="AG127" i="5"/>
  <c r="AH127" i="5" s="1"/>
  <c r="AR87" i="5"/>
  <c r="BG53" i="5"/>
  <c r="BI99" i="5"/>
  <c r="BJ99" i="5" s="1"/>
  <c r="BJ96" i="5"/>
  <c r="BJ238" i="5"/>
  <c r="BI242" i="5"/>
  <c r="BJ242" i="5" s="1"/>
  <c r="BS80" i="5"/>
  <c r="BA127" i="5"/>
  <c r="AR65" i="5"/>
  <c r="AX104" i="5"/>
  <c r="AG345" i="5"/>
  <c r="BM229" i="5"/>
  <c r="BA261" i="5"/>
  <c r="AU246" i="5"/>
  <c r="BD125" i="5"/>
  <c r="AX159" i="5"/>
  <c r="AR48" i="5"/>
  <c r="BG256" i="5"/>
  <c r="U317" i="5"/>
  <c r="AR124" i="5"/>
  <c r="AL80" i="5"/>
  <c r="AJ80" i="5"/>
  <c r="AX199" i="5"/>
  <c r="AU138" i="5"/>
  <c r="AR229" i="5"/>
  <c r="AR240" i="5"/>
  <c r="AU88" i="5"/>
  <c r="AG68" i="5"/>
  <c r="AH68" i="5" s="1"/>
  <c r="BD211" i="5"/>
  <c r="BG78" i="5"/>
  <c r="BJ63" i="5"/>
  <c r="AU101" i="5"/>
  <c r="AR134" i="5"/>
  <c r="BP96" i="5"/>
  <c r="AR234" i="5"/>
  <c r="AX139" i="5"/>
  <c r="AL203" i="5"/>
  <c r="AJ203" i="5"/>
  <c r="AX76" i="5"/>
  <c r="AU79" i="5"/>
  <c r="BJ259" i="5"/>
  <c r="BS107" i="5"/>
  <c r="BP89" i="5"/>
  <c r="AL33" i="5"/>
  <c r="AJ33" i="5"/>
  <c r="AU182" i="5"/>
  <c r="AL105" i="5"/>
  <c r="AJ105" i="5"/>
  <c r="AL95" i="5"/>
  <c r="AJ95" i="5"/>
  <c r="AR40" i="5"/>
  <c r="AG151" i="5"/>
  <c r="AH151" i="5" s="1"/>
  <c r="AX145" i="5"/>
  <c r="U320" i="5"/>
  <c r="AJ42" i="5"/>
  <c r="BS42" i="5"/>
  <c r="AL42" i="5"/>
  <c r="AX124" i="5"/>
  <c r="AJ228" i="5"/>
  <c r="AL228" i="5"/>
  <c r="AR187" i="5"/>
  <c r="BJ53" i="5"/>
  <c r="BG259" i="5"/>
  <c r="AG108" i="5"/>
  <c r="AH108" i="5" s="1"/>
  <c r="AL57" i="5"/>
  <c r="AJ57" i="5"/>
  <c r="BS177" i="5"/>
  <c r="BJ178" i="5"/>
  <c r="AU255" i="5"/>
  <c r="W234" i="5"/>
  <c r="W236" i="5" s="1"/>
  <c r="X227" i="5"/>
  <c r="X234" i="5" s="1"/>
  <c r="X236" i="5" s="1"/>
  <c r="AJ209" i="5"/>
  <c r="AL209" i="5"/>
  <c r="AJ259" i="5"/>
  <c r="AL259" i="5"/>
  <c r="AJ48" i="5"/>
  <c r="BS48" i="5"/>
  <c r="AL48" i="5"/>
  <c r="BJ112" i="5"/>
  <c r="T38" i="5"/>
  <c r="AR57" i="5"/>
  <c r="BD239" i="5"/>
  <c r="T311" i="5"/>
  <c r="T153" i="5"/>
  <c r="BJ248" i="5"/>
  <c r="BS128" i="5"/>
  <c r="BM194" i="5"/>
  <c r="AG144" i="5"/>
  <c r="AH144" i="5" s="1"/>
  <c r="B38" i="7"/>
  <c r="C38" i="7"/>
  <c r="A38" i="7"/>
  <c r="BG142" i="5"/>
  <c r="BA67" i="5"/>
  <c r="BP193" i="5"/>
  <c r="BP72" i="5"/>
  <c r="T331" i="5"/>
  <c r="W331" i="5" s="1"/>
  <c r="AG331" i="5" s="1"/>
  <c r="BJ45" i="5"/>
  <c r="BD47" i="5"/>
  <c r="BA149" i="5"/>
  <c r="AJ106" i="5"/>
  <c r="AL106" i="5"/>
  <c r="BG161" i="5"/>
  <c r="AX255" i="5"/>
  <c r="BM169" i="5"/>
  <c r="BJ212" i="5"/>
  <c r="AG71" i="5"/>
  <c r="AH71" i="5" s="1"/>
  <c r="AJ142" i="5"/>
  <c r="AL142" i="5"/>
  <c r="BA103" i="5"/>
  <c r="BD138" i="5"/>
  <c r="AL107" i="5"/>
  <c r="AJ107" i="5"/>
  <c r="BM260" i="5"/>
  <c r="BG162" i="5"/>
  <c r="BJ201" i="5"/>
  <c r="AU167" i="5"/>
  <c r="BD65" i="5"/>
  <c r="AN92" i="5"/>
  <c r="AN223" i="5" s="1"/>
  <c r="BD96" i="5"/>
  <c r="BC99" i="5"/>
  <c r="BD99" i="5" s="1"/>
  <c r="AU109" i="5"/>
  <c r="AR247" i="5"/>
  <c r="BG250" i="5"/>
  <c r="AX112" i="5"/>
  <c r="BG146" i="5"/>
  <c r="BP195" i="5"/>
  <c r="AR160" i="5"/>
  <c r="BP159" i="5"/>
  <c r="AU261" i="5"/>
  <c r="AU96" i="5"/>
  <c r="BA64" i="5"/>
  <c r="T130" i="5"/>
  <c r="T305" i="5"/>
  <c r="BD120" i="5"/>
  <c r="BP94" i="5"/>
  <c r="AR181" i="5"/>
  <c r="BS164" i="5"/>
  <c r="BD44" i="5"/>
  <c r="BG203" i="5"/>
  <c r="BA183" i="5"/>
  <c r="BJ203" i="5"/>
  <c r="BP41" i="5"/>
  <c r="BM41" i="5" s="1"/>
  <c r="BA74" i="5"/>
  <c r="AX30" i="5"/>
  <c r="AG77" i="5"/>
  <c r="AH77" i="5" s="1"/>
  <c r="BD230" i="5"/>
  <c r="AU97" i="5"/>
  <c r="BP120" i="5"/>
  <c r="AG306" i="5"/>
  <c r="BS126" i="5"/>
  <c r="AX203" i="5"/>
  <c r="BA195" i="5"/>
  <c r="AR261" i="5"/>
  <c r="BJ46" i="5"/>
  <c r="AL66" i="5"/>
  <c r="AJ66" i="5"/>
  <c r="BO115" i="5"/>
  <c r="BP95" i="5"/>
  <c r="BS258" i="5"/>
  <c r="AG130" i="5"/>
  <c r="AE131" i="5"/>
  <c r="AG131" i="5" s="1"/>
  <c r="BD86" i="5"/>
  <c r="BJ229" i="5"/>
  <c r="AR164" i="5"/>
  <c r="BD137" i="5"/>
  <c r="AU227" i="5"/>
  <c r="AG270" i="5"/>
  <c r="BL252" i="5"/>
  <c r="BM252" i="5" s="1"/>
  <c r="BM246" i="5"/>
  <c r="BJ81" i="5"/>
  <c r="BD57" i="5"/>
  <c r="BC91" i="5"/>
  <c r="BP176" i="5"/>
  <c r="BJ181" i="5"/>
  <c r="AL53" i="5"/>
  <c r="AJ53" i="5"/>
  <c r="AX86" i="5"/>
  <c r="BS71" i="5"/>
  <c r="AR44" i="5"/>
  <c r="BI252" i="5"/>
  <c r="BJ252" i="5" s="1"/>
  <c r="BJ246" i="5"/>
  <c r="BA168" i="5"/>
  <c r="BM176" i="5"/>
  <c r="BD107" i="5"/>
  <c r="AJ252" i="5"/>
  <c r="AL252" i="5"/>
  <c r="AR38" i="5"/>
  <c r="AG227" i="5"/>
  <c r="AH227" i="5" s="1"/>
  <c r="AR239" i="5"/>
  <c r="BJ247" i="5"/>
  <c r="BP43" i="5"/>
  <c r="BM43" i="5" s="1"/>
  <c r="BD170" i="5"/>
  <c r="AR75" i="5"/>
  <c r="AU98" i="5"/>
  <c r="BJ110" i="5"/>
  <c r="BD101" i="5"/>
  <c r="BG67" i="5"/>
  <c r="AG325" i="5"/>
  <c r="BS73" i="5"/>
  <c r="BG43" i="5"/>
  <c r="BG111" i="5"/>
  <c r="BP191" i="5"/>
  <c r="BP206" i="5" s="1"/>
  <c r="BO206" i="5"/>
  <c r="U115" i="5"/>
  <c r="U299" i="5"/>
  <c r="AX229" i="5"/>
  <c r="AL73" i="5"/>
  <c r="AJ73" i="5"/>
  <c r="AR35" i="5"/>
  <c r="BJ194" i="5"/>
  <c r="BD180" i="5"/>
  <c r="AJ58" i="5"/>
  <c r="AL58" i="5"/>
  <c r="S293" i="5"/>
  <c r="W293" i="5" s="1"/>
  <c r="AG293" i="5" s="1"/>
  <c r="S91" i="5"/>
  <c r="BM197" i="5"/>
  <c r="BM156" i="5"/>
  <c r="BL189" i="5"/>
  <c r="BJ62" i="5"/>
  <c r="AX123" i="5"/>
  <c r="BR252" i="5"/>
  <c r="BS252" i="5" s="1"/>
  <c r="BS246" i="5"/>
  <c r="BO153" i="5"/>
  <c r="BP132" i="5"/>
  <c r="BG248" i="5"/>
  <c r="BG94" i="5"/>
  <c r="AG230" i="5"/>
  <c r="AH230" i="5" s="1"/>
  <c r="BJ180" i="5"/>
  <c r="BJ35" i="5"/>
  <c r="AL158" i="5"/>
  <c r="AJ158" i="5"/>
  <c r="BD167" i="5"/>
  <c r="BD87" i="5"/>
  <c r="BM71" i="5"/>
  <c r="BD136" i="5"/>
  <c r="BA128" i="5"/>
  <c r="AX64" i="5"/>
  <c r="BJ171" i="5"/>
  <c r="AR71" i="5"/>
  <c r="BG106" i="5"/>
  <c r="AX48" i="5"/>
  <c r="BG102" i="5"/>
  <c r="AJ104" i="5"/>
  <c r="AL104" i="5"/>
  <c r="AU145" i="5"/>
  <c r="AG53" i="5"/>
  <c r="AE54" i="5"/>
  <c r="BM82" i="5"/>
  <c r="BA136" i="5"/>
  <c r="BD163" i="5"/>
  <c r="AR196" i="5"/>
  <c r="BP61" i="5"/>
  <c r="AJ86" i="5"/>
  <c r="AL86" i="5"/>
  <c r="BI206" i="5"/>
  <c r="BJ191" i="5"/>
  <c r="BJ206" i="5" s="1"/>
  <c r="AL211" i="5"/>
  <c r="AJ211" i="5"/>
  <c r="AX230" i="5"/>
  <c r="BJ127" i="5"/>
  <c r="T343" i="5"/>
  <c r="T252" i="5"/>
  <c r="BD213" i="5"/>
  <c r="AG182" i="5"/>
  <c r="AH182" i="5" s="1"/>
  <c r="U234" i="5"/>
  <c r="U337" i="5"/>
  <c r="AR250" i="5"/>
  <c r="BM103" i="5"/>
  <c r="U263" i="5"/>
  <c r="U349" i="5"/>
  <c r="BD117" i="5"/>
  <c r="BC130" i="5"/>
  <c r="BJ85" i="5"/>
  <c r="BM183" i="5"/>
  <c r="AG64" i="5"/>
  <c r="AH64" i="5" s="1"/>
  <c r="AL110" i="5"/>
  <c r="AJ110" i="5"/>
  <c r="BP212" i="5"/>
  <c r="BM101" i="5"/>
  <c r="BJ232" i="5"/>
  <c r="BD259" i="5"/>
  <c r="AG228" i="5"/>
  <c r="AH228" i="5" s="1"/>
  <c r="BG160" i="5"/>
  <c r="AX216" i="5"/>
  <c r="BP102" i="5"/>
  <c r="AX113" i="5"/>
  <c r="BM111" i="5"/>
  <c r="BS163" i="5"/>
  <c r="BA72" i="5"/>
  <c r="BJ120" i="5"/>
  <c r="AG113" i="5"/>
  <c r="AH113" i="5" s="1"/>
  <c r="BA77" i="5"/>
  <c r="S301" i="5"/>
  <c r="W301" i="5" s="1"/>
  <c r="AG301" i="5" s="1"/>
  <c r="AU259" i="5"/>
  <c r="BD62" i="5"/>
  <c r="BG118" i="5"/>
  <c r="BD104" i="5"/>
  <c r="AX122" i="5"/>
  <c r="AX151" i="5"/>
  <c r="BG133" i="5"/>
  <c r="AR36" i="5"/>
  <c r="AL103" i="5"/>
  <c r="AJ103" i="5"/>
  <c r="AU32" i="5"/>
  <c r="AU38" i="5" s="1"/>
  <c r="R220" i="5"/>
  <c r="R329" i="5"/>
  <c r="BJ98" i="5"/>
  <c r="R242" i="5"/>
  <c r="BG134" i="5"/>
  <c r="AG216" i="5"/>
  <c r="AH216" i="5" s="1"/>
  <c r="BD260" i="5"/>
  <c r="AG180" i="5"/>
  <c r="AH180" i="5" s="1"/>
  <c r="BJ133" i="5"/>
  <c r="X43" i="5"/>
  <c r="BA260" i="5"/>
  <c r="AU55" i="5"/>
  <c r="BP98" i="5"/>
  <c r="BP217" i="5"/>
  <c r="AQ225" i="5"/>
  <c r="BA213" i="5"/>
  <c r="AU44" i="5"/>
  <c r="AX57" i="5"/>
  <c r="BP70" i="5"/>
  <c r="AU132" i="5"/>
  <c r="AL150" i="5"/>
  <c r="AJ150" i="5"/>
  <c r="BA60" i="5"/>
  <c r="BS81" i="5"/>
  <c r="BD216" i="5"/>
  <c r="BM142" i="5"/>
  <c r="BA137" i="5"/>
  <c r="X239" i="5"/>
  <c r="AU144" i="5"/>
  <c r="BM119" i="5"/>
  <c r="BM136" i="5"/>
  <c r="AU200" i="5"/>
  <c r="BJ183" i="5"/>
  <c r="BM133" i="5"/>
  <c r="BP214" i="5"/>
  <c r="BP64" i="5"/>
  <c r="BG88" i="5"/>
  <c r="BI189" i="5"/>
  <c r="BJ156" i="5"/>
  <c r="BD53" i="5"/>
  <c r="AX256" i="5"/>
  <c r="AG175" i="5"/>
  <c r="AH175" i="5" s="1"/>
  <c r="BD97" i="5"/>
  <c r="BJ124" i="5"/>
  <c r="BJ145" i="5"/>
  <c r="AL28" i="5"/>
  <c r="AJ28" i="5"/>
  <c r="BM201" i="5"/>
  <c r="BJ126" i="5"/>
  <c r="BM106" i="5"/>
  <c r="BD209" i="5"/>
  <c r="BD66" i="5"/>
  <c r="AG30" i="5"/>
  <c r="AR173" i="5"/>
  <c r="BJ174" i="5"/>
  <c r="AG340" i="5"/>
  <c r="AX141" i="5"/>
  <c r="BG60" i="5"/>
  <c r="AG326" i="5"/>
  <c r="AX181" i="5"/>
  <c r="BG101" i="5"/>
  <c r="AR211" i="5"/>
  <c r="BS121" i="5"/>
  <c r="AG215" i="5"/>
  <c r="AH215" i="5" s="1"/>
  <c r="BD147" i="5"/>
  <c r="BA164" i="5"/>
  <c r="BM84" i="5"/>
  <c r="AR176" i="5"/>
  <c r="AX58" i="5"/>
  <c r="AG258" i="5"/>
  <c r="AH258" i="5" s="1"/>
  <c r="AX41" i="5"/>
  <c r="BD123" i="5"/>
  <c r="BD196" i="5"/>
  <c r="AU185" i="5"/>
  <c r="AL87" i="5"/>
  <c r="AJ87" i="5"/>
  <c r="AR62" i="5"/>
  <c r="S294" i="5"/>
  <c r="W294" i="5" s="1"/>
  <c r="AG294" i="5" s="1"/>
  <c r="BA133" i="5"/>
  <c r="BA175" i="5"/>
  <c r="BM161" i="5"/>
  <c r="BS133" i="5"/>
  <c r="X259" i="5"/>
  <c r="BG180" i="5"/>
  <c r="BM140" i="5"/>
  <c r="AJ170" i="5"/>
  <c r="AL170" i="5"/>
  <c r="BA144" i="5"/>
  <c r="BJ184" i="5"/>
  <c r="BJ69" i="5"/>
  <c r="BG46" i="5"/>
  <c r="BA81" i="5"/>
  <c r="AG91" i="5"/>
  <c r="AE93" i="5"/>
  <c r="AE92" i="5"/>
  <c r="AG92" i="5" s="1"/>
  <c r="AU198" i="5"/>
  <c r="AG65" i="5"/>
  <c r="AH65" i="5" s="1"/>
  <c r="BS257" i="5"/>
  <c r="U296" i="5"/>
  <c r="AJ125" i="5"/>
  <c r="AL125" i="5"/>
  <c r="BG216" i="5"/>
  <c r="BP134" i="5"/>
  <c r="BG227" i="5"/>
  <c r="BF234" i="5"/>
  <c r="BG234" i="5" s="1"/>
  <c r="BM127" i="5"/>
  <c r="BG231" i="5"/>
  <c r="AR63" i="5"/>
  <c r="AR246" i="5"/>
  <c r="AR78" i="5"/>
  <c r="BP74" i="5"/>
  <c r="AJ166" i="5"/>
  <c r="AG153" i="5"/>
  <c r="AE154" i="5"/>
  <c r="AG154" i="5" s="1"/>
  <c r="AU143" i="5"/>
  <c r="BP99" i="5"/>
  <c r="BJ142" i="5"/>
  <c r="BM105" i="5"/>
  <c r="BJ163" i="5"/>
  <c r="BM80" i="5"/>
  <c r="BA107" i="5"/>
  <c r="BM65" i="5"/>
  <c r="AR95" i="5"/>
  <c r="F206" i="5"/>
  <c r="L206" i="5"/>
  <c r="J206" i="5"/>
  <c r="H206" i="5"/>
  <c r="M206" i="5"/>
  <c r="O206" i="5"/>
  <c r="AJ206" i="5" s="1"/>
  <c r="I206" i="5"/>
  <c r="K206" i="5"/>
  <c r="G206" i="5"/>
  <c r="AG115" i="5"/>
  <c r="AE116" i="5"/>
  <c r="AG116" i="5" s="1"/>
  <c r="BA112" i="5"/>
  <c r="BJ217" i="5"/>
  <c r="BP126" i="5"/>
  <c r="T293" i="5"/>
  <c r="T91" i="5"/>
  <c r="BP165" i="5"/>
  <c r="BS111" i="5"/>
  <c r="BR242" i="5"/>
  <c r="BS242" i="5" s="1"/>
  <c r="BS238" i="5"/>
  <c r="AU193" i="5"/>
  <c r="AX237" i="5"/>
  <c r="BS85" i="5"/>
  <c r="BS192" i="5"/>
  <c r="BA121" i="5"/>
  <c r="AG147" i="5"/>
  <c r="AH147" i="5" s="1"/>
  <c r="AX167" i="5"/>
  <c r="BS59" i="5"/>
  <c r="BM75" i="5"/>
  <c r="AG211" i="5"/>
  <c r="AH211" i="5" s="1"/>
  <c r="BM68" i="5"/>
  <c r="BJ57" i="5"/>
  <c r="BI91" i="5"/>
  <c r="BM113" i="5"/>
  <c r="AR192" i="5"/>
  <c r="AU136" i="5"/>
  <c r="BM217" i="5"/>
  <c r="BP179" i="5"/>
  <c r="BG211" i="5"/>
  <c r="AU257" i="5"/>
  <c r="AG202" i="5"/>
  <c r="AH202" i="5" s="1"/>
  <c r="BP151" i="5"/>
  <c r="BJ60" i="5"/>
  <c r="AH334" i="5"/>
  <c r="AG99" i="5"/>
  <c r="AH99" i="5" s="1"/>
  <c r="AU250" i="5"/>
  <c r="BM64" i="5"/>
  <c r="BM192" i="5"/>
  <c r="AX53" i="5"/>
  <c r="AJ181" i="5"/>
  <c r="AL181" i="5"/>
  <c r="BA201" i="5"/>
  <c r="BA211" i="5"/>
  <c r="BM215" i="5"/>
  <c r="BG167" i="5"/>
  <c r="BA142" i="5"/>
  <c r="AG104" i="5"/>
  <c r="AH104" i="5" s="1"/>
  <c r="BP194" i="5"/>
  <c r="BA143" i="5"/>
  <c r="BD186" i="5"/>
  <c r="BA100" i="5"/>
  <c r="BM150" i="5"/>
  <c r="AR149" i="5"/>
  <c r="AX263" i="5"/>
  <c r="BJ215" i="5"/>
  <c r="BC252" i="5"/>
  <c r="BD252" i="5" s="1"/>
  <c r="BD246" i="5"/>
  <c r="AX201" i="5"/>
  <c r="BD143" i="5"/>
  <c r="AX209" i="5"/>
  <c r="BG70" i="5"/>
  <c r="BP232" i="5"/>
  <c r="AG121" i="5"/>
  <c r="AH121" i="5" s="1"/>
  <c r="AR82" i="5"/>
  <c r="T317" i="5"/>
  <c r="BG169" i="5"/>
  <c r="BP118" i="5"/>
  <c r="BM135" i="5"/>
  <c r="R30" i="5"/>
  <c r="BJ95" i="5"/>
  <c r="BI115" i="5"/>
  <c r="S263" i="5"/>
  <c r="S349" i="5"/>
  <c r="W349" i="5" s="1"/>
  <c r="AG349" i="5" s="1"/>
  <c r="BJ104" i="5"/>
  <c r="BG74" i="5"/>
  <c r="BA185" i="5"/>
  <c r="AR186" i="5"/>
  <c r="AX231" i="5"/>
  <c r="BS65" i="5"/>
  <c r="AJ191" i="5"/>
  <c r="AL191" i="5"/>
  <c r="AL206" i="5" s="1"/>
  <c r="AX158" i="5"/>
  <c r="AG246" i="5"/>
  <c r="AH246" i="5" s="1"/>
  <c r="AU150" i="5"/>
  <c r="AG255" i="5"/>
  <c r="AH255" i="5" s="1"/>
  <c r="BG42" i="5"/>
  <c r="AU208" i="5"/>
  <c r="BG136" i="5"/>
  <c r="AU113" i="5"/>
  <c r="BS87" i="5"/>
  <c r="BS98" i="5"/>
  <c r="AG210" i="5"/>
  <c r="AH210" i="5" s="1"/>
  <c r="BS196" i="5"/>
  <c r="U38" i="5"/>
  <c r="AU142" i="5"/>
  <c r="BS232" i="5"/>
  <c r="S311" i="5"/>
  <c r="W311" i="5" s="1"/>
  <c r="AG311" i="5" s="1"/>
  <c r="S153" i="5"/>
  <c r="AG181" i="5"/>
  <c r="AH181" i="5" s="1"/>
  <c r="BD169" i="5"/>
  <c r="AG194" i="5"/>
  <c r="AH194" i="5" s="1"/>
  <c r="BP57" i="5"/>
  <c r="BO91" i="5"/>
  <c r="BM59" i="5"/>
  <c r="AJ202" i="5"/>
  <c r="AL202" i="5"/>
  <c r="AU147" i="5"/>
  <c r="BJ140" i="5"/>
  <c r="S305" i="5"/>
  <c r="W305" i="5" s="1"/>
  <c r="AG305" i="5" s="1"/>
  <c r="S130" i="5"/>
  <c r="T296" i="5"/>
  <c r="AX213" i="5"/>
  <c r="AU108" i="5"/>
  <c r="BG105" i="5"/>
  <c r="AG69" i="5"/>
  <c r="AH69" i="5" s="1"/>
  <c r="AG122" i="5"/>
  <c r="AH122" i="5" s="1"/>
  <c r="BG124" i="5"/>
  <c r="AN242" i="5"/>
  <c r="BD88" i="5"/>
  <c r="AG58" i="5"/>
  <c r="AH58" i="5" s="1"/>
  <c r="BP104" i="5"/>
  <c r="AX174" i="5"/>
  <c r="BM210" i="5"/>
  <c r="BJ147" i="5"/>
  <c r="BS113" i="5"/>
  <c r="AU165" i="5"/>
  <c r="BG150" i="5"/>
  <c r="BS57" i="5"/>
  <c r="BR91" i="5"/>
  <c r="BS91" i="5" s="1"/>
  <c r="BA158" i="5"/>
  <c r="BD98" i="5"/>
  <c r="AL100" i="5"/>
  <c r="AJ100" i="5"/>
  <c r="BP110" i="5"/>
  <c r="AL26" i="5"/>
  <c r="BS26" i="5"/>
  <c r="AJ26" i="5"/>
  <c r="U295" i="5"/>
  <c r="BP143" i="5"/>
  <c r="AG186" i="5"/>
  <c r="AH186" i="5" s="1"/>
  <c r="AG159" i="5"/>
  <c r="AH159" i="5" s="1"/>
  <c r="BD178" i="5"/>
  <c r="BP216" i="5"/>
  <c r="BG178" i="5"/>
  <c r="AU95" i="5"/>
  <c r="AZ220" i="5"/>
  <c r="BA187" i="5"/>
  <c r="BA220" i="5" s="1"/>
  <c r="AG136" i="5"/>
  <c r="AH136" i="5" s="1"/>
  <c r="AR111" i="5"/>
  <c r="AX61" i="5"/>
  <c r="AR158" i="5"/>
  <c r="AX170" i="5"/>
  <c r="BJ143" i="5"/>
  <c r="AX149" i="5"/>
  <c r="AX247" i="5"/>
  <c r="BS149" i="5"/>
  <c r="AX211" i="5"/>
  <c r="AR263" i="5"/>
  <c r="BM171" i="5"/>
  <c r="BD103" i="5"/>
  <c r="AR113" i="5"/>
  <c r="AX67" i="5"/>
  <c r="AX202" i="5"/>
  <c r="BG249" i="5"/>
  <c r="BM146" i="5"/>
  <c r="AJ99" i="5"/>
  <c r="AL99" i="5"/>
  <c r="BS143" i="5"/>
  <c r="BM231" i="5"/>
  <c r="X256" i="5"/>
  <c r="BJ162" i="5"/>
  <c r="BG239" i="5"/>
  <c r="AG95" i="5"/>
  <c r="AH95" i="5" s="1"/>
  <c r="AU183" i="5"/>
  <c r="BG55" i="5"/>
  <c r="BM193" i="5"/>
  <c r="AG128" i="5"/>
  <c r="AH128" i="5" s="1"/>
  <c r="BA258" i="5"/>
  <c r="AU100" i="5"/>
  <c r="AR97" i="5"/>
  <c r="BM200" i="5"/>
  <c r="AJ261" i="5"/>
  <c r="AL261" i="5"/>
  <c r="AX180" i="5"/>
  <c r="BP144" i="5"/>
  <c r="BJ101" i="5"/>
  <c r="BG174" i="5"/>
  <c r="BG158" i="5"/>
  <c r="AG84" i="5"/>
  <c r="AH84" i="5" s="1"/>
  <c r="AG330" i="5"/>
  <c r="AG239" i="5"/>
  <c r="AH239" i="5" s="1"/>
  <c r="BA70" i="5"/>
  <c r="BD150" i="5"/>
  <c r="BP240" i="5"/>
  <c r="BP200" i="5"/>
  <c r="AL250" i="5"/>
  <c r="AJ250" i="5"/>
  <c r="AU179" i="5"/>
  <c r="BM257" i="5"/>
  <c r="BS136" i="5"/>
  <c r="AR161" i="5"/>
  <c r="BA134" i="5"/>
  <c r="AX195" i="5"/>
  <c r="AX164" i="5"/>
  <c r="AX126" i="5"/>
  <c r="AU66" i="5"/>
  <c r="AJ81" i="5"/>
  <c r="AL81" i="5"/>
  <c r="AR201" i="5"/>
  <c r="AG85" i="5"/>
  <c r="AH85" i="5" s="1"/>
  <c r="BS58" i="5"/>
  <c r="U294" i="5"/>
  <c r="AX132" i="5"/>
  <c r="AJ139" i="5"/>
  <c r="AL139" i="5"/>
  <c r="BD162" i="5"/>
  <c r="BP161" i="5"/>
  <c r="U319" i="5"/>
  <c r="BD100" i="5"/>
  <c r="BD139" i="5"/>
  <c r="AJ78" i="5"/>
  <c r="AL78" i="5"/>
  <c r="BG68" i="5"/>
  <c r="AU86" i="5"/>
  <c r="AJ147" i="5"/>
  <c r="AL147" i="5"/>
  <c r="BA184" i="5"/>
  <c r="AG209" i="5"/>
  <c r="AH209" i="5" s="1"/>
  <c r="R302" i="5"/>
  <c r="AJ157" i="5"/>
  <c r="BP48" i="5"/>
  <c r="BM48" i="5" s="1"/>
  <c r="AR172" i="5"/>
  <c r="BS180" i="5"/>
  <c r="AU240" i="5"/>
  <c r="AJ155" i="5"/>
  <c r="AL155" i="5"/>
  <c r="BG155" i="5"/>
  <c r="BJ150" i="5"/>
  <c r="AJ144" i="5"/>
  <c r="AL144" i="5"/>
  <c r="AX156" i="5"/>
  <c r="AX60" i="5"/>
  <c r="BJ198" i="5"/>
  <c r="T301" i="5"/>
  <c r="AX101" i="5"/>
  <c r="BA86" i="5"/>
  <c r="AR216" i="5"/>
  <c r="AX183" i="5"/>
  <c r="AX155" i="5"/>
  <c r="BD165" i="5"/>
  <c r="BS255" i="5"/>
  <c r="AG350" i="5"/>
  <c r="BA58" i="5"/>
  <c r="AJ260" i="5"/>
  <c r="AL260" i="5"/>
  <c r="S242" i="5"/>
  <c r="X47" i="5"/>
  <c r="BA196" i="5"/>
  <c r="AR64" i="5"/>
  <c r="A17" i="7"/>
  <c r="C17" i="7"/>
  <c r="B17" i="7"/>
  <c r="AG117" i="5"/>
  <c r="AH117" i="5" s="1"/>
  <c r="BP142" i="5"/>
  <c r="BS213" i="5"/>
  <c r="BS97" i="5"/>
  <c r="BP162" i="5"/>
  <c r="BD134" i="5"/>
  <c r="AG70" i="5"/>
  <c r="AH70" i="5" s="1"/>
  <c r="AJ255" i="5"/>
  <c r="AL255" i="5"/>
  <c r="BG147" i="5"/>
  <c r="BS167" i="5"/>
  <c r="BA126" i="5"/>
  <c r="AJ229" i="5"/>
  <c r="AL229" i="5"/>
  <c r="BM72" i="5"/>
  <c r="AL111" i="5"/>
  <c r="AJ111" i="5"/>
  <c r="AX94" i="5"/>
  <c r="AG166" i="5"/>
  <c r="AH166" i="5" s="1"/>
  <c r="BA43" i="5"/>
  <c r="BS83" i="5"/>
  <c r="AR84" i="5"/>
  <c r="BG232" i="5"/>
  <c r="BM256" i="5"/>
  <c r="BM120" i="5"/>
  <c r="BA180" i="5"/>
  <c r="T115" i="5"/>
  <c r="T299" i="5"/>
  <c r="AG157" i="5"/>
  <c r="AH157" i="5" s="1"/>
  <c r="AU76" i="5"/>
  <c r="BG200" i="5"/>
  <c r="AG89" i="5"/>
  <c r="AH89" i="5" s="1"/>
  <c r="AU155" i="5"/>
  <c r="AX258" i="5"/>
  <c r="AR202" i="5"/>
  <c r="BD193" i="5"/>
  <c r="BD175" i="5"/>
  <c r="AX198" i="5"/>
  <c r="BG186" i="5"/>
  <c r="J130" i="5"/>
  <c r="M130" i="5"/>
  <c r="G130" i="5"/>
  <c r="F130" i="5"/>
  <c r="K130" i="5"/>
  <c r="I130" i="5"/>
  <c r="L130" i="5"/>
  <c r="H130" i="5"/>
  <c r="O130" i="5"/>
  <c r="BS103" i="5"/>
  <c r="AU68" i="5"/>
  <c r="AJ30" i="5"/>
  <c r="AL30" i="5"/>
  <c r="AR200" i="5"/>
  <c r="AR193" i="5"/>
  <c r="BJ196" i="5"/>
  <c r="BJ159" i="5"/>
  <c r="BG81" i="5"/>
  <c r="AG88" i="5"/>
  <c r="AH88" i="5" s="1"/>
  <c r="AX120" i="5"/>
  <c r="BS68" i="5"/>
  <c r="AR59" i="5"/>
  <c r="BG257" i="5"/>
  <c r="AG80" i="5"/>
  <c r="AH80" i="5" s="1"/>
  <c r="BM62" i="5"/>
  <c r="BP97" i="5"/>
  <c r="BJ211" i="5"/>
  <c r="BS183" i="5"/>
  <c r="AG238" i="5"/>
  <c r="AH238" i="5" s="1"/>
  <c r="BD258" i="5"/>
  <c r="BA198" i="5"/>
  <c r="BJ105" i="5"/>
  <c r="BS161" i="5"/>
  <c r="BP239" i="5"/>
  <c r="B44" i="7"/>
  <c r="A44" i="7"/>
  <c r="C44" i="7"/>
  <c r="BJ100" i="5"/>
  <c r="AU117" i="5"/>
  <c r="BG113" i="5"/>
  <c r="AG192" i="5"/>
  <c r="AH192" i="5" s="1"/>
  <c r="AU41" i="5"/>
  <c r="BM145" i="5"/>
  <c r="AX243" i="5"/>
  <c r="BJ83" i="5"/>
  <c r="AR242" i="5"/>
  <c r="BS104" i="5"/>
  <c r="BM227" i="5"/>
  <c r="BL234" i="5"/>
  <c r="BM234" i="5" s="1"/>
  <c r="BD197" i="5"/>
  <c r="BG229" i="5"/>
  <c r="BG194" i="5"/>
  <c r="BA83" i="5"/>
  <c r="BM199" i="5"/>
  <c r="BM81" i="5"/>
  <c r="BS61" i="5"/>
  <c r="AX109" i="5"/>
  <c r="AG324" i="5"/>
  <c r="BM165" i="5"/>
  <c r="BM170" i="5"/>
  <c r="AU161" i="5"/>
  <c r="BG209" i="5"/>
  <c r="R115" i="5"/>
  <c r="R299" i="5"/>
  <c r="R301" i="5"/>
  <c r="AU175" i="5"/>
  <c r="AU69" i="5"/>
  <c r="BO189" i="5"/>
  <c r="BP156" i="5"/>
  <c r="BA104" i="5"/>
  <c r="BA212" i="5"/>
  <c r="AJ232" i="5"/>
  <c r="AL232" i="5"/>
  <c r="BM124" i="5"/>
  <c r="AG195" i="5"/>
  <c r="AH195" i="5" s="1"/>
  <c r="BS179" i="5"/>
  <c r="AX176" i="5"/>
  <c r="AL176" i="5"/>
  <c r="AJ176" i="5"/>
  <c r="BG107" i="5"/>
  <c r="BD174" i="5"/>
  <c r="AG143" i="5"/>
  <c r="AH143" i="5" s="1"/>
  <c r="AR248" i="5"/>
  <c r="BM149" i="5"/>
  <c r="BM218" i="5"/>
  <c r="BA239" i="5"/>
  <c r="BM57" i="5"/>
  <c r="BL91" i="5"/>
  <c r="BS118" i="5"/>
  <c r="BM107" i="5"/>
  <c r="AG339" i="5"/>
  <c r="BM180" i="5"/>
  <c r="BA68" i="5"/>
  <c r="AQ92" i="5"/>
  <c r="BP109" i="5"/>
  <c r="AQ270" i="5"/>
  <c r="BM181" i="5"/>
  <c r="BA193" i="5"/>
  <c r="AU169" i="5"/>
  <c r="BG109" i="5"/>
  <c r="AU126" i="5"/>
  <c r="BM63" i="5"/>
  <c r="AG165" i="5"/>
  <c r="AH165" i="5" s="1"/>
  <c r="BS215" i="5"/>
  <c r="BS69" i="5"/>
  <c r="BS150" i="5"/>
  <c r="BJ168" i="5"/>
  <c r="AU46" i="5"/>
  <c r="BA232" i="5"/>
  <c r="AU75" i="5"/>
  <c r="BJ231" i="5"/>
  <c r="T302" i="5"/>
  <c r="AG164" i="5"/>
  <c r="AH164" i="5" s="1"/>
  <c r="AL79" i="5"/>
  <c r="AJ79" i="5"/>
  <c r="X254" i="5"/>
  <c r="X263" i="5" s="1"/>
  <c r="W263" i="5"/>
  <c r="BJ76" i="5"/>
  <c r="X258" i="5"/>
  <c r="AU34" i="5"/>
  <c r="AX128" i="5"/>
  <c r="BJ227" i="5"/>
  <c r="BI234" i="5"/>
  <c r="BJ234" i="5" s="1"/>
  <c r="BP177" i="5"/>
  <c r="BA34" i="5"/>
  <c r="BA38" i="5" s="1"/>
  <c r="BA249" i="5"/>
  <c r="BP111" i="5"/>
  <c r="BF263" i="5"/>
  <c r="BG263" i="5" s="1"/>
  <c r="BG254" i="5"/>
  <c r="AX197" i="5"/>
  <c r="AX121" i="5"/>
  <c r="AX108" i="5"/>
  <c r="BP250" i="5"/>
  <c r="BA113" i="5"/>
  <c r="BP68" i="5"/>
  <c r="BM122" i="5"/>
  <c r="BG175" i="5"/>
  <c r="BD149" i="5"/>
  <c r="AG346" i="5"/>
  <c r="AU199" i="5"/>
  <c r="AU107" i="5"/>
  <c r="BJ151" i="5"/>
  <c r="BD82" i="5"/>
  <c r="AX72" i="5"/>
  <c r="AL85" i="5"/>
  <c r="AJ85" i="5"/>
  <c r="AJ122" i="5"/>
  <c r="AL122" i="5"/>
  <c r="AG139" i="5"/>
  <c r="AH139" i="5" s="1"/>
  <c r="BJ200" i="5"/>
  <c r="BG49" i="5"/>
  <c r="BG96" i="5"/>
  <c r="BF99" i="5"/>
  <c r="BG99" i="5" s="1"/>
  <c r="BD148" i="5"/>
  <c r="AG100" i="5"/>
  <c r="AH100" i="5" s="1"/>
  <c r="AO225" i="5"/>
  <c r="AX182" i="5"/>
  <c r="BG50" i="5"/>
  <c r="AX80" i="5"/>
  <c r="AU249" i="5"/>
  <c r="BS216" i="5"/>
  <c r="BP187" i="5"/>
  <c r="BO220" i="5"/>
  <c r="BD111" i="5"/>
  <c r="BD113" i="5"/>
  <c r="AL240" i="5"/>
  <c r="AJ240" i="5"/>
  <c r="AR103" i="5"/>
  <c r="BP181" i="5"/>
  <c r="BM208" i="5"/>
  <c r="AU123" i="5"/>
  <c r="AX44" i="5"/>
  <c r="BJ164" i="5"/>
  <c r="BJ86" i="5"/>
  <c r="BP58" i="5"/>
  <c r="BG184" i="5"/>
  <c r="BJ255" i="5"/>
  <c r="AJ171" i="5"/>
  <c r="AL171" i="5"/>
  <c r="AL200" i="5"/>
  <c r="AJ200" i="5"/>
  <c r="AU62" i="5"/>
  <c r="AX192" i="5"/>
  <c r="BJ240" i="5"/>
  <c r="AN225" i="5"/>
  <c r="BM259" i="5"/>
  <c r="BG123" i="5"/>
  <c r="BA247" i="5"/>
  <c r="BD254" i="5"/>
  <c r="BC263" i="5"/>
  <c r="BD263" i="5" s="1"/>
  <c r="AJ183" i="5"/>
  <c r="AL183" i="5"/>
  <c r="BP138" i="5"/>
  <c r="BJ50" i="5"/>
  <c r="BD195" i="5"/>
  <c r="BM112" i="5"/>
  <c r="BD77" i="5"/>
  <c r="AR43" i="5"/>
  <c r="W242" i="5"/>
  <c r="X238" i="5"/>
  <c r="X242" i="5" s="1"/>
  <c r="AX98" i="5"/>
  <c r="BJ117" i="5"/>
  <c r="BI130" i="5"/>
  <c r="AU211" i="5"/>
  <c r="BP125" i="5"/>
  <c r="BS160" i="5"/>
  <c r="AJ94" i="5"/>
  <c r="AL94" i="5"/>
  <c r="AU120" i="5"/>
  <c r="AR104" i="5"/>
  <c r="BA186" i="5"/>
  <c r="AX117" i="5"/>
  <c r="BJ210" i="5"/>
  <c r="BG120" i="5"/>
  <c r="AE225" i="5"/>
  <c r="AG225" i="5" s="1"/>
  <c r="AG224" i="5"/>
  <c r="AU85" i="5"/>
  <c r="BS135" i="5"/>
  <c r="BD79" i="5"/>
  <c r="AX66" i="5"/>
  <c r="AX88" i="5"/>
  <c r="AG75" i="5"/>
  <c r="AH75" i="5" s="1"/>
  <c r="AX111" i="5"/>
  <c r="BP133" i="5"/>
  <c r="BS229" i="5"/>
  <c r="AJ156" i="5"/>
  <c r="AL156" i="5"/>
  <c r="BA259" i="5"/>
  <c r="BJ230" i="5"/>
  <c r="AX127" i="5"/>
  <c r="BP209" i="5"/>
  <c r="BS99" i="5"/>
  <c r="BG213" i="5"/>
  <c r="AX62" i="5"/>
  <c r="BG164" i="5"/>
  <c r="AJ117" i="5"/>
  <c r="AL117" i="5"/>
  <c r="BA84" i="5"/>
  <c r="X231" i="5"/>
  <c r="AR126" i="5"/>
  <c r="AR69" i="5"/>
  <c r="BS175" i="5"/>
  <c r="AR180" i="5"/>
  <c r="BJ74" i="5"/>
  <c r="AU197" i="5"/>
  <c r="BA165" i="5"/>
  <c r="BJ64" i="5"/>
  <c r="BJ59" i="5"/>
  <c r="AX89" i="5"/>
  <c r="AX254" i="5"/>
  <c r="BS141" i="5"/>
  <c r="BD232" i="5"/>
  <c r="BM126" i="5"/>
  <c r="BM61" i="5"/>
  <c r="BM195" i="5"/>
  <c r="BS120" i="5"/>
  <c r="BD106" i="5"/>
  <c r="BJ68" i="5"/>
  <c r="AX50" i="5"/>
  <c r="AL83" i="5"/>
  <c r="AJ83" i="5"/>
  <c r="BA257" i="5"/>
  <c r="AX106" i="5"/>
  <c r="AG156" i="5"/>
  <c r="AH156" i="5" s="1"/>
  <c r="BM79" i="5"/>
  <c r="BD128" i="5"/>
  <c r="BD249" i="5"/>
  <c r="BA76" i="5"/>
  <c r="BM76" i="5"/>
  <c r="BA159" i="5"/>
  <c r="F115" i="5"/>
  <c r="H115" i="5"/>
  <c r="M115" i="5"/>
  <c r="P115" i="5"/>
  <c r="I115" i="5"/>
  <c r="J115" i="5"/>
  <c r="K115" i="5"/>
  <c r="G115" i="5"/>
  <c r="O115" i="5"/>
  <c r="L115" i="5"/>
  <c r="BS185" i="5"/>
  <c r="BA85" i="5"/>
  <c r="S337" i="5"/>
  <c r="W337" i="5" s="1"/>
  <c r="AG337" i="5" s="1"/>
  <c r="S234" i="5"/>
  <c r="AL167" i="5"/>
  <c r="AJ167" i="5"/>
  <c r="AU119" i="5"/>
  <c r="AR217" i="5"/>
  <c r="AJ173" i="5"/>
  <c r="BD42" i="5"/>
  <c r="AL194" i="5"/>
  <c r="AJ194" i="5"/>
  <c r="BD84" i="5"/>
  <c r="AJ185" i="5"/>
  <c r="AL185" i="5"/>
  <c r="AG184" i="5"/>
  <c r="AH184" i="5" s="1"/>
  <c r="BS108" i="5"/>
  <c r="AG222" i="5"/>
  <c r="BD133" i="5"/>
  <c r="BL263" i="5"/>
  <c r="BM263" i="5" s="1"/>
  <c r="BM254" i="5"/>
  <c r="BM239" i="5"/>
  <c r="R130" i="5"/>
  <c r="R305" i="5"/>
  <c r="BA194" i="5"/>
  <c r="BJ192" i="5"/>
  <c r="AG103" i="5"/>
  <c r="AH103" i="5" s="1"/>
  <c r="BD67" i="5"/>
  <c r="AG107" i="5"/>
  <c r="AH107" i="5" s="1"/>
  <c r="AU122" i="5"/>
  <c r="AJ192" i="5"/>
  <c r="AL192" i="5"/>
  <c r="AX34" i="5"/>
  <c r="BC234" i="5"/>
  <c r="BD234" i="5" s="1"/>
  <c r="BD227" i="5"/>
  <c r="BM123" i="5"/>
  <c r="AW92" i="5"/>
  <c r="AX187" i="5"/>
  <c r="BM143" i="5"/>
  <c r="BA89" i="5"/>
  <c r="AG256" i="5"/>
  <c r="AH256" i="5" s="1"/>
  <c r="AX81" i="5"/>
  <c r="AU80" i="5"/>
  <c r="AU230" i="5"/>
  <c r="AR208" i="5"/>
  <c r="BS140" i="5"/>
  <c r="BJ67" i="5"/>
  <c r="BC206" i="5"/>
  <c r="BD191" i="5"/>
  <c r="BD206" i="5" s="1"/>
  <c r="AG249" i="5"/>
  <c r="AH249" i="5" s="1"/>
  <c r="BD108" i="5"/>
  <c r="AR157" i="5"/>
  <c r="AJ179" i="5"/>
  <c r="AL179" i="5"/>
  <c r="BS139" i="5"/>
  <c r="BM148" i="5"/>
  <c r="AR109" i="5"/>
  <c r="BG210" i="5"/>
  <c r="BP80" i="5"/>
  <c r="BP135" i="5"/>
  <c r="S295" i="5"/>
  <c r="W295" i="5" s="1"/>
  <c r="AG295" i="5" s="1"/>
  <c r="BG240" i="5"/>
  <c r="T319" i="5"/>
  <c r="AL84" i="5"/>
  <c r="AJ84" i="5"/>
  <c r="AG172" i="5"/>
  <c r="AH172" i="5" s="1"/>
  <c r="BP34" i="5"/>
  <c r="BM34" i="5" s="1"/>
  <c r="AT92" i="5"/>
  <c r="AT223" i="5" s="1"/>
  <c r="AX185" i="5"/>
  <c r="AJ168" i="5"/>
  <c r="AL168" i="5"/>
  <c r="BA119" i="5"/>
  <c r="BJ134" i="5"/>
  <c r="BA229" i="5"/>
  <c r="H189" i="5"/>
  <c r="O189" i="5"/>
  <c r="G189" i="5"/>
  <c r="L189" i="5"/>
  <c r="F189" i="5"/>
  <c r="R189" i="5"/>
  <c r="U189" i="5"/>
  <c r="I189" i="5"/>
  <c r="T189" i="5"/>
  <c r="M189" i="5"/>
  <c r="K189" i="5"/>
  <c r="S189" i="5"/>
  <c r="J189" i="5"/>
  <c r="BM177" i="5"/>
  <c r="AR26" i="5"/>
  <c r="BP248" i="5"/>
  <c r="X260" i="5"/>
  <c r="AX239" i="5"/>
  <c r="BD95" i="5"/>
  <c r="BC115" i="5"/>
  <c r="BJ182" i="5"/>
  <c r="BG214" i="5"/>
  <c r="AJ238" i="5"/>
  <c r="AO242" i="5"/>
  <c r="AL238" i="5"/>
  <c r="AL50" i="5"/>
  <c r="AJ50" i="5"/>
  <c r="BS50" i="5"/>
  <c r="AX191" i="5"/>
  <c r="AX206" i="5" s="1"/>
  <c r="BA174" i="5"/>
  <c r="BS125" i="5"/>
  <c r="BJ79" i="5"/>
  <c r="AJ123" i="5"/>
  <c r="AL123" i="5"/>
  <c r="BJ109" i="5"/>
  <c r="BJ65" i="5"/>
  <c r="BM78" i="5"/>
  <c r="BS194" i="5"/>
  <c r="AR121" i="5"/>
  <c r="AR125" i="5"/>
  <c r="AX248" i="5"/>
  <c r="BG258" i="5"/>
  <c r="AJ36" i="5"/>
  <c r="AL36" i="5"/>
  <c r="BP158" i="5"/>
  <c r="AX161" i="5"/>
  <c r="BD257" i="5"/>
  <c r="BD179" i="5"/>
  <c r="AR159" i="5"/>
  <c r="AL32" i="5"/>
  <c r="AJ32" i="5"/>
  <c r="BJ75" i="5"/>
  <c r="T320" i="5"/>
  <c r="BD217" i="5"/>
  <c r="BG95" i="5"/>
  <c r="BG63" i="5"/>
  <c r="BA44" i="5"/>
  <c r="BG255" i="5"/>
  <c r="BG138" i="5"/>
  <c r="BD81" i="5"/>
  <c r="AG78" i="5"/>
  <c r="AH78" i="5" s="1"/>
  <c r="AE79" i="5"/>
  <c r="AG79" i="5" s="1"/>
  <c r="AH79" i="5" s="1"/>
  <c r="AG57" i="5"/>
  <c r="AH57" i="5" s="1"/>
  <c r="AJ263" i="5"/>
  <c r="AL263" i="5"/>
  <c r="BJ89" i="5"/>
  <c r="AJ187" i="5"/>
  <c r="AL187" i="5"/>
  <c r="BA47" i="5"/>
  <c r="AU40" i="5"/>
  <c r="AF334" i="5"/>
  <c r="AR24" i="5"/>
  <c r="BS72" i="5"/>
  <c r="BP67" i="5"/>
  <c r="AU63" i="5"/>
  <c r="BM158" i="5"/>
  <c r="BA169" i="5"/>
  <c r="R317" i="5"/>
  <c r="BM100" i="5"/>
  <c r="AR50" i="5"/>
  <c r="BJ161" i="5"/>
  <c r="AR231" i="5"/>
  <c r="AJ77" i="5"/>
  <c r="AL77" i="5"/>
  <c r="AX135" i="5"/>
  <c r="BS64" i="5"/>
  <c r="BM125" i="5"/>
  <c r="AG118" i="5"/>
  <c r="AH118" i="5" s="1"/>
  <c r="AG102" i="5"/>
  <c r="AH102" i="5" s="1"/>
  <c r="AG176" i="5"/>
  <c r="AH176" i="5" s="1"/>
  <c r="AR199" i="5"/>
  <c r="BP46" i="5"/>
  <c r="BM46" i="5" s="1"/>
  <c r="BD43" i="5"/>
  <c r="BG57" i="5"/>
  <c r="BF91" i="5"/>
  <c r="AR255" i="5"/>
  <c r="BD80" i="5"/>
  <c r="AL134" i="5"/>
  <c r="AJ134" i="5"/>
  <c r="AR74" i="5"/>
  <c r="AJ34" i="5"/>
  <c r="AL34" i="5"/>
  <c r="BS34" i="5"/>
  <c r="BF242" i="5"/>
  <c r="BG242" i="5" s="1"/>
  <c r="BG238" i="5"/>
  <c r="BP77" i="5"/>
  <c r="AR259" i="5"/>
  <c r="BG170" i="5"/>
  <c r="BM66" i="5"/>
  <c r="AJ247" i="5"/>
  <c r="AL247" i="5"/>
  <c r="BP100" i="5"/>
  <c r="U311" i="5"/>
  <c r="U153" i="5"/>
  <c r="BS145" i="5"/>
  <c r="AX79" i="5"/>
  <c r="U30" i="5"/>
  <c r="BS240" i="5"/>
  <c r="BJ61" i="5"/>
  <c r="BP155" i="5"/>
  <c r="AG200" i="5"/>
  <c r="AH200" i="5" s="1"/>
  <c r="AU135" i="5"/>
  <c r="AU178" i="5"/>
  <c r="BD155" i="5"/>
  <c r="BP63" i="5"/>
  <c r="BP128" i="5"/>
  <c r="AX194" i="5"/>
  <c r="BP47" i="5"/>
  <c r="BM47" i="5" s="1"/>
  <c r="AU252" i="5"/>
  <c r="BD105" i="5"/>
  <c r="BD142" i="5"/>
  <c r="AG126" i="5"/>
  <c r="AH126" i="5" s="1"/>
  <c r="BS230" i="5"/>
  <c r="BA53" i="5"/>
  <c r="AG98" i="5"/>
  <c r="AH98" i="5" s="1"/>
  <c r="BD255" i="5"/>
  <c r="BD151" i="5"/>
  <c r="BG125" i="5"/>
  <c r="BD159" i="5"/>
  <c r="AG199" i="5"/>
  <c r="AH199" i="5" s="1"/>
  <c r="BP147" i="5"/>
  <c r="BS231" i="5"/>
  <c r="AU184" i="5"/>
  <c r="AG313" i="5"/>
  <c r="BA148" i="5"/>
  <c r="BD69" i="5"/>
  <c r="BA146" i="5"/>
  <c r="AR179" i="5"/>
  <c r="BG128" i="5"/>
  <c r="AR214" i="5"/>
  <c r="BD41" i="5"/>
  <c r="AR258" i="5"/>
  <c r="BA202" i="5"/>
  <c r="BJ256" i="5"/>
  <c r="R349" i="5"/>
  <c r="R263" i="5"/>
  <c r="AU159" i="5"/>
  <c r="BD164" i="5"/>
  <c r="AR102" i="5"/>
  <c r="BM185" i="5"/>
  <c r="AX217" i="5"/>
  <c r="BG82" i="5"/>
  <c r="BJ73" i="5"/>
  <c r="BJ169" i="5"/>
  <c r="BP203" i="5"/>
  <c r="BS239" i="5"/>
  <c r="BG104" i="5"/>
  <c r="BS77" i="5"/>
  <c r="BD126" i="5"/>
  <c r="BM83" i="5"/>
  <c r="AX82" i="5"/>
  <c r="BS168" i="5"/>
  <c r="BP255" i="5"/>
  <c r="AJ137" i="5"/>
  <c r="AL137" i="5"/>
  <c r="BM175" i="5"/>
  <c r="AL201" i="5"/>
  <c r="AJ201" i="5"/>
  <c r="AX95" i="5"/>
  <c r="AJ169" i="5"/>
  <c r="AL169" i="5"/>
  <c r="BJ71" i="5"/>
  <c r="BA46" i="5"/>
  <c r="BP88" i="5"/>
  <c r="AX100" i="5"/>
  <c r="BM186" i="5"/>
  <c r="AR218" i="5"/>
  <c r="AU134" i="5"/>
  <c r="AJ70" i="5"/>
  <c r="AL70" i="5"/>
  <c r="BS256" i="5"/>
  <c r="S296" i="5"/>
  <c r="W296" i="5" s="1"/>
  <c r="AG296" i="5" s="1"/>
  <c r="BP171" i="5"/>
  <c r="BM144" i="5"/>
  <c r="AU103" i="5"/>
  <c r="BA227" i="5"/>
  <c r="BA234" i="5" s="1"/>
  <c r="AZ234" i="5"/>
  <c r="AU102" i="5"/>
  <c r="BD89" i="5"/>
  <c r="R234" i="5"/>
  <c r="R337" i="5"/>
  <c r="BD76" i="5"/>
  <c r="BS86" i="5"/>
  <c r="AR46" i="5"/>
  <c r="AR155" i="5"/>
  <c r="AX68" i="5"/>
  <c r="AU212" i="5"/>
  <c r="BA145" i="5"/>
  <c r="BP44" i="5"/>
  <c r="BM44" i="5" s="1"/>
  <c r="AX196" i="5"/>
  <c r="BM240" i="5"/>
  <c r="AU228" i="5"/>
  <c r="BP85" i="5"/>
  <c r="BP163" i="5"/>
  <c r="AG73" i="5"/>
  <c r="AH73" i="5" s="1"/>
  <c r="R295" i="5"/>
  <c r="BG217" i="5"/>
  <c r="BS181" i="5"/>
  <c r="AG169" i="5"/>
  <c r="AH169" i="5" s="1"/>
  <c r="AU215" i="5"/>
  <c r="AR170" i="5"/>
  <c r="BG89" i="5"/>
  <c r="BA49" i="5"/>
  <c r="AJ143" i="5"/>
  <c r="AL143" i="5"/>
  <c r="AG300" i="5"/>
  <c r="BA124" i="5"/>
  <c r="BD218" i="5"/>
  <c r="AL76" i="5"/>
  <c r="AJ76" i="5"/>
  <c r="BG59" i="5"/>
  <c r="AU67" i="5"/>
  <c r="BJ261" i="5"/>
  <c r="BM60" i="5"/>
  <c r="BP169" i="5"/>
  <c r="BA105" i="5"/>
  <c r="A60" i="7"/>
  <c r="C60" i="7"/>
  <c r="B60" i="7"/>
  <c r="AG105" i="5"/>
  <c r="AH105" i="5" s="1"/>
  <c r="BJ218" i="5"/>
  <c r="AX208" i="5"/>
  <c r="AU234" i="5"/>
  <c r="AX240" i="5"/>
  <c r="BA217" i="5"/>
  <c r="BP208" i="5"/>
  <c r="BM96" i="5"/>
  <c r="AR133" i="5"/>
  <c r="BP227" i="5"/>
  <c r="BO234" i="5"/>
  <c r="BP234" i="5" s="1"/>
  <c r="AX45" i="5"/>
  <c r="BD250" i="5"/>
  <c r="AR166" i="5"/>
  <c r="BD59" i="5"/>
  <c r="AG119" i="5"/>
  <c r="AH119" i="5" s="1"/>
  <c r="AU112" i="5"/>
  <c r="BL115" i="5"/>
  <c r="BM95" i="5"/>
  <c r="BG75" i="5"/>
  <c r="BS209" i="5"/>
  <c r="BS35" i="5"/>
  <c r="AJ35" i="5"/>
  <c r="AL35" i="5"/>
  <c r="AG248" i="5"/>
  <c r="AH248" i="5" s="1"/>
  <c r="BD60" i="5"/>
  <c r="BS88" i="5"/>
  <c r="BG208" i="5"/>
  <c r="X246" i="5"/>
  <c r="X252" i="5" s="1"/>
  <c r="W252" i="5"/>
  <c r="BG58" i="5"/>
  <c r="AX49" i="5"/>
  <c r="AU258" i="5"/>
  <c r="AU160" i="5"/>
  <c r="AU186" i="5"/>
  <c r="BL55" i="5"/>
  <c r="BM53" i="5"/>
  <c r="BG44" i="5"/>
  <c r="AR197" i="5"/>
  <c r="AJ43" i="5"/>
  <c r="AL43" i="5"/>
  <c r="BS43" i="5"/>
  <c r="BM232" i="5"/>
  <c r="C29" i="7"/>
  <c r="B29" i="7"/>
  <c r="A29" i="7"/>
  <c r="AR132" i="5"/>
  <c r="BS217" i="5"/>
  <c r="AG106" i="5"/>
  <c r="AH106" i="5" s="1"/>
  <c r="BA197" i="5"/>
  <c r="AR232" i="5"/>
  <c r="BP261" i="5"/>
  <c r="AU202" i="5"/>
  <c r="AU82" i="5"/>
  <c r="AU121" i="5"/>
  <c r="BS70" i="5"/>
  <c r="BG76" i="5"/>
  <c r="AG187" i="5"/>
  <c r="AH187" i="5" s="1"/>
  <c r="AX246" i="5"/>
  <c r="BP65" i="5"/>
  <c r="BG72" i="5"/>
  <c r="AJ119" i="5"/>
  <c r="AL119" i="5"/>
  <c r="AG132" i="5"/>
  <c r="AH132" i="5" s="1"/>
  <c r="AG167" i="5"/>
  <c r="AH167" i="5" s="1"/>
  <c r="BJ43" i="5"/>
  <c r="AG96" i="5"/>
  <c r="AH96" i="5" s="1"/>
  <c r="AG120" i="5"/>
  <c r="AH120" i="5" s="1"/>
  <c r="AJ214" i="5"/>
  <c r="AL214" i="5"/>
  <c r="AU177" i="5"/>
  <c r="BG148" i="5"/>
  <c r="AG268" i="5"/>
  <c r="AH268" i="5" s="1"/>
  <c r="U301" i="5"/>
  <c r="BM202" i="5"/>
  <c r="AX162" i="5"/>
  <c r="AL61" i="5"/>
  <c r="AJ61" i="5"/>
  <c r="BP112" i="5"/>
  <c r="BI153" i="5"/>
  <c r="BJ132" i="5"/>
  <c r="BD214" i="5"/>
  <c r="BG193" i="5"/>
  <c r="AG185" i="5"/>
  <c r="AH185" i="5" s="1"/>
  <c r="BM178" i="5"/>
  <c r="AJ234" i="5"/>
  <c r="AL234" i="5"/>
  <c r="AJ159" i="5"/>
  <c r="AL159" i="5"/>
  <c r="BM248" i="5"/>
  <c r="BP136" i="5"/>
  <c r="AR79" i="5"/>
  <c r="BJ118" i="5"/>
  <c r="AG134" i="5"/>
  <c r="AH134" i="5" s="1"/>
  <c r="AG125" i="5"/>
  <c r="AH125" i="5" s="1"/>
  <c r="BD199" i="5"/>
  <c r="AU128" i="5"/>
  <c r="BD122" i="5"/>
  <c r="BG149" i="5"/>
  <c r="BD127" i="5"/>
  <c r="BD203" i="5"/>
  <c r="AE235" i="5"/>
  <c r="AG235" i="5" s="1"/>
  <c r="AG234" i="5"/>
  <c r="AH234" i="5" s="1"/>
  <c r="AH235" i="5" s="1"/>
  <c r="AG138" i="5"/>
  <c r="AH138" i="5" s="1"/>
  <c r="AU61" i="5"/>
  <c r="AU70" i="5"/>
  <c r="AR68" i="5"/>
  <c r="AG208" i="5"/>
  <c r="AH208" i="5" s="1"/>
  <c r="BP258" i="5"/>
  <c r="BJ84" i="5"/>
  <c r="BJ216" i="5"/>
  <c r="BG79" i="5"/>
  <c r="BS227" i="5"/>
  <c r="BR234" i="5"/>
  <c r="BS234" i="5" s="1"/>
  <c r="AR150" i="5"/>
  <c r="T234" i="5"/>
  <c r="T236" i="5" s="1"/>
  <c r="T244" i="5" s="1"/>
  <c r="T337" i="5"/>
  <c r="AK92" i="5"/>
  <c r="AK223" i="5" s="1"/>
  <c r="AL136" i="5"/>
  <c r="AJ136" i="5"/>
  <c r="BS203" i="5"/>
  <c r="BP83" i="5"/>
  <c r="BG100" i="5"/>
  <c r="AJ75" i="5"/>
  <c r="AL75" i="5"/>
  <c r="BJ177" i="5"/>
  <c r="AX40" i="5"/>
  <c r="S115" i="5"/>
  <c r="S299" i="5"/>
  <c r="W299" i="5" s="1"/>
  <c r="AG299" i="5" s="1"/>
  <c r="AX73" i="5"/>
  <c r="BM174" i="5"/>
  <c r="AL46" i="5"/>
  <c r="AJ46" i="5"/>
  <c r="BS46" i="5"/>
  <c r="BG97" i="5"/>
  <c r="BA228" i="5"/>
  <c r="S320" i="5"/>
  <c r="W320" i="5" s="1"/>
  <c r="AG320" i="5" s="1"/>
  <c r="AZ91" i="5"/>
  <c r="BA57" i="5"/>
  <c r="BA91" i="5" s="1"/>
  <c r="BS202" i="5"/>
  <c r="AX136" i="5"/>
  <c r="AX215" i="5"/>
  <c r="BA240" i="5"/>
  <c r="BS171" i="5"/>
  <c r="BJ202" i="5"/>
  <c r="BD238" i="5"/>
  <c r="BC242" i="5"/>
  <c r="BD242" i="5" s="1"/>
  <c r="AR73" i="5"/>
  <c r="U293" i="5"/>
  <c r="U91" i="5"/>
  <c r="AL248" i="5"/>
  <c r="AJ248" i="5"/>
  <c r="BM182" i="5"/>
  <c r="BG179" i="5"/>
  <c r="AL256" i="5"/>
  <c r="AJ256" i="5"/>
  <c r="AJ249" i="5"/>
  <c r="AL249" i="5"/>
  <c r="BG117" i="5"/>
  <c r="BF130" i="5"/>
  <c r="AX83" i="5"/>
  <c r="BP139" i="5"/>
  <c r="BP105" i="5"/>
  <c r="AJ135" i="5"/>
  <c r="AL135" i="5"/>
  <c r="BA55" i="5"/>
  <c r="AR162" i="5"/>
  <c r="BG198" i="5"/>
  <c r="AR99" i="5"/>
  <c r="BJ97" i="5"/>
  <c r="BA108" i="5"/>
  <c r="BA218" i="5"/>
  <c r="BS200" i="5"/>
  <c r="AR254" i="5"/>
  <c r="AX99" i="5"/>
  <c r="BA80" i="5"/>
  <c r="AG196" i="5"/>
  <c r="AH196" i="5" s="1"/>
  <c r="L153" i="5"/>
  <c r="M153" i="5"/>
  <c r="J153" i="5"/>
  <c r="K153" i="5"/>
  <c r="H153" i="5"/>
  <c r="O153" i="5"/>
  <c r="F153" i="5"/>
  <c r="I153" i="5"/>
  <c r="G153" i="5"/>
  <c r="BS211" i="5"/>
  <c r="AU149" i="5"/>
  <c r="BG246" i="5"/>
  <c r="BF252" i="5"/>
  <c r="BG252" i="5" s="1"/>
  <c r="BS95" i="5"/>
  <c r="BR115" i="5"/>
  <c r="BS115" i="5" s="1"/>
  <c r="AE190" i="5"/>
  <c r="AG190" i="5" s="1"/>
  <c r="AG189" i="5"/>
  <c r="BG165" i="5"/>
  <c r="BS66" i="5"/>
  <c r="AR55" i="5"/>
  <c r="AU137" i="5"/>
  <c r="BJ42" i="5"/>
  <c r="AR209" i="5"/>
  <c r="AG67" i="5"/>
  <c r="AH67" i="5" s="1"/>
  <c r="AL141" i="5"/>
  <c r="AJ141" i="5"/>
  <c r="AR106" i="5"/>
  <c r="AG212" i="5"/>
  <c r="AH212" i="5" s="1"/>
  <c r="AU72" i="5"/>
  <c r="AX147" i="5"/>
  <c r="BM85" i="5"/>
  <c r="AG148" i="5"/>
  <c r="AH148" i="5" s="1"/>
  <c r="AL55" i="5"/>
  <c r="AJ55" i="5"/>
  <c r="BA69" i="5"/>
  <c r="BA101" i="5"/>
  <c r="BM249" i="5"/>
  <c r="BM137" i="5"/>
  <c r="AG193" i="5"/>
  <c r="AH193" i="5" s="1"/>
  <c r="BS89" i="5"/>
  <c r="BS147" i="5"/>
  <c r="BD45" i="5"/>
  <c r="AG137" i="5"/>
  <c r="AH137" i="5" s="1"/>
  <c r="AX69" i="5"/>
  <c r="BP123" i="5"/>
  <c r="AL24" i="5"/>
  <c r="AJ24" i="5"/>
  <c r="AX47" i="5"/>
  <c r="BP199" i="5"/>
  <c r="X45" i="5"/>
  <c r="BS142" i="5"/>
  <c r="BP249" i="5"/>
  <c r="BA178" i="5"/>
  <c r="BS184" i="5"/>
  <c r="AG218" i="5"/>
  <c r="AH218" i="5" s="1"/>
  <c r="BM159" i="5"/>
  <c r="AG109" i="5"/>
  <c r="AH109" i="5" s="1"/>
  <c r="BA230" i="5"/>
  <c r="AX138" i="5"/>
  <c r="BG215" i="5"/>
  <c r="AL182" i="5"/>
  <c r="AJ182" i="5"/>
  <c r="BG199" i="5"/>
  <c r="BM198" i="5"/>
  <c r="AR156" i="5"/>
  <c r="AX65" i="5"/>
  <c r="U244" i="5"/>
  <c r="AX134" i="5"/>
  <c r="BS178" i="5"/>
  <c r="BM191" i="5"/>
  <c r="BM206" i="5" s="1"/>
  <c r="BL206" i="5"/>
  <c r="AG110" i="5"/>
  <c r="AH110" i="5" s="1"/>
  <c r="R38" i="5"/>
  <c r="BA215" i="5"/>
  <c r="BD145" i="5"/>
  <c r="BA170" i="5"/>
  <c r="BJ250" i="5"/>
  <c r="BP75" i="5"/>
  <c r="BP211" i="5"/>
  <c r="BG83" i="5"/>
  <c r="BM141" i="5"/>
  <c r="AG217" i="5"/>
  <c r="AH217" i="5" s="1"/>
  <c r="BD78" i="5"/>
  <c r="AL227" i="5"/>
  <c r="AJ227" i="5"/>
  <c r="AX234" i="5"/>
  <c r="AU30" i="5"/>
  <c r="BM250" i="5"/>
  <c r="BP259" i="5"/>
  <c r="AG161" i="5"/>
  <c r="AH161" i="5" s="1"/>
  <c r="BG177" i="5"/>
  <c r="AJ25" i="5"/>
  <c r="AL25" i="5"/>
  <c r="BD61" i="5"/>
  <c r="AR141" i="5"/>
  <c r="AG177" i="5"/>
  <c r="AH177" i="5" s="1"/>
  <c r="AX210" i="5"/>
  <c r="BP175" i="5"/>
  <c r="AR163" i="5"/>
  <c r="AG244" i="5"/>
  <c r="BD68" i="5"/>
  <c r="AR127" i="5"/>
  <c r="BP60" i="5"/>
  <c r="AR212" i="5"/>
  <c r="BM247" i="5"/>
  <c r="BA48" i="5"/>
  <c r="BG48" i="5"/>
  <c r="AO92" i="5"/>
  <c r="AO223" i="5" s="1"/>
  <c r="BD118" i="5"/>
  <c r="AX84" i="5"/>
  <c r="AX146" i="5"/>
  <c r="BD168" i="5"/>
  <c r="AJ120" i="5"/>
  <c r="AL120" i="5"/>
  <c r="BP101" i="5"/>
  <c r="BJ87" i="5"/>
  <c r="X249" i="5"/>
  <c r="BS195" i="5"/>
  <c r="BA94" i="5"/>
  <c r="BA115" i="5" s="1"/>
  <c r="AZ115" i="5"/>
  <c r="AR66" i="5"/>
  <c r="BP185" i="5"/>
  <c r="BM255" i="5"/>
  <c r="BD198" i="5"/>
  <c r="BD75" i="5"/>
  <c r="BG126" i="5"/>
  <c r="AR33" i="5"/>
  <c r="BJ139" i="5"/>
  <c r="BP218" i="5"/>
  <c r="BJ249" i="5"/>
  <c r="BG218" i="5"/>
  <c r="AL257" i="5"/>
  <c r="AJ257" i="5"/>
  <c r="BP108" i="5"/>
  <c r="AJ51" i="5"/>
  <c r="AL51" i="5"/>
  <c r="BS51" i="5"/>
  <c r="AX250" i="5"/>
  <c r="BS250" i="5"/>
  <c r="AL195" i="5"/>
  <c r="AJ195" i="5"/>
  <c r="BF206" i="5"/>
  <c r="BG191" i="5"/>
  <c r="BG206" i="5" s="1"/>
  <c r="AL62" i="5"/>
  <c r="AJ62" i="5"/>
  <c r="AL160" i="5"/>
  <c r="AJ160" i="5"/>
  <c r="BM155" i="5"/>
  <c r="AR145" i="5"/>
  <c r="BG119" i="5"/>
  <c r="BG61" i="5"/>
  <c r="BD71" i="5"/>
  <c r="BP145" i="5"/>
  <c r="AU78" i="5"/>
  <c r="BJ146" i="5"/>
  <c r="AJ74" i="5"/>
  <c r="AL74" i="5"/>
  <c r="AR227" i="5"/>
  <c r="BD202" i="5"/>
  <c r="BM179" i="5"/>
  <c r="AR228" i="5"/>
  <c r="BG176" i="5"/>
  <c r="BS187" i="5"/>
  <c r="BR220" i="5"/>
  <c r="AX232" i="5"/>
  <c r="AG338" i="5"/>
  <c r="AG87" i="5"/>
  <c r="AH87" i="5" s="1"/>
  <c r="AJ89" i="5"/>
  <c r="AL89" i="5"/>
  <c r="BD64" i="5"/>
  <c r="AU118" i="5"/>
  <c r="AL113" i="5"/>
  <c r="AJ113" i="5"/>
  <c r="AX252" i="5"/>
  <c r="BP167" i="5"/>
  <c r="AU195" i="5"/>
  <c r="BP197" i="5"/>
  <c r="BS248" i="5"/>
  <c r="BG86" i="5"/>
  <c r="AR27" i="5"/>
  <c r="AX87" i="5"/>
  <c r="BD192" i="5"/>
  <c r="AU148" i="5"/>
  <c r="AU77" i="5"/>
  <c r="AJ97" i="5"/>
  <c r="AL97" i="5"/>
  <c r="AG351" i="5"/>
  <c r="BS105" i="5"/>
  <c r="BP257" i="5"/>
  <c r="AG229" i="5"/>
  <c r="AH229" i="5" s="1"/>
  <c r="BA41" i="5"/>
  <c r="BJ179" i="5"/>
  <c r="AL38" i="5"/>
  <c r="AJ38" i="5"/>
  <c r="BA176" i="5"/>
  <c r="AR70" i="5"/>
  <c r="BJ34" i="5"/>
  <c r="BJ38" i="5" s="1"/>
  <c r="BP141" i="5"/>
  <c r="BS218" i="5"/>
  <c r="AU140" i="5"/>
  <c r="L91" i="5"/>
  <c r="K91" i="5"/>
  <c r="M91" i="5"/>
  <c r="G91" i="5"/>
  <c r="F91" i="5"/>
  <c r="J91" i="5"/>
  <c r="I91" i="5"/>
  <c r="O91" i="5"/>
  <c r="BD176" i="5"/>
  <c r="BJ167" i="5"/>
  <c r="AR60" i="5"/>
  <c r="R296" i="5"/>
  <c r="BP124" i="5"/>
  <c r="BG62" i="5"/>
  <c r="BS162" i="5"/>
  <c r="AX119" i="5"/>
  <c r="BP119" i="5"/>
  <c r="BJ107" i="5"/>
  <c r="BM162" i="5"/>
  <c r="BP184" i="5"/>
  <c r="AX96" i="5"/>
  <c r="BP150" i="5"/>
  <c r="BA79" i="5"/>
  <c r="BA163" i="5"/>
  <c r="BS84" i="5"/>
  <c r="AU164" i="5"/>
  <c r="AG352" i="5"/>
  <c r="AG94" i="5"/>
  <c r="AH94" i="5" s="1"/>
  <c r="BS82" i="5"/>
  <c r="BJ149" i="5"/>
  <c r="AU229" i="5"/>
  <c r="AG83" i="5"/>
  <c r="AH83" i="5" s="1"/>
  <c r="AL146" i="5"/>
  <c r="AJ146" i="5"/>
  <c r="R311" i="5"/>
  <c r="R153" i="5"/>
  <c r="BD184" i="5"/>
  <c r="BP107" i="5"/>
  <c r="BM97" i="5"/>
  <c r="BM67" i="5"/>
  <c r="AR80" i="5"/>
  <c r="BM147" i="5"/>
  <c r="BJ199" i="5"/>
  <c r="AU163" i="5"/>
  <c r="AX43" i="5"/>
  <c r="BM216" i="5"/>
  <c r="BG112" i="5"/>
  <c r="AR210" i="5"/>
  <c r="AL60" i="5"/>
  <c r="AJ60" i="5"/>
  <c r="BD187" i="5"/>
  <c r="BC220" i="5"/>
  <c r="BS96" i="5"/>
  <c r="AU124" i="5"/>
  <c r="AL128" i="5"/>
  <c r="AJ128" i="5"/>
  <c r="BG139" i="5"/>
  <c r="AG307" i="5"/>
  <c r="BM109" i="5"/>
  <c r="BM94" i="5"/>
  <c r="AJ133" i="5"/>
  <c r="AL133" i="5"/>
  <c r="AG86" i="5"/>
  <c r="AH86" i="5" s="1"/>
  <c r="BS67" i="5"/>
  <c r="BG87" i="5"/>
  <c r="AG174" i="5"/>
  <c r="AH174" i="5" s="1"/>
  <c r="AX70" i="5"/>
  <c r="AU187" i="5"/>
  <c r="R294" i="5"/>
  <c r="AX193" i="5"/>
  <c r="AR85" i="5"/>
  <c r="AR34" i="5"/>
  <c r="AX46" i="5"/>
  <c r="AR58" i="5"/>
  <c r="AL67" i="5"/>
  <c r="AJ67" i="5"/>
  <c r="BM118" i="5"/>
  <c r="BJ186" i="5"/>
  <c r="AX143" i="5"/>
  <c r="AJ98" i="5"/>
  <c r="AL98" i="5"/>
  <c r="AR67" i="5"/>
  <c r="AU110" i="5"/>
  <c r="BG108" i="5"/>
  <c r="AJ216" i="5"/>
  <c r="AL216" i="5"/>
  <c r="AX63" i="5"/>
  <c r="BP180" i="5"/>
  <c r="BD49" i="5"/>
  <c r="AG60" i="5"/>
  <c r="AH60" i="5" s="1"/>
  <c r="BA182" i="5"/>
  <c r="AJ126" i="5"/>
  <c r="AL126" i="5"/>
  <c r="BG192" i="5"/>
  <c r="BM86" i="5"/>
  <c r="BM73" i="5"/>
  <c r="BP256" i="5"/>
  <c r="BP40" i="5"/>
  <c r="BM40" i="5" s="1"/>
  <c r="AR53" i="5"/>
  <c r="BG103" i="5"/>
  <c r="AU53" i="5"/>
  <c r="AR215" i="5"/>
  <c r="BA106" i="5"/>
  <c r="BP87" i="5"/>
  <c r="BA150" i="5"/>
  <c r="BP117" i="5"/>
  <c r="BO130" i="5"/>
  <c r="AG191" i="5"/>
  <c r="AH191" i="5" s="1"/>
  <c r="AU64" i="5"/>
  <c r="BA162" i="5"/>
  <c r="AR165" i="5"/>
  <c r="BJ176" i="5"/>
  <c r="BG151" i="5"/>
  <c r="U343" i="5"/>
  <c r="U252" i="5"/>
  <c r="AR118" i="5"/>
  <c r="BD73" i="5"/>
  <c r="BJ47" i="5"/>
  <c r="AJ44" i="5"/>
  <c r="AL44" i="5"/>
  <c r="BS44" i="5"/>
  <c r="AU106" i="5"/>
  <c r="BA231" i="5"/>
  <c r="BG168" i="5"/>
  <c r="BJ155" i="5"/>
  <c r="AR268" i="5"/>
  <c r="AR169" i="5"/>
  <c r="AL196" i="5"/>
  <c r="AJ196" i="5"/>
  <c r="AJ210" i="5"/>
  <c r="AL210" i="5"/>
  <c r="AT225" i="5"/>
  <c r="AX144" i="5"/>
  <c r="AX186" i="5"/>
  <c r="BP228" i="5"/>
  <c r="BP215" i="5"/>
  <c r="BP127" i="5"/>
  <c r="BP196" i="5"/>
  <c r="AX165" i="5"/>
  <c r="AR28" i="5"/>
  <c r="BS193" i="5"/>
  <c r="BJ122" i="5"/>
  <c r="AG183" i="5"/>
  <c r="AH183" i="5" s="1"/>
  <c r="BL153" i="5"/>
  <c r="BM132" i="5"/>
  <c r="AZ189" i="5"/>
  <c r="BA156" i="5"/>
  <c r="BA189" i="5" s="1"/>
  <c r="BA177" i="5"/>
  <c r="AG62" i="5"/>
  <c r="AH62" i="5" s="1"/>
  <c r="BP78" i="5"/>
  <c r="AG112" i="5"/>
  <c r="AH112" i="5" s="1"/>
  <c r="BG41" i="5"/>
  <c r="AU218" i="5"/>
  <c r="BJ214" i="5"/>
  <c r="BS60" i="5"/>
  <c r="AE334" i="5"/>
  <c r="AG162" i="5"/>
  <c r="AH162" i="5" s="1"/>
  <c r="BP26" i="5"/>
  <c r="BM26" i="5" s="1"/>
  <c r="AX218" i="5"/>
  <c r="AU146" i="5"/>
  <c r="AR137" i="5"/>
  <c r="X229" i="5"/>
  <c r="BP170" i="5"/>
  <c r="AJ138" i="5"/>
  <c r="AL138" i="5"/>
  <c r="AX150" i="5"/>
  <c r="BJ123" i="5"/>
  <c r="BS199" i="5"/>
  <c r="S38" i="5"/>
  <c r="BM121" i="5"/>
  <c r="AR51" i="5"/>
  <c r="BA199" i="5"/>
  <c r="BS101" i="5"/>
  <c r="BG195" i="5"/>
  <c r="BJ258" i="5"/>
  <c r="AR135" i="5"/>
  <c r="AZ263" i="5"/>
  <c r="BA254" i="5"/>
  <c r="BA263" i="5" s="1"/>
  <c r="BS74" i="5"/>
  <c r="AG312" i="5"/>
  <c r="AU42" i="5"/>
  <c r="BD83" i="5"/>
  <c r="AX32" i="5"/>
  <c r="AX38" i="5" s="1"/>
  <c r="BG141" i="5"/>
  <c r="BA88" i="5"/>
  <c r="AG124" i="5"/>
  <c r="AH124" i="5" s="1"/>
  <c r="AG170" i="5"/>
  <c r="AH170" i="5" s="1"/>
  <c r="AL121" i="5"/>
  <c r="AJ121" i="5"/>
  <c r="AG76" i="5"/>
  <c r="AH76" i="5" s="1"/>
  <c r="AJ65" i="5"/>
  <c r="AL65" i="5"/>
  <c r="AJ217" i="5"/>
  <c r="AL217" i="5"/>
  <c r="BJ195" i="5"/>
  <c r="BG182" i="5"/>
  <c r="AX55" i="5"/>
  <c r="BA73" i="5"/>
  <c r="BG197" i="5"/>
  <c r="AX75" i="5"/>
  <c r="BM99" i="5"/>
  <c r="BP121" i="5"/>
  <c r="BP59" i="5"/>
  <c r="AR142" i="5"/>
  <c r="BM88" i="5"/>
  <c r="AG171" i="5"/>
  <c r="AH171" i="5" s="1"/>
  <c r="BA120" i="5"/>
  <c r="AU162" i="5"/>
  <c r="AR168" i="5"/>
  <c r="BD183" i="5"/>
  <c r="AX140" i="5"/>
  <c r="BG185" i="5"/>
  <c r="AR175" i="5"/>
  <c r="AL140" i="5"/>
  <c r="AJ140" i="5"/>
  <c r="AL149" i="5"/>
  <c r="AJ149" i="5"/>
  <c r="BP62" i="5"/>
  <c r="S30" i="5"/>
  <c r="S319" i="5"/>
  <c r="W319" i="5" s="1"/>
  <c r="AG319" i="5" s="1"/>
  <c r="AG133" i="5"/>
  <c r="AH133" i="5" s="1"/>
  <c r="BM184" i="5"/>
  <c r="BA248" i="5"/>
  <c r="BM230" i="5"/>
  <c r="AJ198" i="5"/>
  <c r="AL198" i="5"/>
  <c r="AR174" i="5"/>
  <c r="AG178" i="5"/>
  <c r="AH178" i="5" s="1"/>
  <c r="AR98" i="5"/>
  <c r="BM134" i="5"/>
  <c r="BG80" i="5"/>
  <c r="AR138" i="5"/>
  <c r="AR183" i="5"/>
  <c r="AX238" i="5"/>
  <c r="BA65" i="5"/>
  <c r="AR230" i="5"/>
  <c r="BG73" i="5"/>
  <c r="BP149" i="5"/>
  <c r="X46" i="5"/>
  <c r="BG121" i="5"/>
  <c r="BS249" i="5"/>
  <c r="BM258" i="5"/>
  <c r="AJ102" i="5"/>
  <c r="AL102" i="5"/>
  <c r="AU45" i="5"/>
  <c r="BA111" i="5"/>
  <c r="BD141" i="5"/>
  <c r="BS174" i="5"/>
  <c r="AG142" i="5"/>
  <c r="AH142" i="5" s="1"/>
  <c r="BJ260" i="5"/>
  <c r="AR194" i="5"/>
  <c r="AJ172" i="5"/>
  <c r="BR130" i="5"/>
  <c r="BS130" i="5" s="1"/>
  <c r="BS117" i="5"/>
  <c r="BM139" i="5"/>
  <c r="AX178" i="5"/>
  <c r="AL208" i="5"/>
  <c r="AJ208" i="5"/>
  <c r="AU176" i="5"/>
  <c r="AR171" i="5"/>
  <c r="AR122" i="5"/>
  <c r="BG187" i="5"/>
  <c r="BF220" i="5"/>
  <c r="AU216" i="5"/>
  <c r="AJ63" i="5"/>
  <c r="AL63" i="5"/>
  <c r="AU201" i="5"/>
  <c r="AX163" i="5"/>
  <c r="BM163" i="5"/>
  <c r="BS198" i="5"/>
  <c r="AU83" i="5"/>
  <c r="AR61" i="5"/>
  <c r="BD110" i="5"/>
  <c r="AL112" i="5"/>
  <c r="AJ112" i="5"/>
  <c r="BM74" i="5"/>
  <c r="BJ170" i="5"/>
  <c r="BD210" i="5"/>
  <c r="AL109" i="5"/>
  <c r="AJ109" i="5"/>
  <c r="AJ47" i="5"/>
  <c r="AL47" i="5"/>
  <c r="BS47" i="5"/>
  <c r="BG181" i="5"/>
  <c r="BA160" i="5"/>
  <c r="AG163" i="5"/>
  <c r="AH163" i="5" s="1"/>
  <c r="X230" i="5"/>
  <c r="AR42" i="5"/>
  <c r="AX257" i="5"/>
  <c r="BS106" i="5"/>
  <c r="BD112" i="5"/>
  <c r="BS112" i="5"/>
  <c r="BD240" i="5"/>
  <c r="BP66" i="5"/>
  <c r="BD74" i="5"/>
  <c r="BA78" i="5"/>
  <c r="AR72" i="5"/>
  <c r="AR144" i="5"/>
  <c r="AG160" i="5"/>
  <c r="AH160" i="5" s="1"/>
  <c r="BJ136" i="5"/>
  <c r="BJ185" i="5"/>
  <c r="BJ187" i="5"/>
  <c r="BI220" i="5"/>
  <c r="BJ113" i="5"/>
  <c r="BM108" i="5"/>
  <c r="BM168" i="5"/>
  <c r="AR148" i="5"/>
  <c r="AG111" i="5"/>
  <c r="AH111" i="5" s="1"/>
  <c r="BG230" i="5"/>
  <c r="AG308" i="5"/>
  <c r="AG198" i="5"/>
  <c r="AH198" i="5" s="1"/>
  <c r="AU196" i="5"/>
  <c r="BP49" i="5"/>
  <c r="BM49" i="5" s="1"/>
  <c r="BJ102" i="5"/>
  <c r="BP84" i="5"/>
  <c r="AR139" i="5"/>
  <c r="AR191" i="5"/>
  <c r="AJ151" i="5"/>
  <c r="AL151" i="5"/>
  <c r="BD140" i="5"/>
  <c r="AR32" i="5"/>
  <c r="AX175" i="5"/>
  <c r="BS247" i="5"/>
  <c r="BS228" i="5"/>
  <c r="AR89" i="5"/>
  <c r="AR177" i="5"/>
  <c r="AR213" i="5"/>
  <c r="AU133" i="5"/>
  <c r="AR105" i="5"/>
  <c r="BA155" i="5"/>
  <c r="AU111" i="5"/>
  <c r="AU209" i="5"/>
  <c r="BS212" i="5"/>
  <c r="AX171" i="5"/>
  <c r="AT270" i="5"/>
  <c r="BP140" i="5"/>
  <c r="AX110" i="5"/>
  <c r="BS176" i="5"/>
  <c r="BS201" i="5"/>
  <c r="AX103" i="5"/>
  <c r="AU210" i="5"/>
  <c r="AG197" i="5"/>
  <c r="AH197" i="5" s="1"/>
  <c r="BJ49" i="5"/>
  <c r="A54" i="7"/>
  <c r="B54" i="7"/>
  <c r="C54" i="7"/>
  <c r="BD63" i="5"/>
  <c r="AU48" i="5"/>
  <c r="AG261" i="5"/>
  <c r="AH261" i="5" s="1"/>
  <c r="X250" i="5"/>
  <c r="BM164" i="5"/>
  <c r="AJ199" i="5"/>
  <c r="AL199" i="5"/>
  <c r="BS197" i="5"/>
  <c r="AJ231" i="5"/>
  <c r="AL231" i="5"/>
  <c r="BD194" i="5"/>
  <c r="AR86" i="5"/>
  <c r="S317" i="5"/>
  <c r="W317" i="5" s="1"/>
  <c r="AG317" i="5" s="1"/>
  <c r="BD146" i="5"/>
  <c r="X228" i="5"/>
  <c r="AU254" i="5"/>
  <c r="BP260" i="5"/>
  <c r="BS210" i="5"/>
  <c r="AX125" i="5"/>
  <c r="AR76" i="5"/>
  <c r="AR182" i="5"/>
  <c r="AX160" i="5"/>
  <c r="BD181" i="5"/>
  <c r="BJ121" i="5"/>
  <c r="AR30" i="5"/>
  <c r="BM167" i="5"/>
  <c r="BD248" i="5"/>
  <c r="BJ88" i="5"/>
  <c r="T295" i="5"/>
  <c r="BJ148" i="5"/>
  <c r="AX184" i="5"/>
  <c r="BJ141" i="5"/>
  <c r="BD46" i="5"/>
  <c r="BM98" i="5"/>
  <c r="AX228" i="5"/>
  <c r="BS75" i="5"/>
  <c r="AJ45" i="5"/>
  <c r="AL45" i="5"/>
  <c r="BS45" i="5"/>
  <c r="BO252" i="5"/>
  <c r="BP252" i="5" s="1"/>
  <c r="BP246" i="5"/>
  <c r="AG206" i="5"/>
  <c r="AH206" i="5" s="1"/>
  <c r="AH207" i="5" s="1"/>
  <c r="AE207" i="5"/>
  <c r="AG207" i="5" s="1"/>
  <c r="BS119" i="5"/>
  <c r="AG149" i="5"/>
  <c r="AH149" i="5" s="1"/>
  <c r="BJ80" i="5"/>
  <c r="AG59" i="5"/>
  <c r="AH59" i="5" s="1"/>
  <c r="AR88" i="5"/>
  <c r="AU181" i="5"/>
  <c r="BS254" i="5"/>
  <c r="BR263" i="5"/>
  <c r="BS263" i="5" s="1"/>
  <c r="BP86" i="5"/>
  <c r="AL68" i="5"/>
  <c r="AJ68" i="5"/>
  <c r="BM209" i="5"/>
  <c r="AG97" i="5"/>
  <c r="AH97" i="5" s="1"/>
  <c r="AU232" i="5"/>
  <c r="BP183" i="5"/>
  <c r="BS170" i="5"/>
  <c r="AG168" i="5"/>
  <c r="AH168" i="5" s="1"/>
  <c r="AG232" i="5"/>
  <c r="AH232" i="5" s="1"/>
  <c r="BP198" i="5"/>
  <c r="AR147" i="5"/>
  <c r="BM102" i="5"/>
  <c r="S252" i="5"/>
  <c r="S343" i="5"/>
  <c r="W343" i="5" s="1"/>
  <c r="AG343" i="5" s="1"/>
  <c r="BS127" i="5"/>
  <c r="BJ72" i="5"/>
  <c r="AU231" i="5"/>
  <c r="BD50" i="5"/>
  <c r="BD55" i="5"/>
  <c r="AX118" i="5"/>
  <c r="BA171" i="5"/>
  <c r="AJ212" i="5"/>
  <c r="AL212" i="5"/>
  <c r="AR185" i="5"/>
  <c r="AJ164" i="5"/>
  <c r="AL164" i="5"/>
  <c r="BA50" i="5"/>
  <c r="AU217" i="5"/>
  <c r="BD215" i="5"/>
  <c r="BD70" i="5"/>
  <c r="R91" i="5"/>
  <c r="R293" i="5"/>
  <c r="BG247" i="5"/>
  <c r="BM128" i="5"/>
  <c r="AR110" i="5"/>
  <c r="BM104" i="5"/>
  <c r="AJ161" i="5"/>
  <c r="AL161" i="5"/>
  <c r="BO242" i="5"/>
  <c r="BP242" i="5" s="1"/>
  <c r="BP238" i="5"/>
  <c r="BS158" i="5"/>
  <c r="BJ103" i="5"/>
  <c r="B63" i="7"/>
  <c r="A63" i="7"/>
  <c r="C63" i="7"/>
  <c r="BJ66" i="5"/>
  <c r="AG179" i="5"/>
  <c r="AH179" i="5" s="1"/>
  <c r="AU168" i="5"/>
  <c r="AU139" i="5"/>
  <c r="AL132" i="5"/>
  <c r="AJ132" i="5"/>
  <c r="AJ175" i="5"/>
  <c r="AL175" i="5"/>
  <c r="BR55" i="5"/>
  <c r="BS55" i="5" s="1"/>
  <c r="BS53" i="5"/>
  <c r="AU263" i="5"/>
  <c r="AR117" i="5"/>
  <c r="AG332" i="5"/>
  <c r="AU242" i="5"/>
  <c r="AJ230" i="5"/>
  <c r="AL230" i="5"/>
  <c r="AU43" i="5"/>
  <c r="BD228" i="5"/>
  <c r="BS214" i="5"/>
  <c r="BG98" i="5"/>
  <c r="AU170" i="5"/>
  <c r="BS137" i="5"/>
  <c r="BP247" i="5"/>
  <c r="AG250" i="5"/>
  <c r="AH250" i="5" s="1"/>
  <c r="BA87" i="5"/>
  <c r="BJ125" i="5"/>
  <c r="AU127" i="5"/>
  <c r="AR167" i="5"/>
  <c r="BA208" i="5"/>
  <c r="BJ41" i="5"/>
  <c r="AW270" i="5"/>
  <c r="BA214" i="5"/>
  <c r="AX148" i="5"/>
  <c r="AU125" i="5"/>
  <c r="BA66" i="5"/>
  <c r="BA110" i="5"/>
  <c r="AX227" i="5"/>
  <c r="BJ55" i="5"/>
  <c r="AR94" i="5"/>
  <c r="BM151" i="5"/>
  <c r="AX241" i="5"/>
  <c r="AJ193" i="5"/>
  <c r="AL193" i="5"/>
  <c r="AR195" i="5"/>
  <c r="BD212" i="5"/>
  <c r="BD229" i="5"/>
  <c r="BD201" i="5"/>
  <c r="R323" i="5"/>
  <c r="R206" i="5"/>
  <c r="AJ108" i="5"/>
  <c r="AL108" i="5"/>
  <c r="BP79" i="5"/>
  <c r="AR260" i="5"/>
  <c r="AG72" i="5"/>
  <c r="AH72" i="5" s="1"/>
  <c r="BP202" i="5"/>
  <c r="AZ130" i="5"/>
  <c r="BA117" i="5"/>
  <c r="BA130" i="5" s="1"/>
  <c r="AG257" i="5"/>
  <c r="AH257" i="5" s="1"/>
  <c r="AJ254" i="5"/>
  <c r="AL254" i="5"/>
  <c r="BA71" i="5"/>
  <c r="BS76" i="5"/>
  <c r="BA179" i="5"/>
  <c r="AG236" i="5"/>
  <c r="BP82" i="5"/>
  <c r="AX179" i="5"/>
  <c r="BS259" i="5"/>
  <c r="BA216" i="5"/>
  <c r="BM70" i="5"/>
  <c r="BA167" i="5"/>
  <c r="AJ162" i="5"/>
  <c r="AL162" i="5"/>
  <c r="AR25" i="5"/>
  <c r="M220" i="5"/>
  <c r="G220" i="5"/>
  <c r="L220" i="5"/>
  <c r="H220" i="5"/>
  <c r="F220" i="5"/>
  <c r="F222" i="5" s="1"/>
  <c r="F224" i="5" s="1"/>
  <c r="F236" i="5" s="1"/>
  <c r="F244" i="5" s="1"/>
  <c r="F265" i="5" s="1"/>
  <c r="F270" i="5" s="1"/>
  <c r="J220" i="5"/>
  <c r="O220" i="5"/>
  <c r="T220" i="5"/>
  <c r="I220" i="5"/>
  <c r="U220" i="5"/>
  <c r="N220" i="5"/>
  <c r="K220" i="5"/>
  <c r="R331" i="5"/>
  <c r="AU73" i="5"/>
  <c r="BF153" i="5"/>
  <c r="BG132" i="5"/>
  <c r="BM228" i="5"/>
  <c r="BG196" i="5"/>
  <c r="AG220" i="5"/>
  <c r="AE221" i="5"/>
  <c r="AG221" i="5" s="1"/>
  <c r="AE223" i="5"/>
  <c r="AG223" i="5" s="1"/>
  <c r="AU105" i="5"/>
  <c r="BG45" i="5"/>
  <c r="AR146" i="5"/>
  <c r="AL178" i="5"/>
  <c r="AJ178" i="5"/>
  <c r="BJ165" i="5"/>
  <c r="AZ153" i="5"/>
  <c r="BA132" i="5"/>
  <c r="BA153" i="5" s="1"/>
  <c r="AU260" i="5"/>
  <c r="AR119" i="5"/>
  <c r="BA62" i="5"/>
  <c r="BP174" i="5"/>
  <c r="AU239" i="5"/>
  <c r="BA61" i="5"/>
  <c r="AU50" i="5"/>
  <c r="BA118" i="5"/>
  <c r="BG84" i="5"/>
  <c r="AR136" i="5"/>
  <c r="AU99" i="5"/>
  <c r="BD158" i="5"/>
  <c r="BM214" i="5"/>
  <c r="AR123" i="5"/>
  <c r="AZ206" i="5"/>
  <c r="BA191" i="5"/>
  <c r="BA206" i="5" s="1"/>
  <c r="BJ144" i="5"/>
  <c r="BJ128" i="5"/>
  <c r="AX168" i="5"/>
  <c r="AR77" i="5"/>
  <c r="BA200" i="5"/>
  <c r="X44" i="5"/>
  <c r="AJ180" i="5"/>
  <c r="AL180" i="5"/>
  <c r="BA82" i="5"/>
  <c r="BS63" i="5"/>
  <c r="BM238" i="5"/>
  <c r="BL242" i="5"/>
  <c r="BM242" i="5" s="1"/>
  <c r="BA59" i="5"/>
  <c r="BJ175" i="5"/>
  <c r="AU180" i="5"/>
  <c r="BJ135" i="5"/>
  <c r="BM69" i="5"/>
  <c r="BD185" i="5"/>
  <c r="AR49" i="5"/>
  <c r="BJ82" i="5"/>
  <c r="BD160" i="5"/>
  <c r="BP178" i="5"/>
  <c r="BS62" i="5"/>
  <c r="AJ197" i="5"/>
  <c r="AL197" i="5"/>
  <c r="AU58" i="5"/>
  <c r="BG163" i="5"/>
  <c r="BA45" i="5"/>
  <c r="AG203" i="5"/>
  <c r="AH203" i="5" s="1"/>
  <c r="X48" i="5"/>
  <c r="BA147" i="5"/>
  <c r="BA210" i="5"/>
  <c r="BP164" i="5"/>
  <c r="AG259" i="5"/>
  <c r="AH259" i="5" s="1"/>
  <c r="AL88" i="5"/>
  <c r="AJ88" i="5"/>
  <c r="BJ208" i="5"/>
  <c r="AJ71" i="5"/>
  <c r="AL71" i="5"/>
  <c r="AJ215" i="5"/>
  <c r="AL215" i="5"/>
  <c r="AG123" i="5"/>
  <c r="AH123" i="5" s="1"/>
  <c r="BO55" i="5"/>
  <c r="BP55" i="5" s="1"/>
  <c r="BM55" i="5" s="1"/>
  <c r="BP53" i="5"/>
  <c r="BJ209" i="5"/>
  <c r="BD124" i="5"/>
  <c r="S302" i="5"/>
  <c r="W302" i="5" s="1"/>
  <c r="AG302" i="5" s="1"/>
  <c r="AG66" i="5"/>
  <c r="AH66" i="5" s="1"/>
  <c r="BS94" i="5"/>
  <c r="BM160" i="5"/>
  <c r="BA238" i="5"/>
  <c r="BA242" i="5" s="1"/>
  <c r="AZ242" i="5"/>
  <c r="AR47" i="5"/>
  <c r="BD171" i="5"/>
  <c r="BJ197" i="5"/>
  <c r="BJ44" i="5"/>
  <c r="AU59" i="5"/>
  <c r="BS134" i="5"/>
  <c r="AR178" i="5"/>
  <c r="BD72" i="5"/>
  <c r="AG135" i="5"/>
  <c r="AH135" i="5" s="1"/>
  <c r="BD256" i="5"/>
  <c r="BS110" i="5"/>
  <c r="BD144" i="5"/>
  <c r="AX200" i="5"/>
  <c r="AJ239" i="5"/>
  <c r="AL239" i="5"/>
  <c r="AX212" i="5"/>
  <c r="AJ27" i="5"/>
  <c r="BS27" i="5"/>
  <c r="AL27" i="5"/>
  <c r="AG260" i="5"/>
  <c r="AH260" i="5" s="1"/>
  <c r="BP182" i="5"/>
  <c r="U305" i="5"/>
  <c r="U130" i="5"/>
  <c r="AU247" i="5"/>
  <c r="AG141" i="5"/>
  <c r="AH141" i="5" s="1"/>
  <c r="AX214" i="5"/>
  <c r="BS40" i="5"/>
  <c r="AJ40" i="5"/>
  <c r="AJ54" i="5" s="1"/>
  <c r="AL40" i="5"/>
  <c r="AL54" i="5" s="1"/>
  <c r="AG158" i="5"/>
  <c r="AH158" i="5" s="1"/>
  <c r="BG110" i="5"/>
  <c r="BJ193" i="5"/>
  <c r="AU238" i="5"/>
  <c r="BG144" i="5"/>
  <c r="BS132" i="5"/>
  <c r="BR153" i="5"/>
  <c r="BS153" i="5" s="1"/>
  <c r="AU74" i="5"/>
  <c r="AX177" i="5"/>
  <c r="AQ189" i="5"/>
  <c r="I222" i="5" l="1"/>
  <c r="I224" i="5" s="1"/>
  <c r="I236" i="5" s="1"/>
  <c r="I244" i="5" s="1"/>
  <c r="I265" i="5" s="1"/>
  <c r="I270" i="5" s="1"/>
  <c r="M222" i="5"/>
  <c r="M224" i="5" s="1"/>
  <c r="M236" i="5" s="1"/>
  <c r="M244" i="5" s="1"/>
  <c r="M265" i="5" s="1"/>
  <c r="M270" i="5" s="1"/>
  <c r="BJ130" i="5"/>
  <c r="BF115" i="5"/>
  <c r="BD115" i="5"/>
  <c r="W244" i="5"/>
  <c r="W265" i="5" s="1"/>
  <c r="W270" i="5" s="1"/>
  <c r="AH264" i="5"/>
  <c r="BC222" i="5"/>
  <c r="BC224" i="5" s="1"/>
  <c r="BC236" i="5" s="1"/>
  <c r="BC244" i="5" s="1"/>
  <c r="BC265" i="5" s="1"/>
  <c r="BC270" i="5" s="1"/>
  <c r="L222" i="5"/>
  <c r="L224" i="5" s="1"/>
  <c r="T265" i="5"/>
  <c r="T222" i="5"/>
  <c r="J222" i="5"/>
  <c r="J224" i="5" s="1"/>
  <c r="J236" i="5" s="1"/>
  <c r="G222" i="5"/>
  <c r="G224" i="5" s="1"/>
  <c r="G236" i="5" s="1"/>
  <c r="G244" i="5" s="1"/>
  <c r="G265" i="5" s="1"/>
  <c r="G270" i="5" s="1"/>
  <c r="G272" i="5" s="1"/>
  <c r="U222" i="5"/>
  <c r="AQ223" i="5"/>
  <c r="P220" i="5"/>
  <c r="BD220" i="5"/>
  <c r="K222" i="5"/>
  <c r="AF93" i="5"/>
  <c r="P91" i="5"/>
  <c r="BD91" i="5"/>
  <c r="AJ153" i="5"/>
  <c r="AL153" i="5"/>
  <c r="BM153" i="5"/>
  <c r="AU153" i="5"/>
  <c r="AH153" i="5"/>
  <c r="AH154" i="5" s="1"/>
  <c r="BJ153" i="5"/>
  <c r="AR153" i="5"/>
  <c r="BP153" i="5"/>
  <c r="BG153" i="5"/>
  <c r="AX153" i="5"/>
  <c r="P189" i="5"/>
  <c r="BD189" i="5"/>
  <c r="BM130" i="5"/>
  <c r="AX130" i="5"/>
  <c r="AL130" i="5"/>
  <c r="AR130" i="5"/>
  <c r="AU130" i="5"/>
  <c r="AH130" i="5"/>
  <c r="AH131" i="5" s="1"/>
  <c r="AJ130" i="5"/>
  <c r="BP130" i="5"/>
  <c r="BG130" i="5"/>
  <c r="P130" i="5"/>
  <c r="BD130" i="5"/>
  <c r="BI222" i="5"/>
  <c r="BI224" i="5" s="1"/>
  <c r="BI236" i="5" s="1"/>
  <c r="BI244" i="5" s="1"/>
  <c r="BI265" i="5" s="1"/>
  <c r="BI270" i="5" s="1"/>
  <c r="AU220" i="5"/>
  <c r="AL220" i="5"/>
  <c r="O222" i="5"/>
  <c r="BM220" i="5"/>
  <c r="BG220" i="5"/>
  <c r="AH220" i="5"/>
  <c r="AH221" i="5" s="1"/>
  <c r="AR220" i="5"/>
  <c r="AJ220" i="5"/>
  <c r="BJ220" i="5"/>
  <c r="BP220" i="5"/>
  <c r="AX220" i="5"/>
  <c r="Q222" i="5"/>
  <c r="BF222" i="5"/>
  <c r="BF224" i="5" s="1"/>
  <c r="BF236" i="5" s="1"/>
  <c r="BF244" i="5" s="1"/>
  <c r="BF265" i="5" s="1"/>
  <c r="BF270" i="5" s="1"/>
  <c r="S55" i="5"/>
  <c r="S53" i="5"/>
  <c r="AI93" i="5"/>
  <c r="U53" i="5"/>
  <c r="U55" i="5"/>
  <c r="AL189" i="5"/>
  <c r="AJ189" i="5"/>
  <c r="BG189" i="5"/>
  <c r="AU189" i="5"/>
  <c r="AH189" i="5"/>
  <c r="AH190" i="5" s="1"/>
  <c r="AR189" i="5"/>
  <c r="BP189" i="5"/>
  <c r="BM189" i="5"/>
  <c r="BJ189" i="5"/>
  <c r="AX189" i="5"/>
  <c r="AZ222" i="5"/>
  <c r="AZ224" i="5" s="1"/>
  <c r="AZ236" i="5" s="1"/>
  <c r="AZ244" i="5" s="1"/>
  <c r="AZ265" i="5" s="1"/>
  <c r="AZ270" i="5" s="1"/>
  <c r="AL91" i="5"/>
  <c r="AL92" i="5" s="1"/>
  <c r="AX91" i="5"/>
  <c r="AX92" i="5" s="1"/>
  <c r="O92" i="5"/>
  <c r="AH92" i="5" s="1"/>
  <c r="AJ91" i="5"/>
  <c r="AJ92" i="5" s="1"/>
  <c r="BM91" i="5"/>
  <c r="BP91" i="5"/>
  <c r="AH91" i="5"/>
  <c r="AH93" i="5" s="1"/>
  <c r="BJ91" i="5"/>
  <c r="AR91" i="5"/>
  <c r="AR92" i="5" s="1"/>
  <c r="BG91" i="5"/>
  <c r="AU91" i="5"/>
  <c r="AU92" i="5" s="1"/>
  <c r="BS220" i="5"/>
  <c r="BR222" i="5"/>
  <c r="P153" i="5"/>
  <c r="BD153" i="5"/>
  <c r="BP115" i="5"/>
  <c r="AX115" i="5"/>
  <c r="AH115" i="5"/>
  <c r="AH116" i="5" s="1"/>
  <c r="AJ115" i="5"/>
  <c r="AC115" i="5"/>
  <c r="AC222" i="5" s="1"/>
  <c r="AL115" i="5"/>
  <c r="BM115" i="5"/>
  <c r="AU115" i="5"/>
  <c r="AR115" i="5"/>
  <c r="BJ115" i="5"/>
  <c r="BG115" i="5"/>
  <c r="BO222" i="5"/>
  <c r="BO224" i="5" s="1"/>
  <c r="BO236" i="5" s="1"/>
  <c r="BO244" i="5" s="1"/>
  <c r="BO265" i="5" s="1"/>
  <c r="BO270" i="5" s="1"/>
  <c r="R55" i="5"/>
  <c r="R53" i="5"/>
  <c r="AH53" i="5"/>
  <c r="AH54" i="5" s="1"/>
  <c r="AG54" i="5"/>
  <c r="X244" i="5"/>
  <c r="X265" i="5" s="1"/>
  <c r="X270" i="5" s="1"/>
  <c r="T55" i="5"/>
  <c r="T53" i="5"/>
  <c r="J244" i="5"/>
  <c r="BA222" i="5"/>
  <c r="BA224" i="5" s="1"/>
  <c r="BA236" i="5" s="1"/>
  <c r="BA244" i="5" s="1"/>
  <c r="BA265" i="5" s="1"/>
  <c r="BA270" i="5" s="1"/>
  <c r="U265" i="5"/>
  <c r="AL242" i="5"/>
  <c r="AJ242" i="5"/>
  <c r="AG93" i="5"/>
  <c r="R222" i="5"/>
  <c r="BL222" i="5"/>
  <c r="BL224" i="5" s="1"/>
  <c r="BL236" i="5" s="1"/>
  <c r="BL244" i="5" s="1"/>
  <c r="BL265" i="5" s="1"/>
  <c r="BL270" i="5" s="1"/>
  <c r="S222" i="5"/>
  <c r="AL223" i="5" l="1"/>
  <c r="L236" i="5"/>
  <c r="Q224" i="5"/>
  <c r="T276" i="5"/>
  <c r="T290" i="5"/>
  <c r="T334" i="5" s="1"/>
  <c r="AU223" i="5"/>
  <c r="K224" i="5"/>
  <c r="P222" i="5"/>
  <c r="BD222" i="5"/>
  <c r="BM236" i="5"/>
  <c r="R290" i="5"/>
  <c r="R334" i="5" s="1"/>
  <c r="R224" i="5"/>
  <c r="R236" i="5" s="1"/>
  <c r="R244" i="5" s="1"/>
  <c r="R265" i="5" s="1"/>
  <c r="R270" i="5" s="1"/>
  <c r="R276" i="5"/>
  <c r="BR224" i="5"/>
  <c r="BS222" i="5"/>
  <c r="U290" i="5"/>
  <c r="U334" i="5" s="1"/>
  <c r="U276" i="5"/>
  <c r="S276" i="5"/>
  <c r="S290" i="5"/>
  <c r="S224" i="5"/>
  <c r="S236" i="5" s="1"/>
  <c r="S244" i="5" s="1"/>
  <c r="S265" i="5" s="1"/>
  <c r="S270" i="5" s="1"/>
  <c r="O223" i="5"/>
  <c r="J265" i="5"/>
  <c r="J270" i="5" s="1"/>
  <c r="BM244" i="5"/>
  <c r="AR223" i="5"/>
  <c r="AR222" i="5"/>
  <c r="AL222" i="5"/>
  <c r="AX222" i="5"/>
  <c r="O224" i="5"/>
  <c r="BM222" i="5"/>
  <c r="BP222" i="5"/>
  <c r="BJ222" i="5"/>
  <c r="AJ222" i="5"/>
  <c r="AH222" i="5"/>
  <c r="AU222" i="5"/>
  <c r="BG222" i="5"/>
  <c r="AC224" i="5" l="1"/>
  <c r="AC236" i="5" s="1"/>
  <c r="AC244" i="5" s="1"/>
  <c r="AC265" i="5" s="1"/>
  <c r="AL224" i="5"/>
  <c r="AL225" i="5" s="1"/>
  <c r="BP224" i="5"/>
  <c r="BM224" i="5"/>
  <c r="AJ224" i="5"/>
  <c r="AR224" i="5"/>
  <c r="AR225" i="5" s="1"/>
  <c r="O225" i="5"/>
  <c r="BJ224" i="5"/>
  <c r="AU224" i="5"/>
  <c r="AU225" i="5" s="1"/>
  <c r="AH224" i="5"/>
  <c r="O236" i="5"/>
  <c r="AX224" i="5"/>
  <c r="AX225" i="5" s="1"/>
  <c r="BG224" i="5"/>
  <c r="BP223" i="5"/>
  <c r="BJ223" i="5"/>
  <c r="BG223" i="5"/>
  <c r="AH223" i="5"/>
  <c r="AJ223" i="5"/>
  <c r="W276" i="5"/>
  <c r="AG276" i="5" s="1"/>
  <c r="S334" i="5"/>
  <c r="W334" i="5" s="1"/>
  <c r="AG334" i="5" s="1"/>
  <c r="W290" i="5"/>
  <c r="AG290" i="5" s="1"/>
  <c r="P224" i="5"/>
  <c r="K236" i="5"/>
  <c r="BD224" i="5"/>
  <c r="BS224" i="5"/>
  <c r="BR236" i="5"/>
  <c r="Q236" i="5"/>
  <c r="L244" i="5"/>
  <c r="BS236" i="5" l="1"/>
  <c r="BR244" i="5"/>
  <c r="K244" i="5"/>
  <c r="P236" i="5"/>
  <c r="BD236" i="5"/>
  <c r="BP236" i="5"/>
  <c r="AX236" i="5"/>
  <c r="AU236" i="5"/>
  <c r="AJ236" i="5"/>
  <c r="AL236" i="5"/>
  <c r="AH236" i="5"/>
  <c r="O244" i="5"/>
  <c r="BJ236" i="5"/>
  <c r="BG236" i="5"/>
  <c r="BP225" i="5"/>
  <c r="AJ225" i="5"/>
  <c r="BG225" i="5"/>
  <c r="AH225" i="5"/>
  <c r="BJ225" i="5"/>
  <c r="L265" i="5"/>
  <c r="Q244" i="5"/>
  <c r="L270" i="5" l="1"/>
  <c r="Q270" i="5" s="1"/>
  <c r="Q265" i="5"/>
  <c r="BP244" i="5"/>
  <c r="AU244" i="5"/>
  <c r="AH244" i="5"/>
  <c r="AX244" i="5"/>
  <c r="AL244" i="5"/>
  <c r="O265" i="5"/>
  <c r="BJ244" i="5"/>
  <c r="AJ244" i="5"/>
  <c r="BG244" i="5"/>
  <c r="BD244" i="5"/>
  <c r="P244" i="5"/>
  <c r="K265" i="5"/>
  <c r="BR265" i="5"/>
  <c r="BS244" i="5"/>
  <c r="AL265" i="5" l="1"/>
  <c r="AJ265" i="5"/>
  <c r="BM265" i="5"/>
  <c r="AX265" i="5"/>
  <c r="AR265" i="5"/>
  <c r="AR270" i="5" s="1"/>
  <c r="AU265" i="5"/>
  <c r="BP265" i="5"/>
  <c r="AH265" i="5"/>
  <c r="BJ265" i="5"/>
  <c r="BG265" i="5"/>
  <c r="BR270" i="5"/>
  <c r="BS270" i="5" s="1"/>
  <c r="BS265" i="5"/>
  <c r="BD265" i="5"/>
  <c r="P265" i="5"/>
  <c r="K270" i="5"/>
  <c r="P270" i="5" l="1"/>
  <c r="BD270" i="5"/>
  <c r="O270" i="5"/>
  <c r="BM270" i="5" l="1"/>
  <c r="AX270" i="5"/>
  <c r="AJ270" i="5"/>
  <c r="BJ270" i="5"/>
  <c r="AH270" i="5"/>
  <c r="AU270" i="5"/>
  <c r="AL270" i="5"/>
  <c r="BP270" i="5"/>
  <c r="AC270" i="5"/>
  <c r="BG270" i="5"/>
  <c r="Z49" i="63"/>
  <c r="AA49" i="63"/>
  <c r="Z189" i="63"/>
  <c r="AA189" i="63"/>
</calcChain>
</file>

<file path=xl/sharedStrings.xml><?xml version="1.0" encoding="utf-8"?>
<sst xmlns="http://schemas.openxmlformats.org/spreadsheetml/2006/main" count="8070" uniqueCount="843">
  <si>
    <t>P&amp;L ACCOUNT -  Juin 2015</t>
  </si>
  <si>
    <t>REVENUES</t>
  </si>
  <si>
    <t>Staff Costs</t>
  </si>
  <si>
    <t xml:space="preserve">Salaires Bruts </t>
  </si>
  <si>
    <t>CS Salaires Bruts</t>
  </si>
  <si>
    <t>Primes</t>
  </si>
  <si>
    <t xml:space="preserve">S/C Primes </t>
  </si>
  <si>
    <t>S/C Primes Précarité</t>
  </si>
  <si>
    <t>CS Holiday Pay Neo</t>
  </si>
  <si>
    <t>CS Holiday Pay O&amp;M Refac</t>
  </si>
  <si>
    <t>CS Other Staff Costs (Admire)</t>
  </si>
  <si>
    <t>Indemnités</t>
  </si>
  <si>
    <t>CS Indemnités</t>
  </si>
  <si>
    <t>ICO (Shona)</t>
  </si>
  <si>
    <t>ICO (Grégory)</t>
  </si>
  <si>
    <t>S/C ITOS (Shona)</t>
  </si>
  <si>
    <t>S/C ITOS (Grégory)</t>
  </si>
  <si>
    <t>Recrutement</t>
  </si>
  <si>
    <t>Freelance</t>
  </si>
  <si>
    <t>ICO (Londres)</t>
  </si>
  <si>
    <t>ICO (juridique, paie etc)</t>
  </si>
  <si>
    <t>Participation</t>
  </si>
  <si>
    <t>Forfait Social (Participation) / CS</t>
  </si>
  <si>
    <t>ITOS - Admire</t>
  </si>
  <si>
    <t>Other Staff Costs</t>
  </si>
  <si>
    <t>Crédit d'impot (CS)</t>
  </si>
  <si>
    <t>Voiture (TVTS = Office costs)</t>
  </si>
  <si>
    <t>- Location véhicules</t>
  </si>
  <si>
    <t>- Assurance véhicules</t>
  </si>
  <si>
    <t>- Frais essence</t>
  </si>
  <si>
    <t>- Frais de véhicules</t>
  </si>
  <si>
    <t>IDR</t>
  </si>
  <si>
    <t>Holiday Pay</t>
  </si>
  <si>
    <t>- Prov CP Neo</t>
  </si>
  <si>
    <t>- Prov CP Refac O&amp;M</t>
  </si>
  <si>
    <t>TOTAL STAFF COSTS</t>
  </si>
  <si>
    <t>Establishment Costs</t>
  </si>
  <si>
    <t>Charges Locatives (Marbeuf)</t>
  </si>
  <si>
    <t>Agencements (Marbeuf)</t>
  </si>
  <si>
    <t>Parking (Oone)</t>
  </si>
  <si>
    <t>Frais Démenagement</t>
  </si>
  <si>
    <t>Accrual establishment costs (increase in FTE)</t>
  </si>
  <si>
    <t>Total Establishment costs</t>
  </si>
  <si>
    <t>Personal Costs</t>
  </si>
  <si>
    <t>Welfare :</t>
  </si>
  <si>
    <t>- Training (SC)</t>
  </si>
  <si>
    <t>- Taxes Fiscales Welfare (SC)</t>
  </si>
  <si>
    <t>- CE</t>
  </si>
  <si>
    <t>- Agefi</t>
  </si>
  <si>
    <t>- Urssaf</t>
  </si>
  <si>
    <t>- Medecine de travail</t>
  </si>
  <si>
    <t xml:space="preserve">- Café &amp; Eau (Œuvre Sociale) </t>
  </si>
  <si>
    <t>- Café &amp; Eau (Œuvre Sociale) - Marbeuf</t>
  </si>
  <si>
    <t>- Other</t>
  </si>
  <si>
    <t>Sous-total Welfare</t>
  </si>
  <si>
    <t>T&amp;E</t>
  </si>
  <si>
    <t>- Seminaire</t>
  </si>
  <si>
    <t>Total Personal Costs</t>
  </si>
  <si>
    <t>Commercial Costs</t>
  </si>
  <si>
    <t xml:space="preserve">Prospection </t>
  </si>
  <si>
    <t>- Prospection clientèle</t>
  </si>
  <si>
    <t>- Voyages déplacements prospects</t>
  </si>
  <si>
    <t>- Mission prospects</t>
  </si>
  <si>
    <t>Sous-total New Business</t>
  </si>
  <si>
    <t>Advert/Promo</t>
  </si>
  <si>
    <t>- Pub Agence</t>
  </si>
  <si>
    <t>- Cadeaux clientèle</t>
  </si>
  <si>
    <t>Sous-total Advert/Promo</t>
  </si>
  <si>
    <t>Research</t>
  </si>
  <si>
    <t>Sous-total Research</t>
  </si>
  <si>
    <t>Other Commercial Costs</t>
  </si>
  <si>
    <t>Total Commercial Costs</t>
  </si>
  <si>
    <t>Office Costs</t>
  </si>
  <si>
    <t>Stationery</t>
  </si>
  <si>
    <t xml:space="preserve">- Fourn Admin </t>
  </si>
  <si>
    <t>- Fourn Admin (Marbeuf - Papier + Sanitaires)</t>
  </si>
  <si>
    <t>- Fourn Bureau</t>
  </si>
  <si>
    <t>Sous-total Stationery</t>
  </si>
  <si>
    <t>Postage &amp; Couriers</t>
  </si>
  <si>
    <t>- Coursiers</t>
  </si>
  <si>
    <t>- Frais Postaux</t>
  </si>
  <si>
    <t>Sous-total Postage &amp; Couriers</t>
  </si>
  <si>
    <t>Other Office Costs</t>
  </si>
  <si>
    <t>- Documentation Générale</t>
  </si>
  <si>
    <t>- CFE / CVAE (ex.  TP)</t>
  </si>
  <si>
    <t>- TVTS</t>
  </si>
  <si>
    <t>- Organic</t>
  </si>
  <si>
    <t>- Autres charges Marbeuf (Mobilier / Capex)</t>
  </si>
  <si>
    <t>- Charges divers de gestion</t>
  </si>
  <si>
    <t>- Dot Amort Mobilier (Marbeuf)</t>
  </si>
  <si>
    <t>- Dot Logiciel (Marbeuf)</t>
  </si>
  <si>
    <t>Sous-total Other Office Costs</t>
  </si>
  <si>
    <t>Total Office Costs</t>
  </si>
  <si>
    <t>Voice / Fax Communication</t>
  </si>
  <si>
    <t>Voice / Fax Communication (Marbeuf)</t>
  </si>
  <si>
    <t>Data Communication (Internet)</t>
  </si>
  <si>
    <t>Data Communication (Internet - Marbeuf)</t>
  </si>
  <si>
    <t>Outsourced Business</t>
  </si>
  <si>
    <t>- UK licenses (Facturé d'O&amp;M Paris)</t>
  </si>
  <si>
    <t>- Entretien maint informatique</t>
  </si>
  <si>
    <t>- PR AKA (Sauvegarde IBM)</t>
  </si>
  <si>
    <t>- Media Manager / MBS (Licence)</t>
  </si>
  <si>
    <t>- Computer Equipment Maintenance (Marbeuf)</t>
  </si>
  <si>
    <t>- Dot Immos Logiciels (Licence MBS)</t>
  </si>
  <si>
    <t>- ADP Europe (Paie)</t>
  </si>
  <si>
    <t>- IBM (reclass IT ITOS costs - ADJ 17)</t>
  </si>
  <si>
    <t>Sous-total Outsourced Business</t>
  </si>
  <si>
    <t>- Photocopies (Marbeuf)</t>
  </si>
  <si>
    <t>- Fourn Informatique</t>
  </si>
  <si>
    <t>- Location Photopieur (Marbeuf)</t>
  </si>
  <si>
    <t>- Autres charges Marbeuf (IT / Capex)</t>
  </si>
  <si>
    <t>- Dot Amort Immo Informatique</t>
  </si>
  <si>
    <t>Sous-total other IT Costs</t>
  </si>
  <si>
    <t>ICO Recharge Facilities (MPLB)</t>
  </si>
  <si>
    <t>Total IT &amp; communication Costs</t>
  </si>
  <si>
    <t>Finance &amp; General</t>
  </si>
  <si>
    <t>Assurance Locaux (Marbeuf)</t>
  </si>
  <si>
    <t>Assurance Groupe</t>
  </si>
  <si>
    <t>Audit Fees</t>
  </si>
  <si>
    <t>AACC + Udecam</t>
  </si>
  <si>
    <t>Bank Charges</t>
  </si>
  <si>
    <t>Honoraires Juridiques</t>
  </si>
  <si>
    <t>Total Finance &amp; General</t>
  </si>
  <si>
    <t>TOTAL OOP</t>
  </si>
  <si>
    <t>GROUP OVERHEADS</t>
  </si>
  <si>
    <t>OPERATING PROFIT (OP)</t>
  </si>
  <si>
    <t>Interest Income</t>
  </si>
  <si>
    <t>Other</t>
  </si>
  <si>
    <t>Other Interest Income</t>
  </si>
  <si>
    <t>Loss on FX</t>
  </si>
  <si>
    <t>OP AFTER O/H AND OTHER INTERESTS</t>
  </si>
  <si>
    <t>OP BEFORE O/H AND AFTER INTEREST (LORETTE)</t>
  </si>
  <si>
    <t>Control Neo Section 2</t>
  </si>
  <si>
    <t>A NE PAS OUBLIER A REPORTER EN CPTE CARTESIS 22968 (part IDR) 2499 Euros</t>
  </si>
  <si>
    <t xml:space="preserve"> </t>
  </si>
  <si>
    <t>NEO SECTION 2</t>
  </si>
  <si>
    <t>Oone</t>
  </si>
  <si>
    <t>MPLB</t>
  </si>
  <si>
    <t>Provision NEO</t>
  </si>
  <si>
    <t>GRAND TOTAL</t>
  </si>
  <si>
    <t>ok</t>
  </si>
  <si>
    <t>Intercos</t>
  </si>
  <si>
    <t>Compte</t>
  </si>
  <si>
    <t>641002 + 641310</t>
  </si>
  <si>
    <t>648222 &amp; 648220</t>
  </si>
  <si>
    <t>613213 + 615626</t>
  </si>
  <si>
    <t>648207 &amp; 645003</t>
  </si>
  <si>
    <t>613200/2</t>
  </si>
  <si>
    <t>635806 + 635807</t>
  </si>
  <si>
    <t>Salaires</t>
  </si>
  <si>
    <t>647200/2</t>
  </si>
  <si>
    <t>647400/2</t>
  </si>
  <si>
    <t>645005/2</t>
  </si>
  <si>
    <t>623002 + 758023</t>
  </si>
  <si>
    <t>618400/2 + 752205</t>
  </si>
  <si>
    <t>606400/2</t>
  </si>
  <si>
    <t>606402/2</t>
  </si>
  <si>
    <t>615625/2</t>
  </si>
  <si>
    <t>606403/2</t>
  </si>
  <si>
    <t>613500/2</t>
  </si>
  <si>
    <t>616010/2</t>
  </si>
  <si>
    <t>Marbeuf</t>
  </si>
  <si>
    <t>- Allowance</t>
  </si>
  <si>
    <t>- Œuvre Sociale</t>
  </si>
  <si>
    <t>- Research</t>
  </si>
  <si>
    <t>- Other commercial cost</t>
  </si>
  <si>
    <t>Sous-total Travel</t>
  </si>
  <si>
    <t>- Outsourced business</t>
  </si>
  <si>
    <t>Billings - Commissions</t>
  </si>
  <si>
    <t>Billings - Fees</t>
  </si>
  <si>
    <t>RU=ODFRMO</t>
  </si>
  <si>
    <t>FL=MAN-YTD</t>
  </si>
  <si>
    <t>AU=0.INP</t>
  </si>
  <si>
    <t>CA=Actual</t>
  </si>
  <si>
    <t>PE=2015.06</t>
  </si>
  <si>
    <t>DP=2015.06</t>
  </si>
  <si>
    <t>CONTEXT</t>
  </si>
  <si>
    <t>Year</t>
  </si>
  <si>
    <t>Month</t>
  </si>
  <si>
    <t>.07</t>
  </si>
  <si>
    <t>Month-1</t>
  </si>
  <si>
    <t>(automatic)</t>
  </si>
  <si>
    <t>exemple</t>
  </si>
  <si>
    <t>CA=BUDGET</t>
  </si>
  <si>
    <t>CA=actual</t>
  </si>
  <si>
    <t>CA=FORECAST</t>
  </si>
  <si>
    <t>CA=ACTUAL</t>
  </si>
  <si>
    <t>CA=PROFORMA</t>
  </si>
  <si>
    <t>CA=Forecast</t>
  </si>
  <si>
    <t>DP=2014.12</t>
  </si>
  <si>
    <t>RU=ODFRAN1</t>
  </si>
  <si>
    <t>FL=MAN-PER</t>
  </si>
  <si>
    <t>FL=MAN-per</t>
  </si>
  <si>
    <t>FL=MAN-ytd</t>
  </si>
  <si>
    <t>FL=MPLB-YTD</t>
  </si>
  <si>
    <t>AU sum TOT-BUD-ELI1</t>
  </si>
  <si>
    <t>AU=0ADJ16</t>
  </si>
  <si>
    <t>SC=WPP</t>
  </si>
  <si>
    <t>VA=VCONRATE</t>
  </si>
  <si>
    <t>cf mensu Hervé</t>
  </si>
  <si>
    <t>CC=USD</t>
  </si>
  <si>
    <t>CTPY=ODFRMO</t>
  </si>
  <si>
    <t>CTPY=ORFRA1</t>
  </si>
  <si>
    <t>d'après mensu Hervé</t>
  </si>
  <si>
    <t>DP=2014.03</t>
  </si>
  <si>
    <t>DP=2011.03</t>
  </si>
  <si>
    <t>compta</t>
  </si>
  <si>
    <t>manual</t>
  </si>
  <si>
    <t>total</t>
  </si>
  <si>
    <t>PE=2014.12</t>
  </si>
  <si>
    <t>PE=2011.09</t>
  </si>
  <si>
    <t>Descriptions</t>
  </si>
  <si>
    <t>One</t>
  </si>
  <si>
    <t>Recl</t>
  </si>
  <si>
    <t>Prov 
OO</t>
  </si>
  <si>
    <t>Prov 
NEO</t>
  </si>
  <si>
    <t>MPLB 
Neo</t>
  </si>
  <si>
    <t>MPLB 
RW</t>
  </si>
  <si>
    <t>MPLB 
OO</t>
  </si>
  <si>
    <t>Export MGT OO</t>
  </si>
  <si>
    <t>Export MPLB OO</t>
  </si>
  <si>
    <t>Export MPLB NEO</t>
  </si>
  <si>
    <t>Export MPLB ORFRA</t>
  </si>
  <si>
    <t>QDEC</t>
  </si>
  <si>
    <t>Variance</t>
  </si>
  <si>
    <t>Q2 Flash</t>
  </si>
  <si>
    <t>YTD FAU Forecast
2015</t>
  </si>
  <si>
    <t>Q2 Rflash</t>
  </si>
  <si>
    <t>var YTD with Q2 Flash</t>
  </si>
  <si>
    <t>YTD FAU Forecast</t>
  </si>
  <si>
    <t xml:space="preserve">Forecast YTD with FAU </t>
  </si>
  <si>
    <t>Actuals  Monthly</t>
  </si>
  <si>
    <t xml:space="preserve">Forecast 
2015 Monthly </t>
  </si>
  <si>
    <t>Last month  Monthly</t>
  </si>
  <si>
    <t>Last month  YTD</t>
  </si>
  <si>
    <t>var ytd
 vs bud</t>
  </si>
  <si>
    <t>Forecast  Q1RF  2014 ytd</t>
  </si>
  <si>
    <t>Forecast  Q1  2011 ytd</t>
  </si>
  <si>
    <t>Monthly</t>
  </si>
  <si>
    <t>YTD</t>
  </si>
  <si>
    <t>Ytd</t>
  </si>
  <si>
    <t>Sum</t>
  </si>
  <si>
    <t>Account</t>
  </si>
  <si>
    <t>yes</t>
  </si>
  <si>
    <t>AC=10015</t>
  </si>
  <si>
    <t>AC=10008</t>
  </si>
  <si>
    <t>AC=10030</t>
  </si>
  <si>
    <t>AC=10055</t>
  </si>
  <si>
    <t>AC=10058</t>
  </si>
  <si>
    <t>AC=10000</t>
  </si>
  <si>
    <t>AU sum ALL1</t>
  </si>
  <si>
    <t>AC=10308</t>
  </si>
  <si>
    <t>AC=10315</t>
  </si>
  <si>
    <t>AC=10325</t>
  </si>
  <si>
    <t>AC=10330</t>
  </si>
  <si>
    <t>AC=10358</t>
  </si>
  <si>
    <t>AC=10300</t>
  </si>
  <si>
    <t>AC=10908</t>
  </si>
  <si>
    <t>AC=10910</t>
  </si>
  <si>
    <t>AC=10915</t>
  </si>
  <si>
    <t>AC=10920</t>
  </si>
  <si>
    <t>AC=10925</t>
  </si>
  <si>
    <t>AC=10930</t>
  </si>
  <si>
    <t>AC=10935</t>
  </si>
  <si>
    <t>AC=10940</t>
  </si>
  <si>
    <t>AC=10945</t>
  </si>
  <si>
    <t>AC=10950</t>
  </si>
  <si>
    <t>AC=10955</t>
  </si>
  <si>
    <t>AC=10958</t>
  </si>
  <si>
    <t>AC=10900</t>
  </si>
  <si>
    <t>AC=13900</t>
  </si>
  <si>
    <t>AC=14050</t>
  </si>
  <si>
    <t>AC=14100</t>
  </si>
  <si>
    <t>AC=14200</t>
  </si>
  <si>
    <t>AC=14650</t>
  </si>
  <si>
    <t>AC=14210</t>
  </si>
  <si>
    <t>AC=14215</t>
  </si>
  <si>
    <t>AC=14250</t>
  </si>
  <si>
    <t>CTPY=WCFSAC</t>
  </si>
  <si>
    <t>AU=0ADJ14</t>
  </si>
  <si>
    <t>AC=14400</t>
  </si>
  <si>
    <t>AC=14510</t>
  </si>
  <si>
    <t>AC=14513</t>
  </si>
  <si>
    <t>AC=14536</t>
  </si>
  <si>
    <t>AC=14520</t>
  </si>
  <si>
    <t>AC=14530</t>
  </si>
  <si>
    <t>AC=14543</t>
  </si>
  <si>
    <t>AC=14545</t>
  </si>
  <si>
    <t>AC=14500</t>
  </si>
  <si>
    <t>AC=14550</t>
  </si>
  <si>
    <t>AC=14800</t>
  </si>
  <si>
    <t>AC=14850</t>
  </si>
  <si>
    <t>AC=14860</t>
  </si>
  <si>
    <t>no</t>
  </si>
  <si>
    <t>AC=14600</t>
  </si>
  <si>
    <t>CTPY=OAFAG1</t>
  </si>
  <si>
    <t>AU=0ADJ17</t>
  </si>
  <si>
    <t>AC=14602</t>
  </si>
  <si>
    <t>CTPY=ODROMAN</t>
  </si>
  <si>
    <t>CTPY=OINDIA</t>
  </si>
  <si>
    <t>AC=14710</t>
  </si>
  <si>
    <t>AC=14715</t>
  </si>
  <si>
    <t>AC=14720</t>
  </si>
  <si>
    <t>AC=14718</t>
  </si>
  <si>
    <t>AC=14700</t>
  </si>
  <si>
    <t>AC=14900</t>
  </si>
  <si>
    <t>CLEAN STAFF COSTS</t>
  </si>
  <si>
    <t>AC=15000</t>
  </si>
  <si>
    <t>AC=15050</t>
  </si>
  <si>
    <t>AC=15100</t>
  </si>
  <si>
    <t>AC=15110</t>
  </si>
  <si>
    <t>AC=15120</t>
  </si>
  <si>
    <t>AC=15130</t>
  </si>
  <si>
    <t>AC=15150</t>
  </si>
  <si>
    <t>AC=15200</t>
  </si>
  <si>
    <t>AC=15300</t>
  </si>
  <si>
    <t>AC=15400</t>
  </si>
  <si>
    <t>AC=15450</t>
  </si>
  <si>
    <t>AC=15510</t>
  </si>
  <si>
    <t>AC=15515</t>
  </si>
  <si>
    <t>AC=15520</t>
  </si>
  <si>
    <t>AC=15525</t>
  </si>
  <si>
    <t>AC=15500</t>
  </si>
  <si>
    <t>AC=15900</t>
  </si>
  <si>
    <t>AC=16000</t>
  </si>
  <si>
    <t>AC=16050</t>
  </si>
  <si>
    <t>AC=16200</t>
  </si>
  <si>
    <t>AC=16250</t>
  </si>
  <si>
    <t>AC=16260</t>
  </si>
  <si>
    <t>AC=16270</t>
  </si>
  <si>
    <t>AC=16290</t>
  </si>
  <si>
    <t>AC=16410</t>
  </si>
  <si>
    <t>AC=16415</t>
  </si>
  <si>
    <t>AC=16420</t>
  </si>
  <si>
    <t>AC=16440</t>
  </si>
  <si>
    <t>AC=16400</t>
  </si>
  <si>
    <t>AC=16900</t>
  </si>
  <si>
    <t>AC=17500</t>
  </si>
  <si>
    <t>AC=17600</t>
  </si>
  <si>
    <t>AC=17000</t>
  </si>
  <si>
    <t>AC=17100</t>
  </si>
  <si>
    <t>AC=17115</t>
  </si>
  <si>
    <t>AC=17120</t>
  </si>
  <si>
    <t>AC=17320</t>
  </si>
  <si>
    <t>AC=17300</t>
  </si>
  <si>
    <t>AC=17850</t>
  </si>
  <si>
    <t>AC=17800</t>
  </si>
  <si>
    <t>AC=17810</t>
  </si>
  <si>
    <t>AC=17815</t>
  </si>
  <si>
    <t>AC=17410</t>
  </si>
  <si>
    <t>AC=17415</t>
  </si>
  <si>
    <t>AC=17420</t>
  </si>
  <si>
    <t>AC=17425</t>
  </si>
  <si>
    <t>AC=17436</t>
  </si>
  <si>
    <t>ANALYSIS=AW2RE</t>
  </si>
  <si>
    <t>AC=17432</t>
  </si>
  <si>
    <t>AC=17440</t>
  </si>
  <si>
    <t>AC=17400</t>
  </si>
  <si>
    <t>AC=17900</t>
  </si>
  <si>
    <t>AC=18000</t>
  </si>
  <si>
    <t>AC=18150</t>
  </si>
  <si>
    <t>AC=18250</t>
  </si>
  <si>
    <t>AC=18850</t>
  </si>
  <si>
    <t>AC=18400</t>
  </si>
  <si>
    <t>AC=18600</t>
  </si>
  <si>
    <t>AC=18610</t>
  </si>
  <si>
    <t>AC=18700</t>
  </si>
  <si>
    <t>AC=18300</t>
  </si>
  <si>
    <t>AC=18800</t>
  </si>
  <si>
    <t>AC=18820</t>
  </si>
  <si>
    <t>AC=18100</t>
  </si>
  <si>
    <t>AC=18200</t>
  </si>
  <si>
    <t>AC=18500</t>
  </si>
  <si>
    <t>AC=18550</t>
  </si>
  <si>
    <t>AC=18860</t>
  </si>
  <si>
    <t>AC=18870</t>
  </si>
  <si>
    <t>AC=18640</t>
  </si>
  <si>
    <t>AC=18645</t>
  </si>
  <si>
    <t>AC=18880</t>
  </si>
  <si>
    <t>CTPY=CTFR</t>
  </si>
  <si>
    <t>AC=18882</t>
  </si>
  <si>
    <t>AC=18650</t>
  </si>
  <si>
    <t>AC=18865</t>
  </si>
  <si>
    <t>CTPY=ORWOFF</t>
  </si>
  <si>
    <t>AC=18900</t>
  </si>
  <si>
    <t>AC=19000</t>
  </si>
  <si>
    <t>ANALYSIS=DT</t>
  </si>
  <si>
    <t>AC=19020</t>
  </si>
  <si>
    <t>AC=19100</t>
  </si>
  <si>
    <t>AC=19200</t>
  </si>
  <si>
    <t>AC=19180</t>
  </si>
  <si>
    <t>ANALYSIS=OTHER</t>
  </si>
  <si>
    <t>AC=19194</t>
  </si>
  <si>
    <t>AC=19300</t>
  </si>
  <si>
    <t>AC=19350</t>
  </si>
  <si>
    <t>AC=19500</t>
  </si>
  <si>
    <t>AC=19410</t>
  </si>
  <si>
    <t>AC=19415</t>
  </si>
  <si>
    <t>AC=19420</t>
  </si>
  <si>
    <t>AC=19400</t>
  </si>
  <si>
    <t>UK invoices</t>
  </si>
  <si>
    <t>AC=19700</t>
  </si>
  <si>
    <t>AC=19710</t>
  </si>
  <si>
    <t>CTPY=OCINCM</t>
  </si>
  <si>
    <t>AC=19740</t>
  </si>
  <si>
    <t>AC=19720</t>
  </si>
  <si>
    <t>CTPY=OREUR</t>
  </si>
  <si>
    <t>AC=19730</t>
  </si>
  <si>
    <t>AC=19750</t>
  </si>
  <si>
    <t>AC=19761</t>
  </si>
  <si>
    <t>CTPY=ORRD</t>
  </si>
  <si>
    <t>CTPY=ORREDW</t>
  </si>
  <si>
    <t>AC=19762</t>
  </si>
  <si>
    <t>AC=19790</t>
  </si>
  <si>
    <t>AC=19800</t>
  </si>
  <si>
    <t>CLEAN OPERATING COSTS</t>
  </si>
  <si>
    <t>AC=19900</t>
  </si>
  <si>
    <t>CLEAN OP</t>
  </si>
  <si>
    <t>AC=19910</t>
  </si>
  <si>
    <t>AC=19920</t>
  </si>
  <si>
    <t>AC=19930</t>
  </si>
  <si>
    <t>AC=19940</t>
  </si>
  <si>
    <t>AC=19948</t>
  </si>
  <si>
    <t>AC=19950</t>
  </si>
  <si>
    <t>AC=19980</t>
  </si>
  <si>
    <t>AC=19985</t>
  </si>
  <si>
    <t>AC=19960</t>
  </si>
  <si>
    <t>AC=19965</t>
  </si>
  <si>
    <t>AC=19967</t>
  </si>
  <si>
    <t>AC=19969</t>
  </si>
  <si>
    <t>AC=19990</t>
  </si>
  <si>
    <t>AC=22910</t>
  </si>
  <si>
    <t>AC=22920</t>
  </si>
  <si>
    <t>AC=22912</t>
  </si>
  <si>
    <t>AC=22916</t>
  </si>
  <si>
    <t>AC=22925</t>
  </si>
  <si>
    <t>AC=22930</t>
  </si>
  <si>
    <t>AC=22940</t>
  </si>
  <si>
    <t>AC=22950</t>
  </si>
  <si>
    <t>CTPY=WLUX2</t>
  </si>
  <si>
    <t>AC=22960</t>
  </si>
  <si>
    <t>AC=22968</t>
  </si>
  <si>
    <t>AC=22966</t>
  </si>
  <si>
    <t>AC=22969</t>
  </si>
  <si>
    <t>AC=22967</t>
  </si>
  <si>
    <t>AC=22955</t>
  </si>
  <si>
    <t>AC=22970</t>
  </si>
  <si>
    <t>AC=24900</t>
  </si>
  <si>
    <t>Year local WPP invoices</t>
  </si>
  <si>
    <t>AC=26019</t>
  </si>
  <si>
    <t>Tax (à saisir)</t>
  </si>
  <si>
    <t>AC=26900</t>
  </si>
  <si>
    <r>
      <t xml:space="preserve">PROFIT/(LOSS) AFTER TAX </t>
    </r>
    <r>
      <rPr>
        <sz val="11"/>
        <color theme="1"/>
        <rFont val="Calibri"/>
        <family val="2"/>
        <scheme val="minor"/>
      </rPr>
      <t>(calculé)</t>
    </r>
  </si>
  <si>
    <t>avant IS</t>
  </si>
  <si>
    <t>Ac=51100</t>
  </si>
  <si>
    <t>check reclass</t>
  </si>
  <si>
    <t>MGT</t>
  </si>
  <si>
    <t>Check</t>
  </si>
  <si>
    <t>Training</t>
  </si>
  <si>
    <t>Neo</t>
  </si>
  <si>
    <t>cpte</t>
  </si>
  <si>
    <t>(+hors  refac cantine One)</t>
  </si>
  <si>
    <t>Recap</t>
  </si>
  <si>
    <t>à transférer à Revenue</t>
  </si>
  <si>
    <t>Attention ligne tax et PAT non importées =&gt; à saisir + vérifier formule</t>
  </si>
  <si>
    <t>A suivre : Provision fonds de commerce -20Ke</t>
  </si>
  <si>
    <t>Margin</t>
  </si>
  <si>
    <t>vs -200 en MPLB commercial costs.</t>
  </si>
  <si>
    <t>ATTENTION, BUDGET SANS FAU</t>
  </si>
  <si>
    <t>Il y aura un écart entre cptes sociaux et Gpe</t>
  </si>
  <si>
    <t>jusqu'à l'amortissement complet du Fdc Admire</t>
  </si>
  <si>
    <t>soit pendant 10 ans</t>
  </si>
  <si>
    <t>MPLB classiques :</t>
  </si>
  <si>
    <t>Nestlé Global</t>
  </si>
  <si>
    <t xml:space="preserve">Neo marge </t>
  </si>
  <si>
    <t>Wpp invoices</t>
  </si>
  <si>
    <t>Prov sev Gpe</t>
  </si>
  <si>
    <t>Detail</t>
  </si>
  <si>
    <t>Overheads</t>
  </si>
  <si>
    <t>Assurance AIG</t>
  </si>
  <si>
    <t>Prov Wip/Clients&gt;180j</t>
  </si>
  <si>
    <t>Redworks</t>
  </si>
  <si>
    <t>Staff</t>
  </si>
  <si>
    <t>O&amp;M Rents</t>
  </si>
  <si>
    <t>Red</t>
  </si>
  <si>
    <t>OREUCON Bonus Amex</t>
  </si>
  <si>
    <t>OREUCON Bonus IBM</t>
  </si>
  <si>
    <t>Prov Wip/Stocks</t>
  </si>
  <si>
    <t>Establishment</t>
  </si>
  <si>
    <t>Personal</t>
  </si>
  <si>
    <t>Commercial</t>
  </si>
  <si>
    <t>Office + IT</t>
  </si>
  <si>
    <t>Finance</t>
  </si>
  <si>
    <t>Overhead</t>
  </si>
  <si>
    <t>OP</t>
  </si>
  <si>
    <t>Other +/-</t>
  </si>
  <si>
    <t>Interest +</t>
  </si>
  <si>
    <t>Interest -</t>
  </si>
  <si>
    <t>Billings - Non-Media</t>
  </si>
  <si>
    <t>Staff salaries</t>
  </si>
  <si>
    <t>Employers Social Taxes</t>
  </si>
  <si>
    <t xml:space="preserve">Inter-company time of staff - INTRA AU=0.INP </t>
  </si>
  <si>
    <t>Severances</t>
  </si>
  <si>
    <t>Recruitment costs</t>
  </si>
  <si>
    <t>Consultants/freelances/temps</t>
  </si>
  <si>
    <t>Other staff costs</t>
  </si>
  <si>
    <t>Car costs/leases</t>
  </si>
  <si>
    <t>Pensions - defined benefit schemes</t>
  </si>
  <si>
    <t>Inter-company facilities AU=0.INP Neo</t>
  </si>
  <si>
    <t>Other establishment costs</t>
  </si>
  <si>
    <t>Staff Welfare</t>
  </si>
  <si>
    <t>Staff training course fees</t>
  </si>
  <si>
    <t>Allowance &amp; subsistence</t>
  </si>
  <si>
    <t>Travel</t>
  </si>
  <si>
    <t>New business/client presentation costs</t>
  </si>
  <si>
    <t>Advert/promotion</t>
  </si>
  <si>
    <t>Research costs</t>
  </si>
  <si>
    <t>Other commercial costs</t>
  </si>
  <si>
    <t>Stationery/art &amp; materials AU=0.INP</t>
  </si>
  <si>
    <t>Postage &amp; courier</t>
  </si>
  <si>
    <t>Other office costs AU=0.INP</t>
  </si>
  <si>
    <t>Voice/fax communication costs</t>
  </si>
  <si>
    <t>Outsourced business systems AU=0ADJ16</t>
  </si>
  <si>
    <t>Software/hardware expenses</t>
  </si>
  <si>
    <t>Data communication costs AU=0ADJ16</t>
  </si>
  <si>
    <t>Computer equipment maintenance/service AU=0ADJ16</t>
  </si>
  <si>
    <t>Insurance</t>
  </si>
  <si>
    <t>Audit fees</t>
  </si>
  <si>
    <t>Other finance &amp; general costs</t>
  </si>
  <si>
    <t>Bank charges</t>
  </si>
  <si>
    <t>Country overhead AU=0.INP Neo</t>
  </si>
  <si>
    <t>Accounts</t>
  </si>
  <si>
    <t>I/G exchange gains/(losses)</t>
  </si>
  <si>
    <t>dont prov</t>
  </si>
  <si>
    <t>Account no</t>
  </si>
  <si>
    <t>Billings - I/Group</t>
  </si>
  <si>
    <t>Billings - New Business</t>
  </si>
  <si>
    <t>Billings - Accrued</t>
  </si>
  <si>
    <t>TOTAL BILLINGS AND FEES</t>
  </si>
  <si>
    <t>COGS - Non-Media</t>
  </si>
  <si>
    <t>COGS - Fees</t>
  </si>
  <si>
    <t>COGS - Contract</t>
  </si>
  <si>
    <t>COGS - I/Group</t>
  </si>
  <si>
    <t>COGS - Accrued</t>
  </si>
  <si>
    <t>COST OF GOODS SOLD (COGS)</t>
  </si>
  <si>
    <t>Commissions</t>
  </si>
  <si>
    <t>Fees</t>
  </si>
  <si>
    <t>Revenue - Media Rebates</t>
  </si>
  <si>
    <t>Contract revenue</t>
  </si>
  <si>
    <t>I/Group Revenue</t>
  </si>
  <si>
    <t>Media Credits</t>
  </si>
  <si>
    <t>WPP Discounts - Group Revenue</t>
  </si>
  <si>
    <t>Client Incentive Revenue</t>
  </si>
  <si>
    <t>Unclaimed Balances</t>
  </si>
  <si>
    <t>New Business Revenue</t>
  </si>
  <si>
    <t>Revenue - Accrued</t>
  </si>
  <si>
    <t>REVENUE</t>
  </si>
  <si>
    <t>GROSS MARGIN / NET SALES</t>
  </si>
  <si>
    <t>Pensions - defined contribution schemes</t>
  </si>
  <si>
    <t>Other IAS 19 Plans - Service cost</t>
  </si>
  <si>
    <t>Short-term incentive bonus</t>
  </si>
  <si>
    <t>Performance Stock Awards (PSA)</t>
  </si>
  <si>
    <t>Contractual STIP</t>
  </si>
  <si>
    <t>Long-term incentive bonus</t>
  </si>
  <si>
    <t>LEAP bonus</t>
  </si>
  <si>
    <t>Leaders, Partners &amp; High Potential Group stock plans</t>
  </si>
  <si>
    <t>Worldwide ownership plan stock options</t>
  </si>
  <si>
    <t>Spot bonus</t>
  </si>
  <si>
    <t>Sales commission bonus</t>
  </si>
  <si>
    <t>Benefits</t>
  </si>
  <si>
    <t>Car depreciation</t>
  </si>
  <si>
    <t>Inter-company time of staff - INTRA</t>
  </si>
  <si>
    <t>Inter-company time of staff - INTRA AU=0ADJ16</t>
  </si>
  <si>
    <t>Inter-company time of staff - INTRA AU=0ADJ17</t>
  </si>
  <si>
    <t>Inter-company time of staff - INTER</t>
  </si>
  <si>
    <t>Inter-company time of staff - INTER AU=0.INP</t>
  </si>
  <si>
    <t>Employee relocation expenses</t>
  </si>
  <si>
    <t>Housing allowance</t>
  </si>
  <si>
    <t>Medical insurance</t>
  </si>
  <si>
    <t>Rent</t>
  </si>
  <si>
    <t>Local property taxes</t>
  </si>
  <si>
    <t>Leasehold Buildings depreciation</t>
  </si>
  <si>
    <t>Buildings depreciation</t>
  </si>
  <si>
    <t>Freehold Land depreciation</t>
  </si>
  <si>
    <t>TOTAL LAND AND BUILDINGS DEPRECIATION</t>
  </si>
  <si>
    <t>Dilapidations</t>
  </si>
  <si>
    <t>Building utilities</t>
  </si>
  <si>
    <t>Repairs &amp; renewals</t>
  </si>
  <si>
    <t>Inter-company facilities</t>
  </si>
  <si>
    <t>Inter-company facilities AU=0.INP</t>
  </si>
  <si>
    <t>Inter-company facilities AU=0ADJ16</t>
  </si>
  <si>
    <t>Inter-company facilities AU=0ADJ17</t>
  </si>
  <si>
    <t>Sublease income</t>
  </si>
  <si>
    <t>Office services</t>
  </si>
  <si>
    <t>Office relocation costs</t>
  </si>
  <si>
    <t>Cleaning costs</t>
  </si>
  <si>
    <t>Security costs</t>
  </si>
  <si>
    <t>TOTAL ESTABLISHMENT COSTS</t>
  </si>
  <si>
    <t>Entertainment</t>
  </si>
  <si>
    <t>Staff training travel</t>
  </si>
  <si>
    <t>Staff training accom. &amp; subsistence</t>
  </si>
  <si>
    <t>Membership dues and subscriptions</t>
  </si>
  <si>
    <t>Charitable donations</t>
  </si>
  <si>
    <t>Employee flowers/gifts</t>
  </si>
  <si>
    <t>Inter-company personal costs recharges</t>
  </si>
  <si>
    <t>Other personal costs</t>
  </si>
  <si>
    <t>TOTAL PERSONAL COSTS</t>
  </si>
  <si>
    <t>Bad debts</t>
  </si>
  <si>
    <t>Accounts Receivable from 120 to 180 days</t>
  </si>
  <si>
    <t>Accounts Receivable &gt; 180 days</t>
  </si>
  <si>
    <t>WIP &gt; 180 days</t>
  </si>
  <si>
    <t>Non-billable production</t>
  </si>
  <si>
    <t>I/G media buying fees</t>
  </si>
  <si>
    <t>Amortisation of other intangible assets</t>
  </si>
  <si>
    <t>BRANDZ recharge</t>
  </si>
  <si>
    <t>BAV recharge</t>
  </si>
  <si>
    <t>Royalties</t>
  </si>
  <si>
    <t>Corporate membership subscriptions</t>
  </si>
  <si>
    <t>Panel development</t>
  </si>
  <si>
    <t>Website development</t>
  </si>
  <si>
    <t>Other Shows</t>
  </si>
  <si>
    <t>Cannes</t>
  </si>
  <si>
    <t>Inter-company commercial costs</t>
  </si>
  <si>
    <t>TOTAL COMMERCIAL COSTS</t>
  </si>
  <si>
    <t>Stationery/art &amp; materials</t>
  </si>
  <si>
    <t>Stationery/art &amp; materials AU=0ADJ16</t>
  </si>
  <si>
    <t>Office equipment lease</t>
  </si>
  <si>
    <t>Office equipment maintenance/service</t>
  </si>
  <si>
    <t>Reproduction</t>
  </si>
  <si>
    <t>Fixtures, Fittings &amp; Equipment Depn.</t>
  </si>
  <si>
    <t>External office recharges</t>
  </si>
  <si>
    <t>Other office costs</t>
  </si>
  <si>
    <t>Other office costs AU=0ADJ16</t>
  </si>
  <si>
    <t>Computer hardware depreciation</t>
  </si>
  <si>
    <t>Computer software amortisation</t>
  </si>
  <si>
    <t>Computer equipment lease</t>
  </si>
  <si>
    <t>Computer equipment maintenance/service</t>
  </si>
  <si>
    <t>Computer equipment maintenance/service AU=0ADJ17</t>
  </si>
  <si>
    <t>Data communication costs</t>
  </si>
  <si>
    <t>Data communication costs AU=0ADJ17</t>
  </si>
  <si>
    <t>Outsourced business systems</t>
  </si>
  <si>
    <t>Outsourced business systems AU=0ADJ17</t>
  </si>
  <si>
    <t>Outsourced IT services</t>
  </si>
  <si>
    <t>External IT Recharges</t>
  </si>
  <si>
    <t>Group Finance System costs (old)</t>
  </si>
  <si>
    <t>WPP Business Services/IBM cost allocation</t>
  </si>
  <si>
    <t>WPP Business Services/other inter-company IBM charges</t>
  </si>
  <si>
    <t>Other IT and communication costs</t>
  </si>
  <si>
    <t>Inter-company IT costs recharges</t>
  </si>
  <si>
    <t>TOTAL OFFICE COSTS INCLUDING IT</t>
  </si>
  <si>
    <t>Tax fees</t>
  </si>
  <si>
    <t>Accountancy costs</t>
  </si>
  <si>
    <t>Legal &amp; professional</t>
  </si>
  <si>
    <t>External exchange (gains)/losses</t>
  </si>
  <si>
    <t>Outsourced payroll costs</t>
  </si>
  <si>
    <t>External Recharges</t>
  </si>
  <si>
    <t>Inter-company finance and general costs recharges</t>
  </si>
  <si>
    <t>TOTAL FINANCE &amp; GENERAL COSTS</t>
  </si>
  <si>
    <t>Client Co-ordination costs</t>
  </si>
  <si>
    <t>Country overhead</t>
  </si>
  <si>
    <t>Country overhead AU=0.INP</t>
  </si>
  <si>
    <t>Country overhead AU=0ADJ16</t>
  </si>
  <si>
    <t>Regional overhead</t>
  </si>
  <si>
    <t>Worldwide overhead</t>
  </si>
  <si>
    <t>Cross-brands overhead</t>
  </si>
  <si>
    <t>O&amp;M WW Cross Discipline Overhead</t>
  </si>
  <si>
    <t>O&amp;M Regional Cross Discipline Overhead</t>
  </si>
  <si>
    <t>OVERHEAD ALLOCATION</t>
  </si>
  <si>
    <t>TOTAL OPERATING COSTS</t>
  </si>
  <si>
    <t>OPERATING PROFIT/(LOSS)</t>
  </si>
  <si>
    <t>Exceptional items</t>
  </si>
  <si>
    <t>Profit/(loss) on sale of fixed assets</t>
  </si>
  <si>
    <t>Impairment and amortisation of acquired Intangibles</t>
  </si>
  <si>
    <t>Cash Discounts</t>
  </si>
  <si>
    <t>Other Income/(Expense)</t>
  </si>
  <si>
    <t>TOTAL OTHER INCOME/(EXPENSE)</t>
  </si>
  <si>
    <t>PBI, EQUITY INC/(LOSS) AND TAX</t>
  </si>
  <si>
    <t>Equity income/(loss)</t>
  </si>
  <si>
    <t>Internal Joint Venture income/(loss)</t>
  </si>
  <si>
    <t>Share of exceptional income/(loss) of Associates</t>
  </si>
  <si>
    <t>ASSOCIATES AND INTERNAL JOINT VENTURE TOTAL</t>
  </si>
  <si>
    <t>PROFIT/(LOSS) BEFORE INT. &amp; TAX</t>
  </si>
  <si>
    <t>External interest income</t>
  </si>
  <si>
    <t>I/G interest income</t>
  </si>
  <si>
    <t>Investment Income - from &lt; 20% Investments</t>
  </si>
  <si>
    <t>Dividend Income</t>
  </si>
  <si>
    <t>Interest Income of Associates</t>
  </si>
  <si>
    <t>TOTAL INTEREST INCOME</t>
  </si>
  <si>
    <t>External interest (expense)</t>
  </si>
  <si>
    <t>I/G interest (expense)</t>
  </si>
  <si>
    <t>(HP and other lease interest)</t>
  </si>
  <si>
    <t>Net interest on defined benefit pensions</t>
  </si>
  <si>
    <t>Net Interest on Other IAS 19 plans</t>
  </si>
  <si>
    <t>Interest on discounted earnout liabilities - WPP use only</t>
  </si>
  <si>
    <t>Movement in FV of Financial Instruments of Subsidiaries - WPP use only</t>
  </si>
  <si>
    <t>Interest (Expense) of Associates</t>
  </si>
  <si>
    <t>TOTAL INTEREST (EXPENSE)</t>
  </si>
  <si>
    <t>PROFIT/(LOSS) BEFORE TAX</t>
  </si>
  <si>
    <t>PROFIT/(LOSS) AFTER TAX (calculé)</t>
  </si>
  <si>
    <t>0ADJ</t>
  </si>
  <si>
    <t>audit it</t>
  </si>
  <si>
    <t>account name</t>
  </si>
  <si>
    <t>ctpy</t>
  </si>
  <si>
    <t>Counterparty</t>
  </si>
  <si>
    <t>DP=2015.07</t>
  </si>
  <si>
    <t>PE=2015.07</t>
  </si>
  <si>
    <t>CTPY=ODFRAN1</t>
  </si>
  <si>
    <t>month</t>
  </si>
  <si>
    <t>month-1</t>
  </si>
  <si>
    <t>Export MGT</t>
  </si>
  <si>
    <t>Export MPLB</t>
  </si>
  <si>
    <t>mapping_one</t>
  </si>
  <si>
    <t>- Autres Droits</t>
  </si>
  <si>
    <t>Marbeuf2</t>
  </si>
  <si>
    <t>Charges Locatives (Marbeuf),</t>
  </si>
  <si>
    <t>Agencements (Marbeuf),</t>
  </si>
  <si>
    <t>- Somme Œuvre Sociale</t>
  </si>
  <si>
    <t>dec</t>
  </si>
  <si>
    <t>Interco</t>
  </si>
  <si>
    <t>Oct</t>
  </si>
  <si>
    <t>Nov</t>
  </si>
  <si>
    <t>Frais actes contentieux</t>
  </si>
  <si>
    <t>Revenue</t>
  </si>
  <si>
    <t>Staff costs</t>
  </si>
  <si>
    <t>Establishment costs</t>
  </si>
  <si>
    <t>Commercial costs</t>
  </si>
  <si>
    <t>IT &amp; Office costs</t>
  </si>
  <si>
    <t>Finance Costs</t>
  </si>
  <si>
    <t>OH</t>
  </si>
  <si>
    <t>Personnal costs</t>
  </si>
  <si>
    <t>vide</t>
  </si>
  <si>
    <t>Jan</t>
  </si>
  <si>
    <t>Feb</t>
  </si>
  <si>
    <t>March</t>
  </si>
  <si>
    <t>Apr</t>
  </si>
  <si>
    <t>May</t>
  </si>
  <si>
    <t>June</t>
  </si>
  <si>
    <t>July</t>
  </si>
  <si>
    <t>Aug</t>
  </si>
  <si>
    <t>Sept</t>
  </si>
  <si>
    <t>Dec</t>
  </si>
  <si>
    <t>Salaires Lorette</t>
  </si>
  <si>
    <t>TOTAL (hors RW &amp; SL)</t>
  </si>
  <si>
    <t>O&amp;M (MPLB )</t>
  </si>
  <si>
    <t>Social Lab (MPLB ORFRA1)</t>
  </si>
  <si>
    <t>CICE</t>
  </si>
  <si>
    <t>CS Participation</t>
  </si>
  <si>
    <t>ITOS</t>
  </si>
  <si>
    <t>Rent (Marbeuf)</t>
  </si>
  <si>
    <t>- Fête agence (Œuvre Sociale) / Neo</t>
  </si>
  <si>
    <t>625130 + 752024</t>
  </si>
  <si>
    <t>- Receptions</t>
  </si>
  <si>
    <t>Sous-total T&amp;E</t>
  </si>
  <si>
    <t>- Documentation</t>
  </si>
  <si>
    <t>- TEM</t>
  </si>
  <si>
    <t>- Intervention MBS</t>
  </si>
  <si>
    <t>Frais actes contentieux &amp; Amendes</t>
  </si>
  <si>
    <t>622700 + 671200</t>
  </si>
  <si>
    <t>658100 + 668000</t>
  </si>
  <si>
    <t>lorette</t>
  </si>
  <si>
    <t>mapping</t>
  </si>
  <si>
    <t>Total Costs</t>
  </si>
  <si>
    <t>Fichier Neo</t>
  </si>
  <si>
    <t>écart</t>
  </si>
  <si>
    <t>OP Neo</t>
  </si>
  <si>
    <t>Core tech (MPLB)</t>
  </si>
  <si>
    <t>Prime de précarité</t>
  </si>
  <si>
    <t>Entretien reparation / maintenance locaux</t>
  </si>
  <si>
    <t>622640 + 648201</t>
  </si>
  <si>
    <t>Other income (expense)</t>
  </si>
  <si>
    <t>641002 (à inclure ds salaires)</t>
  </si>
  <si>
    <t>613200/2 + 613201</t>
  </si>
  <si>
    <t>Gains de change</t>
  </si>
  <si>
    <t xml:space="preserve">I/G exchange (gains)/losses </t>
  </si>
  <si>
    <t>AC=19510</t>
  </si>
  <si>
    <t>gains de change</t>
  </si>
  <si>
    <t/>
  </si>
  <si>
    <t>Office Equipment Maintenance</t>
  </si>
  <si>
    <t>Transport divers</t>
  </si>
  <si>
    <t>Sous-total Office Equipment Maintenance</t>
  </si>
  <si>
    <t>- Voyages &amp; Déplacements (Accom/Subsistence)</t>
  </si>
  <si>
    <t>Q1RF</t>
  </si>
  <si>
    <t>Ext. Prov Prime Pierre 2015 (3333.33 + 1500 CS)</t>
  </si>
  <si>
    <t>Refact 50% Mathieu Ferragut</t>
  </si>
  <si>
    <t>615605/2</t>
  </si>
  <si>
    <t>- Voyages &amp; Déplacements (Travel)</t>
  </si>
  <si>
    <t>625130 + 752003 + 758008</t>
  </si>
  <si>
    <t>- Missions (Hotels/Repas/Taxis</t>
  </si>
  <si>
    <t>- Mission &amp; Receptions prospects</t>
  </si>
  <si>
    <t>625651 + 625701</t>
  </si>
  <si>
    <t>623001 + 752500</t>
  </si>
  <si>
    <t>606400/2 +707170</t>
  </si>
  <si>
    <t>Prov écrans</t>
  </si>
  <si>
    <t>Gains de Change</t>
  </si>
  <si>
    <t>IDR  (681521)</t>
  </si>
  <si>
    <t>Neo / Dec 2016</t>
  </si>
  <si>
    <t>Autres charges personnel</t>
  </si>
  <si>
    <t>enlever le printing</t>
  </si>
  <si>
    <t>P&amp;L ACCOUNT -  Janv 2017</t>
  </si>
  <si>
    <t>-Licence quantum</t>
  </si>
  <si>
    <t>P&amp;L ACCOUNT -  Fev 2017</t>
  </si>
  <si>
    <t>Fev 2017</t>
  </si>
  <si>
    <t>P&amp;L ACCOUNT -  Mar 2017</t>
  </si>
  <si>
    <t>P&amp;L ACCOUNT -  Avril 2017</t>
  </si>
  <si>
    <t>- Missions (Hotels/Repas/Taxis - Clients)</t>
  </si>
  <si>
    <t>- Missions (Internes)</t>
  </si>
  <si>
    <t>P&amp;L ACCOUNT -  Mai 2017</t>
  </si>
  <si>
    <t>FAE Mindshare (O/H)</t>
  </si>
  <si>
    <t>FAE Mindshare (Coût / tête)</t>
  </si>
  <si>
    <t>ICO (Violaine)</t>
  </si>
  <si>
    <t>S/C ITOS (Violaine)</t>
  </si>
  <si>
    <t>ITOS (Office Costs)</t>
  </si>
  <si>
    <t>Computer equipment Juinntenance/service AU=0ADJ16</t>
  </si>
  <si>
    <t>P&amp;L ACCOUNT -  Juin 2017</t>
  </si>
  <si>
    <t>P&amp;L ACCOUNT -  Juillet 2017</t>
  </si>
  <si>
    <t>P&amp;L ACCOUNT -  Août 2017</t>
  </si>
  <si>
    <t xml:space="preserve">Others Personal Costs </t>
  </si>
  <si>
    <t>Sans OH</t>
  </si>
  <si>
    <t xml:space="preserve">Others staff cost </t>
  </si>
  <si>
    <t xml:space="preserve">Others com </t>
  </si>
  <si>
    <t>Other fi</t>
  </si>
  <si>
    <t>P&amp;L ACCOUNT - Sept 2017</t>
  </si>
  <si>
    <t>MS ??</t>
  </si>
  <si>
    <t>Salaires Bruts (M Ferragut)</t>
  </si>
  <si>
    <t>CS Salaires Bruts (M Ferragut)</t>
  </si>
  <si>
    <t>ITOS - Refac GroupM</t>
  </si>
  <si>
    <t>Accrual charges 2017 (2018 reajustment)</t>
  </si>
  <si>
    <t>- Autres ch personnel</t>
  </si>
  <si>
    <t>ITOS (Personal Costs)</t>
  </si>
  <si>
    <t>ITOS (Commercial Costs)</t>
  </si>
  <si>
    <t>Communication &amp; IT Costs</t>
  </si>
  <si>
    <t>Other IT Costs</t>
  </si>
  <si>
    <t>- Intervention Domino</t>
  </si>
  <si>
    <t>- Licence quantum</t>
  </si>
  <si>
    <t>- IBM (Coretech)</t>
  </si>
  <si>
    <t>ITOS (IT Costs)</t>
  </si>
  <si>
    <t>Cotisations (Udecam &amp; autres)</t>
  </si>
  <si>
    <t>ITOS (Finance)</t>
  </si>
  <si>
    <t>MPLB (O&amp;M)</t>
  </si>
  <si>
    <t>Redpulse</t>
  </si>
  <si>
    <t xml:space="preserve">ITOS </t>
  </si>
  <si>
    <t xml:space="preserve">ITOS personnal cost) </t>
  </si>
  <si>
    <t>Others com (ITOS (Commercial Costs))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</si>
</sst>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7">
    <numFmt numFmtId="43" formatCode="_-* #,##0.00\ _€_-;\-* #,##0.00\ _€_-;_-* &quot;-&quot;??\ _€_-;_-@_-"/>
    <numFmt numFmtId="164" formatCode="#,##0.000"/>
    <numFmt numFmtId="165" formatCode="#,##0.0"/>
    <numFmt numFmtId="166" formatCode="_-* #,##0.0\ _€_-;\-* #,##0.0\ _€_-;_-* &quot;-&quot;??\ _€_-;_-@_-"/>
    <numFmt numFmtId="167" formatCode="0.0%"/>
    <numFmt numFmtId="168" formatCode="00"/>
    <numFmt numFmtId="169" formatCode="0.000"/>
    <numFmt numFmtId="170" formatCode="_-* #,##0.00\ [$€]_-;\-* #,##0.00\ [$€]_-;_-* &quot;-&quot;??\ [$€]_-;_-@_-"/>
    <numFmt numFmtId="171" formatCode="0.0"/>
    <numFmt numFmtId="172" formatCode="_-* #,##0.000\ _€_-;\-* #,##0.000\ _€_-;_-* &quot;-&quot;??\ _€_-;_-@_-"/>
    <numFmt numFmtId="173" formatCode="_-* #,##0.0\ _€_-;\-* #,##0.0\ _€_-;_-* &quot;-&quot;?\ _€_-;_-@_-"/>
    <numFmt numFmtId="174" formatCode="_-* #,##0.000\ _€_-;\-* #,##0.000\ _€_-;_-* &quot;-&quot;???\ _€_-;_-@_-"/>
    <numFmt numFmtId="175" formatCode="d/m/yy\ h:mm;@"/>
    <numFmt numFmtId="176" formatCode="_-* #,##0.00000\ _€_-;\-* #,##0.00000\ _€_-;_-* &quot;-&quot;?????\ _€_-;_-@_-"/>
    <numFmt numFmtId="177" formatCode="#,##0.0_ ;\-#,##0.0\ "/>
    <numFmt numFmtId="178" formatCode="_-* #,##0.0000\ _€_-;\-* #,##0.0000\ _€_-;_-* &quot;-&quot;??\ _€_-;_-@_-"/>
    <numFmt numFmtId="179" formatCode="_-* #,##0.00000\ _€_-;\-* #,##0.00000\ _€_-;_-* &quot;-&quot;??\ _€_-;_-@_-"/>
  </numFmts>
  <fonts count="5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u/>
      <sz val="8"/>
      <name val="Arial"/>
      <family val="2"/>
    </font>
    <font>
      <b/>
      <u/>
      <sz val="8"/>
      <name val="Arial"/>
      <family val="2"/>
    </font>
    <font>
      <b/>
      <u/>
      <sz val="6"/>
      <color rgb="FFFF0000"/>
      <name val="Arial"/>
      <family val="2"/>
    </font>
    <font>
      <sz val="6"/>
      <color rgb="FFFF0000"/>
      <name val="Arial"/>
      <family val="2"/>
    </font>
    <font>
      <b/>
      <sz val="6"/>
      <color rgb="FFFF000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8"/>
      <color rgb="FFFF0000"/>
      <name val="Arial"/>
      <family val="2"/>
    </font>
    <font>
      <b/>
      <sz val="10"/>
      <name val="Consolas"/>
      <family val="3"/>
    </font>
    <font>
      <sz val="10"/>
      <name val="Consolas"/>
      <family val="3"/>
    </font>
    <font>
      <sz val="9"/>
      <name val="Arial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11"/>
      <color rgb="FFFF0000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sz val="11"/>
      <color rgb="FF3F3F76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006100"/>
      <name val="Calibri"/>
      <family val="2"/>
    </font>
    <font>
      <b/>
      <sz val="11"/>
      <color rgb="FF3F3F3F"/>
      <name val="Calibri"/>
      <family val="2"/>
    </font>
    <font>
      <i/>
      <sz val="11"/>
      <color rgb="FF7F7F7F"/>
      <name val="Calibri"/>
      <family val="2"/>
    </font>
    <font>
      <sz val="18"/>
      <color theme="3"/>
      <name val="Cambria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b/>
      <sz val="12"/>
      <name val="Arial Narrow"/>
      <family val="2"/>
    </font>
    <font>
      <b/>
      <sz val="11"/>
      <color theme="0"/>
      <name val="Calibri"/>
      <family val="2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i/>
      <sz val="8"/>
      <name val="Arial"/>
      <family val="2"/>
    </font>
    <font>
      <sz val="8"/>
      <name val="Calibri"/>
      <family val="2"/>
      <scheme val="minor"/>
    </font>
    <font>
      <b/>
      <i/>
      <sz val="8"/>
      <name val="Arial"/>
      <family val="2"/>
    </font>
    <font>
      <b/>
      <sz val="8"/>
      <name val="Calibri"/>
      <family val="2"/>
      <scheme val="minor"/>
    </font>
    <font>
      <b/>
      <sz val="8"/>
      <color rgb="FFC00000"/>
      <name val="Arial"/>
      <family val="2"/>
    </font>
    <font>
      <b/>
      <sz val="10"/>
      <color rgb="FFC00000"/>
      <name val="Calibri"/>
      <family val="2"/>
      <scheme val="minor"/>
    </font>
    <font>
      <i/>
      <sz val="8"/>
      <color rgb="FFC00000"/>
      <name val="Arial"/>
      <family val="2"/>
    </font>
    <font>
      <sz val="8"/>
      <color rgb="FFC0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theme="0" tint="-0.14996795556505021"/>
      </right>
      <top style="dashed">
        <color theme="0" tint="-0.14996795556505021"/>
      </top>
      <bottom style="dashed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dashed">
        <color theme="0" tint="-0.14996795556505021"/>
      </top>
      <bottom style="dashed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0" fontId="3" fillId="0" borderId="0" applyBorder="0"/>
    <xf numFmtId="0" fontId="27" fillId="11" borderId="0" applyNumberFormat="0" applyBorder="0" applyAlignment="0" applyProtection="0"/>
    <xf numFmtId="0" fontId="27" fillId="14" borderId="0" applyNumberFormat="0" applyBorder="0" applyAlignment="0" applyProtection="0"/>
    <xf numFmtId="0" fontId="27" fillId="17" borderId="0" applyNumberFormat="0" applyBorder="0" applyAlignment="0" applyProtection="0"/>
    <xf numFmtId="0" fontId="27" fillId="20" borderId="0" applyNumberFormat="0" applyBorder="0" applyAlignment="0" applyProtection="0"/>
    <xf numFmtId="0" fontId="27" fillId="23" borderId="0" applyNumberFormat="0" applyBorder="0" applyAlignment="0" applyProtection="0"/>
    <xf numFmtId="0" fontId="27" fillId="26" borderId="0" applyNumberFormat="0" applyBorder="0" applyAlignment="0" applyProtection="0"/>
    <xf numFmtId="0" fontId="27" fillId="12" borderId="0" applyNumberFormat="0" applyBorder="0" applyAlignment="0" applyProtection="0"/>
    <xf numFmtId="0" fontId="27" fillId="15" borderId="0" applyNumberFormat="0" applyBorder="0" applyAlignment="0" applyProtection="0"/>
    <xf numFmtId="0" fontId="27" fillId="18" borderId="0" applyNumberFormat="0" applyBorder="0" applyAlignment="0" applyProtection="0"/>
    <xf numFmtId="0" fontId="27" fillId="21" borderId="0" applyNumberFormat="0" applyBorder="0" applyAlignment="0" applyProtection="0"/>
    <xf numFmtId="0" fontId="27" fillId="24" borderId="0" applyNumberFormat="0" applyBorder="0" applyAlignment="0" applyProtection="0"/>
    <xf numFmtId="0" fontId="27" fillId="27" borderId="0" applyNumberFormat="0" applyBorder="0" applyAlignment="0" applyProtection="0"/>
    <xf numFmtId="0" fontId="28" fillId="13" borderId="0" applyNumberFormat="0" applyBorder="0" applyAlignment="0" applyProtection="0"/>
    <xf numFmtId="0" fontId="28" fillId="16" borderId="0" applyNumberFormat="0" applyBorder="0" applyAlignment="0" applyProtection="0"/>
    <xf numFmtId="0" fontId="28" fillId="19" borderId="0" applyNumberFormat="0" applyBorder="0" applyAlignment="0" applyProtection="0"/>
    <xf numFmtId="0" fontId="28" fillId="22" borderId="0" applyNumberFormat="0" applyBorder="0" applyAlignment="0" applyProtection="0"/>
    <xf numFmtId="0" fontId="28" fillId="25" borderId="0" applyNumberFormat="0" applyBorder="0" applyAlignment="0" applyProtection="0"/>
    <xf numFmtId="0" fontId="28" fillId="28" borderId="0" applyNumberFormat="0" applyBorder="0" applyAlignment="0" applyProtection="0"/>
    <xf numFmtId="0" fontId="29" fillId="0" borderId="0" applyNumberFormat="0" applyFill="0" applyBorder="0" applyAlignment="0" applyProtection="0"/>
    <xf numFmtId="0" fontId="30" fillId="8" borderId="21" applyNumberFormat="0" applyAlignment="0" applyProtection="0"/>
    <xf numFmtId="0" fontId="31" fillId="0" borderId="23" applyNumberFormat="0" applyFill="0" applyAlignment="0" applyProtection="0"/>
    <xf numFmtId="0" fontId="27" fillId="10" borderId="25" applyNumberFormat="0" applyFont="0" applyAlignment="0" applyProtection="0"/>
    <xf numFmtId="0" fontId="32" fillId="7" borderId="21" applyNumberFormat="0" applyAlignment="0" applyProtection="0"/>
    <xf numFmtId="170" fontId="3" fillId="0" borderId="0" applyFont="0" applyFill="0" applyBorder="0" applyAlignment="0" applyProtection="0"/>
    <xf numFmtId="0" fontId="3" fillId="0" borderId="0" applyBorder="0"/>
    <xf numFmtId="0" fontId="33" fillId="5" borderId="0" applyNumberFormat="0" applyBorder="0" applyAlignment="0" applyProtection="0"/>
    <xf numFmtId="0" fontId="34" fillId="6" borderId="0" applyNumberFormat="0" applyBorder="0" applyAlignment="0" applyProtection="0"/>
    <xf numFmtId="0" fontId="3" fillId="0" borderId="0"/>
    <xf numFmtId="0" fontId="35" fillId="4" borderId="0" applyNumberFormat="0" applyBorder="0" applyAlignment="0" applyProtection="0"/>
    <xf numFmtId="0" fontId="36" fillId="8" borderId="22" applyNumberFormat="0" applyAlignment="0" applyProtection="0"/>
    <xf numFmtId="0" fontId="3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8" applyNumberFormat="0" applyFill="0" applyAlignment="0" applyProtection="0"/>
    <xf numFmtId="0" fontId="40" fillId="0" borderId="19" applyNumberFormat="0" applyFill="0" applyAlignment="0" applyProtection="0"/>
    <xf numFmtId="0" fontId="41" fillId="0" borderId="20" applyNumberFormat="0" applyFill="0" applyAlignment="0" applyProtection="0"/>
    <xf numFmtId="0" fontId="41" fillId="0" borderId="0" applyNumberFormat="0" applyFill="0" applyBorder="0" applyAlignment="0" applyProtection="0"/>
    <xf numFmtId="0" fontId="42" fillId="0" borderId="2" applyNumberFormat="0" applyFill="0" applyAlignment="0" applyProtection="0">
      <alignment horizontal="center"/>
    </xf>
    <xf numFmtId="0" fontId="43" fillId="9" borderId="24" applyNumberFormat="0" applyAlignment="0" applyProtection="0"/>
  </cellStyleXfs>
  <cellXfs count="486">
    <xf numFmtId="0" fontId="0" fillId="0" borderId="0" xfId="0"/>
    <xf numFmtId="164" fontId="3" fillId="2" borderId="0" xfId="1" applyNumberFormat="1" applyFont="1" applyFill="1" applyBorder="1"/>
    <xf numFmtId="0" fontId="2" fillId="2" borderId="0" xfId="0" applyFont="1" applyFill="1"/>
    <xf numFmtId="164" fontId="3" fillId="2" borderId="0" xfId="1" applyNumberFormat="1" applyFont="1" applyFill="1"/>
    <xf numFmtId="165" fontId="3" fillId="2" borderId="0" xfId="1" applyNumberFormat="1" applyFont="1" applyFill="1"/>
    <xf numFmtId="165" fontId="3" fillId="2" borderId="0" xfId="1" applyNumberFormat="1" applyFont="1" applyFill="1" applyAlignment="1">
      <alignment horizontal="center"/>
    </xf>
    <xf numFmtId="0" fontId="0" fillId="2" borderId="0" xfId="0" applyFill="1"/>
    <xf numFmtId="0" fontId="3" fillId="2" borderId="0" xfId="0" applyFont="1" applyFill="1"/>
    <xf numFmtId="165" fontId="3" fillId="2" borderId="1" xfId="1" applyNumberFormat="1" applyFont="1" applyFill="1" applyBorder="1"/>
    <xf numFmtId="165" fontId="3" fillId="2" borderId="1" xfId="1" applyNumberFormat="1" applyFont="1" applyFill="1" applyBorder="1" applyAlignment="1">
      <alignment horizontal="center"/>
    </xf>
    <xf numFmtId="165" fontId="4" fillId="2" borderId="2" xfId="1" applyNumberFormat="1" applyFont="1" applyFill="1" applyBorder="1" applyAlignment="1">
      <alignment horizontal="center" vertical="center" wrapText="1"/>
    </xf>
    <xf numFmtId="165" fontId="4" fillId="2" borderId="3" xfId="1" applyNumberFormat="1" applyFont="1" applyFill="1" applyBorder="1" applyAlignment="1">
      <alignment horizontal="center" vertical="center" wrapText="1"/>
    </xf>
    <xf numFmtId="165" fontId="3" fillId="2" borderId="0" xfId="1" applyNumberFormat="1" applyFont="1" applyFill="1" applyBorder="1"/>
    <xf numFmtId="165" fontId="3" fillId="2" borderId="0" xfId="1" applyNumberFormat="1" applyFont="1" applyFill="1" applyBorder="1" applyAlignment="1">
      <alignment horizontal="center"/>
    </xf>
    <xf numFmtId="0" fontId="4" fillId="2" borderId="0" xfId="0" applyFont="1" applyFill="1"/>
    <xf numFmtId="165" fontId="4" fillId="2" borderId="2" xfId="1" applyNumberFormat="1" applyFont="1" applyFill="1" applyBorder="1" applyAlignment="1">
      <alignment horizontal="center"/>
    </xf>
    <xf numFmtId="166" fontId="3" fillId="2" borderId="0" xfId="1" applyNumberFormat="1" applyFont="1" applyFill="1" applyBorder="1" applyAlignment="1">
      <alignment horizontal="center"/>
    </xf>
    <xf numFmtId="165" fontId="4" fillId="2" borderId="0" xfId="1" applyNumberFormat="1" applyFont="1" applyFill="1" applyBorder="1"/>
    <xf numFmtId="165" fontId="4" fillId="2" borderId="0" xfId="1" applyNumberFormat="1" applyFont="1" applyFill="1" applyBorder="1" applyAlignment="1">
      <alignment horizontal="center"/>
    </xf>
    <xf numFmtId="166" fontId="4" fillId="2" borderId="0" xfId="1" applyNumberFormat="1" applyFont="1" applyFill="1" applyBorder="1" applyAlignment="1">
      <alignment horizontal="center"/>
    </xf>
    <xf numFmtId="0" fontId="2" fillId="2" borderId="0" xfId="0" applyFont="1" applyFill="1" applyBorder="1"/>
    <xf numFmtId="0" fontId="4" fillId="2" borderId="0" xfId="0" applyFont="1" applyFill="1" applyAlignment="1">
      <alignment horizontal="center" wrapText="1"/>
    </xf>
    <xf numFmtId="165" fontId="4" fillId="2" borderId="0" xfId="1" applyNumberFormat="1" applyFont="1" applyFill="1" applyBorder="1" applyAlignment="1">
      <alignment horizontal="center" wrapText="1"/>
    </xf>
    <xf numFmtId="166" fontId="4" fillId="2" borderId="0" xfId="1" applyNumberFormat="1" applyFont="1" applyFill="1" applyBorder="1" applyAlignment="1">
      <alignment horizontal="center" wrapText="1"/>
    </xf>
    <xf numFmtId="166" fontId="4" fillId="2" borderId="2" xfId="1" applyNumberFormat="1" applyFont="1" applyFill="1" applyBorder="1" applyAlignment="1">
      <alignment horizontal="center" wrapText="1"/>
    </xf>
    <xf numFmtId="0" fontId="5" fillId="2" borderId="0" xfId="0" applyFont="1" applyFill="1"/>
    <xf numFmtId="0" fontId="4" fillId="2" borderId="0" xfId="0" quotePrefix="1" applyFont="1" applyFill="1"/>
    <xf numFmtId="165" fontId="5" fillId="2" borderId="4" xfId="1" applyNumberFormat="1" applyFont="1" applyFill="1" applyBorder="1"/>
    <xf numFmtId="165" fontId="5" fillId="2" borderId="4" xfId="1" applyNumberFormat="1" applyFont="1" applyFill="1" applyBorder="1" applyAlignment="1">
      <alignment horizontal="center"/>
    </xf>
    <xf numFmtId="165" fontId="5" fillId="2" borderId="0" xfId="1" applyNumberFormat="1" applyFont="1" applyFill="1" applyBorder="1"/>
    <xf numFmtId="165" fontId="5" fillId="2" borderId="0" xfId="1" applyNumberFormat="1" applyFont="1" applyFill="1" applyBorder="1" applyAlignment="1">
      <alignment horizontal="center"/>
    </xf>
    <xf numFmtId="0" fontId="6" fillId="2" borderId="0" xfId="0" applyFont="1" applyFill="1"/>
    <xf numFmtId="165" fontId="6" fillId="2" borderId="0" xfId="1" applyNumberFormat="1" applyFont="1" applyFill="1" applyBorder="1"/>
    <xf numFmtId="165" fontId="6" fillId="2" borderId="0" xfId="1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4" fillId="2" borderId="0" xfId="0" quotePrefix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64" fontId="0" fillId="2" borderId="0" xfId="0" applyNumberFormat="1" applyFill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165" fontId="4" fillId="3" borderId="2" xfId="1" applyNumberFormat="1" applyFont="1" applyFill="1" applyBorder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164" fontId="3" fillId="2" borderId="8" xfId="1" applyNumberFormat="1" applyFont="1" applyFill="1" applyBorder="1"/>
    <xf numFmtId="164" fontId="4" fillId="2" borderId="10" xfId="1" applyNumberFormat="1" applyFont="1" applyFill="1" applyBorder="1" applyAlignment="1">
      <alignment horizontal="center" vertical="center" wrapText="1"/>
    </xf>
    <xf numFmtId="164" fontId="3" fillId="2" borderId="12" xfId="1" applyNumberFormat="1" applyFont="1" applyFill="1" applyBorder="1"/>
    <xf numFmtId="164" fontId="4" fillId="3" borderId="10" xfId="1" applyNumberFormat="1" applyFont="1" applyFill="1" applyBorder="1"/>
    <xf numFmtId="164" fontId="4" fillId="2" borderId="12" xfId="1" applyNumberFormat="1" applyFont="1" applyFill="1" applyBorder="1" applyAlignment="1">
      <alignment horizontal="center" wrapText="1"/>
    </xf>
    <xf numFmtId="164" fontId="5" fillId="2" borderId="14" xfId="1" applyNumberFormat="1" applyFont="1" applyFill="1" applyBorder="1"/>
    <xf numFmtId="164" fontId="5" fillId="2" borderId="12" xfId="1" applyNumberFormat="1" applyFont="1" applyFill="1" applyBorder="1"/>
    <xf numFmtId="164" fontId="3" fillId="2" borderId="12" xfId="1" applyNumberFormat="1" applyFont="1" applyFill="1" applyBorder="1" applyAlignment="1">
      <alignment wrapText="1"/>
    </xf>
    <xf numFmtId="164" fontId="6" fillId="2" borderId="12" xfId="1" applyNumberFormat="1" applyFont="1" applyFill="1" applyBorder="1"/>
    <xf numFmtId="3" fontId="3" fillId="2" borderId="0" xfId="3" applyNumberFormat="1" applyFont="1" applyFill="1"/>
    <xf numFmtId="166" fontId="3" fillId="2" borderId="0" xfId="1" applyNumberFormat="1" applyFont="1" applyFill="1"/>
    <xf numFmtId="43" fontId="3" fillId="2" borderId="0" xfId="1" applyNumberFormat="1" applyFont="1" applyFill="1"/>
    <xf numFmtId="166" fontId="4" fillId="2" borderId="0" xfId="1" applyNumberFormat="1" applyFont="1" applyFill="1"/>
    <xf numFmtId="10" fontId="3" fillId="2" borderId="0" xfId="2" applyNumberFormat="1" applyFont="1" applyFill="1"/>
    <xf numFmtId="3" fontId="3" fillId="2" borderId="0" xfId="3" applyNumberFormat="1" applyFont="1" applyFill="1" applyAlignment="1"/>
    <xf numFmtId="9" fontId="3" fillId="2" borderId="0" xfId="2" applyFont="1" applyFill="1"/>
    <xf numFmtId="168" fontId="4" fillId="0" borderId="0" xfId="3" applyNumberFormat="1" applyFont="1" applyFill="1" applyBorder="1" applyAlignment="1">
      <alignment horizontal="left" vertical="center"/>
    </xf>
    <xf numFmtId="165" fontId="4" fillId="0" borderId="0" xfId="3" applyNumberFormat="1" applyFont="1" applyFill="1" applyAlignment="1">
      <alignment vertical="center"/>
    </xf>
    <xf numFmtId="3" fontId="4" fillId="2" borderId="0" xfId="3" applyNumberFormat="1" applyFont="1" applyFill="1" applyAlignment="1">
      <alignment horizontal="left" vertical="center"/>
    </xf>
    <xf numFmtId="0" fontId="4" fillId="2" borderId="0" xfId="3" applyFont="1" applyFill="1" applyBorder="1" applyAlignment="1">
      <alignment horizontal="left" vertical="center"/>
    </xf>
    <xf numFmtId="166" fontId="3" fillId="2" borderId="0" xfId="1" applyNumberFormat="1" applyFont="1" applyFill="1" applyBorder="1"/>
    <xf numFmtId="0" fontId="0" fillId="2" borderId="0" xfId="0" applyFill="1" applyBorder="1"/>
    <xf numFmtId="166" fontId="7" fillId="0" borderId="0" xfId="4" applyNumberFormat="1" applyFont="1" applyFill="1" applyBorder="1"/>
    <xf numFmtId="0" fontId="9" fillId="0" borderId="0" xfId="3" applyFont="1" applyBorder="1" applyProtection="1">
      <protection locked="0"/>
    </xf>
    <xf numFmtId="0" fontId="10" fillId="0" borderId="26" xfId="3" applyFont="1" applyFill="1" applyBorder="1" applyProtection="1">
      <protection locked="0"/>
    </xf>
    <xf numFmtId="3" fontId="3" fillId="0" borderId="0" xfId="3" applyNumberFormat="1" applyFont="1" applyBorder="1" applyProtection="1">
      <protection locked="0"/>
    </xf>
    <xf numFmtId="0" fontId="3" fillId="0" borderId="0" xfId="3" applyFont="1" applyProtection="1">
      <protection locked="0"/>
    </xf>
    <xf numFmtId="0" fontId="3" fillId="0" borderId="0" xfId="3" applyFont="1" applyFill="1" applyBorder="1" applyProtection="1">
      <protection locked="0"/>
    </xf>
    <xf numFmtId="0" fontId="3" fillId="0" borderId="0" xfId="3" applyFont="1" applyFill="1" applyProtection="1">
      <protection locked="0"/>
    </xf>
    <xf numFmtId="0" fontId="3" fillId="29" borderId="0" xfId="3" applyFont="1" applyFill="1" applyProtection="1">
      <protection locked="0"/>
    </xf>
    <xf numFmtId="0" fontId="3" fillId="0" borderId="0" xfId="3" applyFont="1" applyBorder="1" applyProtection="1">
      <protection locked="0"/>
    </xf>
    <xf numFmtId="0" fontId="4" fillId="0" borderId="0" xfId="3" applyFont="1" applyProtection="1">
      <protection locked="0"/>
    </xf>
    <xf numFmtId="165" fontId="3" fillId="0" borderId="0" xfId="3" applyNumberFormat="1" applyFont="1" applyProtection="1">
      <protection locked="0"/>
    </xf>
    <xf numFmtId="0" fontId="10" fillId="0" borderId="27" xfId="3" applyFont="1" applyFill="1" applyBorder="1" applyProtection="1">
      <protection locked="0"/>
    </xf>
    <xf numFmtId="49" fontId="10" fillId="0" borderId="27" xfId="3" applyNumberFormat="1" applyFont="1" applyFill="1" applyBorder="1" applyAlignment="1" applyProtection="1">
      <alignment horizontal="right"/>
      <protection locked="0"/>
    </xf>
    <xf numFmtId="0" fontId="9" fillId="0" borderId="0" xfId="3" applyFont="1" applyProtection="1">
      <protection locked="0"/>
    </xf>
    <xf numFmtId="0" fontId="11" fillId="0" borderId="28" xfId="3" applyFont="1" applyFill="1" applyBorder="1" applyAlignment="1" applyProtection="1">
      <alignment horizontal="right"/>
      <protection locked="0"/>
    </xf>
    <xf numFmtId="3" fontId="3" fillId="0" borderId="29" xfId="3" applyNumberFormat="1" applyFont="1" applyBorder="1" applyProtection="1">
      <protection locked="0"/>
    </xf>
    <xf numFmtId="3" fontId="3" fillId="0" borderId="30" xfId="3" applyNumberFormat="1" applyFont="1" applyBorder="1" applyProtection="1">
      <protection locked="0"/>
    </xf>
    <xf numFmtId="0" fontId="9" fillId="0" borderId="0" xfId="3" applyFont="1" applyFill="1" applyProtection="1">
      <protection locked="0"/>
    </xf>
    <xf numFmtId="3" fontId="9" fillId="0" borderId="0" xfId="3" applyNumberFormat="1" applyFont="1" applyFill="1" applyBorder="1" applyProtection="1">
      <protection locked="0"/>
    </xf>
    <xf numFmtId="0" fontId="9" fillId="0" borderId="0" xfId="3" applyFont="1" applyFill="1" applyBorder="1" applyProtection="1">
      <protection locked="0"/>
    </xf>
    <xf numFmtId="0" fontId="9" fillId="29" borderId="0" xfId="3" applyFont="1" applyFill="1" applyProtection="1">
      <protection locked="0"/>
    </xf>
    <xf numFmtId="0" fontId="12" fillId="0" borderId="0" xfId="3" applyFont="1" applyFill="1" applyProtection="1">
      <protection locked="0"/>
    </xf>
    <xf numFmtId="165" fontId="9" fillId="0" borderId="0" xfId="3" applyNumberFormat="1" applyFont="1" applyFill="1" applyProtection="1">
      <protection locked="0"/>
    </xf>
    <xf numFmtId="0" fontId="9" fillId="0" borderId="0" xfId="3" applyFont="1" applyBorder="1" applyAlignment="1" applyProtection="1">
      <alignment wrapText="1"/>
      <protection locked="0"/>
    </xf>
    <xf numFmtId="17" fontId="13" fillId="0" borderId="0" xfId="3" applyNumberFormat="1" applyFont="1" applyFill="1" applyBorder="1" applyAlignment="1" applyProtection="1">
      <alignment horizontal="center" vertical="center" wrapText="1"/>
      <protection locked="0"/>
    </xf>
    <xf numFmtId="3" fontId="4" fillId="30" borderId="0" xfId="5" applyNumberFormat="1" applyFont="1" applyFill="1" applyBorder="1" applyAlignment="1" applyProtection="1">
      <alignment horizontal="center" vertical="center" wrapText="1"/>
      <protection locked="0"/>
    </xf>
    <xf numFmtId="3" fontId="4" fillId="0" borderId="0" xfId="5" applyNumberFormat="1" applyFont="1" applyFill="1" applyBorder="1" applyAlignment="1" applyProtection="1">
      <alignment horizontal="center" vertical="center" wrapText="1"/>
      <protection locked="0"/>
    </xf>
    <xf numFmtId="3" fontId="4" fillId="30" borderId="31" xfId="5" applyNumberFormat="1" applyFont="1" applyFill="1" applyBorder="1" applyAlignment="1" applyProtection="1">
      <alignment horizontal="center" vertical="center" wrapText="1"/>
      <protection locked="0"/>
    </xf>
    <xf numFmtId="3" fontId="3" fillId="31" borderId="0" xfId="5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3" applyFont="1" applyFill="1" applyBorder="1" applyAlignment="1" applyProtection="1">
      <alignment horizontal="center" wrapText="1"/>
      <protection locked="0"/>
    </xf>
    <xf numFmtId="3" fontId="4" fillId="32" borderId="0" xfId="5" applyNumberFormat="1" applyFont="1" applyFill="1" applyBorder="1" applyAlignment="1" applyProtection="1">
      <alignment horizontal="center" vertical="center" wrapText="1"/>
      <protection locked="0"/>
    </xf>
    <xf numFmtId="3" fontId="4" fillId="29" borderId="0" xfId="5" applyNumberFormat="1" applyFont="1" applyFill="1" applyBorder="1" applyAlignment="1" applyProtection="1">
      <alignment horizontal="center" vertical="center" wrapText="1"/>
      <protection locked="0"/>
    </xf>
    <xf numFmtId="3" fontId="4" fillId="3" borderId="0" xfId="5" applyNumberFormat="1" applyFont="1" applyFill="1" applyBorder="1" applyAlignment="1" applyProtection="1">
      <alignment horizontal="center" vertical="center" wrapText="1"/>
      <protection locked="0"/>
    </xf>
    <xf numFmtId="3" fontId="14" fillId="3" borderId="0" xfId="5" applyNumberFormat="1" applyFont="1" applyFill="1" applyBorder="1" applyAlignment="1" applyProtection="1">
      <alignment horizontal="center" vertical="center" wrapText="1"/>
      <protection locked="0"/>
    </xf>
    <xf numFmtId="165" fontId="4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3" applyFont="1" applyBorder="1" applyAlignment="1" applyProtection="1">
      <alignment wrapText="1"/>
      <protection locked="0"/>
    </xf>
    <xf numFmtId="3" fontId="15" fillId="0" borderId="0" xfId="3" applyNumberFormat="1" applyFont="1" applyFill="1" applyBorder="1" applyAlignment="1" applyProtection="1">
      <alignment horizontal="center"/>
      <protection locked="0"/>
    </xf>
    <xf numFmtId="0" fontId="15" fillId="33" borderId="0" xfId="3" applyFont="1" applyFill="1" applyBorder="1" applyAlignment="1" applyProtection="1">
      <alignment horizontal="center"/>
      <protection locked="0"/>
    </xf>
    <xf numFmtId="0" fontId="15" fillId="0" borderId="0" xfId="3" applyFont="1" applyFill="1" applyBorder="1" applyAlignment="1" applyProtection="1">
      <alignment horizontal="center"/>
      <protection locked="0"/>
    </xf>
    <xf numFmtId="0" fontId="15" fillId="0" borderId="0" xfId="3" applyFont="1" applyBorder="1" applyAlignment="1" applyProtection="1">
      <alignment horizontal="center"/>
      <protection locked="0"/>
    </xf>
    <xf numFmtId="3" fontId="15" fillId="0" borderId="32" xfId="3" applyNumberFormat="1" applyFont="1" applyFill="1" applyBorder="1" applyAlignment="1" applyProtection="1">
      <alignment horizontal="center"/>
    </xf>
    <xf numFmtId="0" fontId="3" fillId="0" borderId="0" xfId="3" applyFont="1" applyFill="1" applyBorder="1" applyAlignment="1" applyProtection="1">
      <alignment horizontal="center"/>
      <protection locked="0"/>
    </xf>
    <xf numFmtId="3" fontId="15" fillId="0" borderId="0" xfId="3" applyNumberFormat="1" applyFont="1" applyFill="1" applyBorder="1" applyAlignment="1" applyProtection="1">
      <alignment horizontal="center"/>
    </xf>
    <xf numFmtId="3" fontId="3" fillId="0" borderId="0" xfId="3" applyNumberFormat="1" applyFont="1" applyFill="1" applyBorder="1" applyAlignment="1" applyProtection="1">
      <alignment horizontal="center"/>
    </xf>
    <xf numFmtId="0" fontId="15" fillId="0" borderId="0" xfId="3" applyFont="1" applyFill="1" applyBorder="1" applyAlignment="1" applyProtection="1">
      <alignment horizontal="center"/>
    </xf>
    <xf numFmtId="0" fontId="15" fillId="29" borderId="0" xfId="3" applyFont="1" applyFill="1" applyBorder="1" applyAlignment="1" applyProtection="1">
      <alignment horizontal="center"/>
    </xf>
    <xf numFmtId="0" fontId="16" fillId="0" borderId="0" xfId="3" applyFont="1" applyFill="1" applyBorder="1" applyAlignment="1" applyProtection="1">
      <alignment horizontal="center"/>
    </xf>
    <xf numFmtId="165" fontId="15" fillId="0" borderId="0" xfId="3" applyNumberFormat="1" applyFont="1" applyFill="1" applyBorder="1" applyAlignment="1" applyProtection="1">
      <alignment horizontal="center"/>
    </xf>
    <xf numFmtId="0" fontId="15" fillId="0" borderId="0" xfId="3" applyFont="1" applyProtection="1">
      <protection locked="0"/>
    </xf>
    <xf numFmtId="0" fontId="4" fillId="0" borderId="0" xfId="3" applyFont="1" applyFill="1" applyBorder="1" applyProtection="1">
      <protection locked="0"/>
    </xf>
    <xf numFmtId="3" fontId="4" fillId="0" borderId="0" xfId="3" applyNumberFormat="1" applyFont="1" applyFill="1" applyBorder="1" applyAlignment="1" applyProtection="1">
      <alignment horizontal="center"/>
      <protection locked="0"/>
    </xf>
    <xf numFmtId="0" fontId="3" fillId="33" borderId="0" xfId="3" applyFont="1" applyFill="1" applyBorder="1" applyProtection="1">
      <protection locked="0"/>
    </xf>
    <xf numFmtId="3" fontId="3" fillId="0" borderId="32" xfId="3" applyNumberFormat="1" applyFont="1" applyFill="1" applyBorder="1" applyProtection="1"/>
    <xf numFmtId="3" fontId="3" fillId="0" borderId="0" xfId="3" applyNumberFormat="1" applyFont="1" applyFill="1" applyBorder="1" applyProtection="1"/>
    <xf numFmtId="3" fontId="16" fillId="0" borderId="0" xfId="3" applyNumberFormat="1" applyFont="1" applyFill="1" applyBorder="1" applyAlignment="1" applyProtection="1">
      <alignment horizontal="center"/>
    </xf>
    <xf numFmtId="3" fontId="4" fillId="0" borderId="0" xfId="3" applyNumberFormat="1" applyFont="1" applyFill="1" applyBorder="1" applyAlignment="1" applyProtection="1">
      <alignment horizontal="center"/>
    </xf>
    <xf numFmtId="0" fontId="3" fillId="0" borderId="0" xfId="3" applyFont="1" applyFill="1" applyBorder="1" applyProtection="1"/>
    <xf numFmtId="0" fontId="3" fillId="29" borderId="0" xfId="3" applyFont="1" applyFill="1" applyBorder="1" applyProtection="1"/>
    <xf numFmtId="0" fontId="4" fillId="0" borderId="0" xfId="3" applyFont="1" applyFill="1" applyBorder="1" applyProtection="1"/>
    <xf numFmtId="3" fontId="3" fillId="0" borderId="0" xfId="3" applyNumberFormat="1" applyFont="1" applyProtection="1"/>
    <xf numFmtId="165" fontId="3" fillId="0" borderId="0" xfId="3" applyNumberFormat="1" applyFont="1" applyFill="1" applyBorder="1" applyProtection="1"/>
    <xf numFmtId="3" fontId="3" fillId="0" borderId="0" xfId="3" applyNumberFormat="1" applyFont="1" applyFill="1" applyBorder="1" applyProtection="1">
      <protection locked="0"/>
    </xf>
    <xf numFmtId="3" fontId="3" fillId="33" borderId="0" xfId="3" applyNumberFormat="1" applyFont="1" applyFill="1" applyBorder="1" applyProtection="1">
      <protection locked="0"/>
    </xf>
    <xf numFmtId="3" fontId="3" fillId="0" borderId="0" xfId="3" applyNumberFormat="1" applyFont="1" applyFill="1" applyBorder="1" applyAlignment="1" applyProtection="1">
      <alignment horizontal="center"/>
      <protection locked="0"/>
    </xf>
    <xf numFmtId="3" fontId="3" fillId="0" borderId="29" xfId="3" applyNumberFormat="1" applyFont="1" applyBorder="1" applyProtection="1"/>
    <xf numFmtId="3" fontId="3" fillId="0" borderId="30" xfId="3" applyNumberFormat="1" applyFont="1" applyBorder="1" applyProtection="1"/>
    <xf numFmtId="3" fontId="3" fillId="29" borderId="0" xfId="3" applyNumberFormat="1" applyFont="1" applyFill="1" applyBorder="1" applyProtection="1"/>
    <xf numFmtId="3" fontId="4" fillId="0" borderId="0" xfId="3" applyNumberFormat="1" applyFont="1" applyFill="1" applyBorder="1" applyProtection="1"/>
    <xf numFmtId="3" fontId="3" fillId="0" borderId="33" xfId="3" applyNumberFormat="1" applyFont="1" applyFill="1" applyBorder="1" applyProtection="1">
      <protection locked="0"/>
    </xf>
    <xf numFmtId="3" fontId="3" fillId="33" borderId="33" xfId="3" applyNumberFormat="1" applyFont="1" applyFill="1" applyBorder="1" applyProtection="1">
      <protection locked="0"/>
    </xf>
    <xf numFmtId="3" fontId="3" fillId="0" borderId="33" xfId="3" applyNumberFormat="1" applyFont="1" applyBorder="1" applyProtection="1">
      <protection locked="0"/>
    </xf>
    <xf numFmtId="3" fontId="3" fillId="0" borderId="32" xfId="3" applyNumberFormat="1" applyFont="1" applyBorder="1" applyProtection="1"/>
    <xf numFmtId="3" fontId="16" fillId="0" borderId="0" xfId="3" applyNumberFormat="1" applyFont="1" applyFill="1" applyBorder="1" applyAlignment="1" applyProtection="1">
      <alignment horizontal="center"/>
      <protection locked="0"/>
    </xf>
    <xf numFmtId="3" fontId="3" fillId="0" borderId="0" xfId="3" applyNumberFormat="1" applyFont="1" applyBorder="1" applyProtection="1"/>
    <xf numFmtId="3" fontId="4" fillId="0" borderId="0" xfId="3" applyNumberFormat="1" applyFont="1" applyBorder="1" applyProtection="1"/>
    <xf numFmtId="3" fontId="3" fillId="0" borderId="0" xfId="3" applyNumberFormat="1" applyFont="1" applyFill="1" applyProtection="1"/>
    <xf numFmtId="3" fontId="3" fillId="34" borderId="33" xfId="3" applyNumberFormat="1" applyFont="1" applyFill="1" applyBorder="1" applyProtection="1">
      <protection locked="0"/>
    </xf>
    <xf numFmtId="0" fontId="9" fillId="0" borderId="0" xfId="3" applyFont="1" applyProtection="1"/>
    <xf numFmtId="0" fontId="4" fillId="35" borderId="0" xfId="3" applyFont="1" applyFill="1" applyBorder="1" applyProtection="1"/>
    <xf numFmtId="3" fontId="4" fillId="35" borderId="0" xfId="3" applyNumberFormat="1" applyFont="1" applyFill="1" applyBorder="1" applyProtection="1"/>
    <xf numFmtId="3" fontId="4" fillId="35" borderId="32" xfId="3" applyNumberFormat="1" applyFont="1" applyFill="1" applyBorder="1" applyProtection="1"/>
    <xf numFmtId="3" fontId="4" fillId="29" borderId="0" xfId="3" applyNumberFormat="1" applyFont="1" applyFill="1" applyBorder="1" applyProtection="1"/>
    <xf numFmtId="3" fontId="4" fillId="0" borderId="0" xfId="3" applyNumberFormat="1" applyFont="1" applyProtection="1"/>
    <xf numFmtId="0" fontId="4" fillId="0" borderId="0" xfId="3" applyFont="1" applyProtection="1"/>
    <xf numFmtId="0" fontId="11" fillId="0" borderId="0" xfId="3" applyFont="1" applyFill="1" applyBorder="1" applyProtection="1">
      <protection locked="0"/>
    </xf>
    <xf numFmtId="3" fontId="17" fillId="0" borderId="0" xfId="3" applyNumberFormat="1" applyFont="1" applyFill="1" applyBorder="1" applyAlignment="1" applyProtection="1">
      <alignment horizontal="center"/>
      <protection locked="0"/>
    </xf>
    <xf numFmtId="3" fontId="18" fillId="0" borderId="0" xfId="3" applyNumberFormat="1" applyFont="1" applyFill="1" applyBorder="1" applyProtection="1"/>
    <xf numFmtId="3" fontId="11" fillId="0" borderId="0" xfId="3" applyNumberFormat="1" applyFont="1" applyFill="1" applyBorder="1" applyProtection="1"/>
    <xf numFmtId="3" fontId="19" fillId="0" borderId="0" xfId="3" applyNumberFormat="1" applyFont="1" applyFill="1" applyBorder="1" applyProtection="1"/>
    <xf numFmtId="3" fontId="11" fillId="0" borderId="0" xfId="3" applyNumberFormat="1" applyFont="1" applyFill="1" applyBorder="1" applyProtection="1">
      <protection locked="0"/>
    </xf>
    <xf numFmtId="3" fontId="18" fillId="0" borderId="0" xfId="3" applyNumberFormat="1" applyFont="1" applyFill="1" applyBorder="1" applyProtection="1">
      <protection locked="0"/>
    </xf>
    <xf numFmtId="0" fontId="18" fillId="0" borderId="0" xfId="3" applyFont="1" applyFill="1" applyBorder="1" applyProtection="1">
      <protection locked="0"/>
    </xf>
    <xf numFmtId="3" fontId="3" fillId="33" borderId="29" xfId="3" applyNumberFormat="1" applyFont="1" applyFill="1" applyBorder="1" applyProtection="1"/>
    <xf numFmtId="3" fontId="3" fillId="0" borderId="0" xfId="3" applyNumberFormat="1" applyFont="1" applyProtection="1">
      <protection locked="0"/>
    </xf>
    <xf numFmtId="0" fontId="3" fillId="0" borderId="0" xfId="3" applyFont="1" applyProtection="1"/>
    <xf numFmtId="3" fontId="10" fillId="0" borderId="0" xfId="3" applyNumberFormat="1" applyFont="1" applyFill="1" applyBorder="1" applyProtection="1"/>
    <xf numFmtId="0" fontId="9" fillId="0" borderId="6" xfId="3" applyFont="1" applyBorder="1" applyProtection="1"/>
    <xf numFmtId="0" fontId="4" fillId="35" borderId="6" xfId="3" applyFont="1" applyFill="1" applyBorder="1" applyProtection="1"/>
    <xf numFmtId="3" fontId="4" fillId="35" borderId="6" xfId="3" applyNumberFormat="1" applyFont="1" applyFill="1" applyBorder="1" applyProtection="1"/>
    <xf numFmtId="3" fontId="4" fillId="35" borderId="34" xfId="3" applyNumberFormat="1" applyFont="1" applyFill="1" applyBorder="1" applyProtection="1"/>
    <xf numFmtId="3" fontId="16" fillId="0" borderId="6" xfId="3" applyNumberFormat="1" applyFont="1" applyFill="1" applyBorder="1" applyAlignment="1" applyProtection="1">
      <alignment horizontal="center"/>
    </xf>
    <xf numFmtId="3" fontId="3" fillId="0" borderId="6" xfId="3" applyNumberFormat="1" applyFont="1" applyFill="1" applyBorder="1" applyProtection="1"/>
    <xf numFmtId="3" fontId="4" fillId="0" borderId="6" xfId="3" applyNumberFormat="1" applyFont="1" applyFill="1" applyBorder="1" applyProtection="1"/>
    <xf numFmtId="3" fontId="4" fillId="29" borderId="6" xfId="3" applyNumberFormat="1" applyFont="1" applyFill="1" applyBorder="1" applyProtection="1"/>
    <xf numFmtId="3" fontId="3" fillId="0" borderId="6" xfId="3" applyNumberFormat="1" applyFont="1" applyBorder="1" applyProtection="1"/>
    <xf numFmtId="0" fontId="3" fillId="0" borderId="6" xfId="3" applyFont="1" applyBorder="1" applyProtection="1"/>
    <xf numFmtId="3" fontId="10" fillId="0" borderId="0" xfId="3" applyNumberFormat="1" applyFont="1" applyBorder="1" applyProtection="1"/>
    <xf numFmtId="3" fontId="3" fillId="29" borderId="29" xfId="3" applyNumberFormat="1" applyFont="1" applyFill="1" applyBorder="1" applyProtection="1"/>
    <xf numFmtId="3" fontId="0" fillId="0" borderId="33" xfId="3" applyNumberFormat="1" applyFont="1" applyBorder="1" applyProtection="1">
      <protection locked="0"/>
    </xf>
    <xf numFmtId="3" fontId="4" fillId="33" borderId="0" xfId="3" applyNumberFormat="1" applyFont="1" applyFill="1" applyBorder="1" applyProtection="1"/>
    <xf numFmtId="3" fontId="3" fillId="33" borderId="0" xfId="3" applyNumberFormat="1" applyFont="1" applyFill="1" applyBorder="1" applyProtection="1"/>
    <xf numFmtId="3" fontId="4" fillId="33" borderId="32" xfId="3" applyNumberFormat="1" applyFont="1" applyFill="1" applyBorder="1" applyProtection="1"/>
    <xf numFmtId="3" fontId="5" fillId="33" borderId="29" xfId="3" applyNumberFormat="1" applyFont="1" applyFill="1" applyBorder="1" applyProtection="1"/>
    <xf numFmtId="3" fontId="5" fillId="33" borderId="30" xfId="3" applyNumberFormat="1" applyFont="1" applyFill="1" applyBorder="1" applyProtection="1"/>
    <xf numFmtId="3" fontId="3" fillId="36" borderId="29" xfId="3" applyNumberFormat="1" applyFont="1" applyFill="1" applyBorder="1" applyProtection="1"/>
    <xf numFmtId="3" fontId="3" fillId="0" borderId="29" xfId="3" applyNumberFormat="1" applyFont="1" applyFill="1" applyBorder="1" applyProtection="1"/>
    <xf numFmtId="3" fontId="0" fillId="0" borderId="33" xfId="3" applyNumberFormat="1" applyFont="1" applyFill="1" applyBorder="1" applyProtection="1">
      <protection locked="0"/>
    </xf>
    <xf numFmtId="0" fontId="11" fillId="37" borderId="0" xfId="3" applyFont="1" applyFill="1" applyBorder="1" applyProtection="1">
      <protection locked="0"/>
    </xf>
    <xf numFmtId="3" fontId="5" fillId="0" borderId="0" xfId="3" applyNumberFormat="1" applyFont="1" applyFill="1" applyBorder="1" applyProtection="1">
      <protection locked="0"/>
    </xf>
    <xf numFmtId="3" fontId="4" fillId="0" borderId="32" xfId="3" applyNumberFormat="1" applyFont="1" applyBorder="1" applyProtection="1"/>
    <xf numFmtId="3" fontId="3" fillId="33" borderId="30" xfId="3" applyNumberFormat="1" applyFont="1" applyFill="1" applyBorder="1" applyProtection="1"/>
    <xf numFmtId="3" fontId="4" fillId="0" borderId="0" xfId="3" applyNumberFormat="1" applyFont="1" applyFill="1" applyBorder="1" applyProtection="1">
      <protection locked="0"/>
    </xf>
    <xf numFmtId="3" fontId="4" fillId="0" borderId="0" xfId="3" applyNumberFormat="1" applyFont="1" applyBorder="1" applyProtection="1">
      <protection locked="0"/>
    </xf>
    <xf numFmtId="3" fontId="11" fillId="0" borderId="0" xfId="3" applyNumberFormat="1" applyFont="1" applyProtection="1"/>
    <xf numFmtId="3" fontId="16" fillId="34" borderId="0" xfId="3" applyNumberFormat="1" applyFont="1" applyFill="1" applyBorder="1" applyAlignment="1" applyProtection="1">
      <alignment horizontal="center"/>
      <protection locked="0"/>
    </xf>
    <xf numFmtId="3" fontId="3" fillId="29" borderId="30" xfId="3" applyNumberFormat="1" applyFont="1" applyFill="1" applyBorder="1" applyProtection="1"/>
    <xf numFmtId="164" fontId="3" fillId="0" borderId="0" xfId="3" applyNumberFormat="1" applyFont="1" applyBorder="1" applyProtection="1"/>
    <xf numFmtId="164" fontId="4" fillId="0" borderId="0" xfId="3" applyNumberFormat="1" applyFont="1" applyBorder="1" applyProtection="1"/>
    <xf numFmtId="4" fontId="4" fillId="35" borderId="0" xfId="3" applyNumberFormat="1" applyFont="1" applyFill="1" applyBorder="1" applyProtection="1"/>
    <xf numFmtId="164" fontId="3" fillId="0" borderId="0" xfId="3" applyNumberFormat="1" applyFont="1" applyBorder="1" applyProtection="1">
      <protection locked="0"/>
    </xf>
    <xf numFmtId="3" fontId="16" fillId="29" borderId="0" xfId="3" applyNumberFormat="1" applyFont="1" applyFill="1" applyBorder="1" applyAlignment="1" applyProtection="1">
      <alignment horizontal="center"/>
      <protection locked="0"/>
    </xf>
    <xf numFmtId="3" fontId="3" fillId="0" borderId="30" xfId="3" applyNumberFormat="1" applyFont="1" applyFill="1" applyBorder="1" applyProtection="1"/>
    <xf numFmtId="164" fontId="3" fillId="0" borderId="33" xfId="3" applyNumberFormat="1" applyFont="1" applyBorder="1" applyProtection="1">
      <protection locked="0"/>
    </xf>
    <xf numFmtId="3" fontId="20" fillId="35" borderId="0" xfId="3" applyNumberFormat="1" applyFont="1" applyFill="1" applyBorder="1" applyProtection="1"/>
    <xf numFmtId="164" fontId="4" fillId="35" borderId="0" xfId="3" applyNumberFormat="1" applyFont="1" applyFill="1" applyBorder="1" applyProtection="1"/>
    <xf numFmtId="3" fontId="16" fillId="35" borderId="0" xfId="3" applyNumberFormat="1" applyFont="1" applyFill="1" applyBorder="1" applyAlignment="1" applyProtection="1">
      <alignment horizontal="center"/>
    </xf>
    <xf numFmtId="3" fontId="3" fillId="35" borderId="0" xfId="3" applyNumberFormat="1" applyFont="1" applyFill="1" applyProtection="1"/>
    <xf numFmtId="0" fontId="0" fillId="0" borderId="0" xfId="3" applyFont="1" applyFill="1" applyBorder="1" applyProtection="1">
      <protection locked="0"/>
    </xf>
    <xf numFmtId="3" fontId="3" fillId="35" borderId="0" xfId="3" applyNumberFormat="1" applyFont="1" applyFill="1" applyBorder="1" applyProtection="1">
      <protection locked="0"/>
    </xf>
    <xf numFmtId="0" fontId="21" fillId="0" borderId="0" xfId="3" applyFont="1" applyFill="1" applyBorder="1" applyProtection="1">
      <protection locked="0"/>
    </xf>
    <xf numFmtId="3" fontId="4" fillId="33" borderId="0" xfId="3" applyNumberFormat="1" applyFont="1" applyFill="1" applyBorder="1" applyProtection="1">
      <protection locked="0"/>
    </xf>
    <xf numFmtId="3" fontId="4" fillId="0" borderId="32" xfId="3" applyNumberFormat="1" applyFont="1" applyFill="1" applyBorder="1" applyProtection="1"/>
    <xf numFmtId="3" fontId="10" fillId="29" borderId="0" xfId="3" applyNumberFormat="1" applyFont="1" applyFill="1" applyBorder="1" applyProtection="1"/>
    <xf numFmtId="3" fontId="22" fillId="0" borderId="0" xfId="3" applyNumberFormat="1" applyFont="1" applyFill="1" applyBorder="1" applyProtection="1">
      <protection locked="0"/>
    </xf>
    <xf numFmtId="3" fontId="14" fillId="0" borderId="0" xfId="3" applyNumberFormat="1" applyFont="1" applyFill="1" applyBorder="1" applyProtection="1">
      <protection locked="0"/>
    </xf>
    <xf numFmtId="0" fontId="4" fillId="0" borderId="0" xfId="3" applyFont="1" applyFill="1" applyBorder="1" applyAlignment="1" applyProtection="1">
      <alignment horizontal="center"/>
      <protection locked="0"/>
    </xf>
    <xf numFmtId="3" fontId="4" fillId="0" borderId="0" xfId="3" applyNumberFormat="1" applyFont="1" applyBorder="1" applyAlignment="1" applyProtection="1">
      <alignment horizontal="center"/>
      <protection locked="0"/>
    </xf>
    <xf numFmtId="0" fontId="3" fillId="0" borderId="35" xfId="3" applyFont="1" applyBorder="1" applyAlignment="1" applyProtection="1">
      <alignment horizontal="center" vertical="center" wrapText="1"/>
      <protection locked="0"/>
    </xf>
    <xf numFmtId="3" fontId="3" fillId="29" borderId="0" xfId="3" applyNumberFormat="1" applyFont="1" applyFill="1" applyBorder="1" applyProtection="1">
      <protection locked="0"/>
    </xf>
    <xf numFmtId="3" fontId="0" fillId="0" borderId="35" xfId="3" applyNumberFormat="1" applyFont="1" applyBorder="1" applyAlignment="1" applyProtection="1">
      <alignment horizontal="center" vertical="center" wrapText="1"/>
      <protection locked="0"/>
    </xf>
    <xf numFmtId="3" fontId="0" fillId="0" borderId="3" xfId="3" applyNumberFormat="1" applyFont="1" applyBorder="1" applyAlignment="1" applyProtection="1">
      <alignment horizontal="center" vertical="center" wrapText="1"/>
      <protection locked="0"/>
    </xf>
    <xf numFmtId="0" fontId="23" fillId="0" borderId="0" xfId="3" applyFont="1" applyProtection="1">
      <protection locked="0"/>
    </xf>
    <xf numFmtId="0" fontId="24" fillId="34" borderId="0" xfId="3" applyFont="1" applyFill="1" applyProtection="1">
      <protection locked="0"/>
    </xf>
    <xf numFmtId="0" fontId="24" fillId="34" borderId="0" xfId="3" applyFont="1" applyFill="1" applyBorder="1" applyProtection="1">
      <protection locked="0"/>
    </xf>
    <xf numFmtId="0" fontId="23" fillId="34" borderId="0" xfId="3" applyFont="1" applyFill="1" applyProtection="1">
      <protection locked="0"/>
    </xf>
    <xf numFmtId="165" fontId="24" fillId="34" borderId="0" xfId="3" applyNumberFormat="1" applyFont="1" applyFill="1" applyProtection="1">
      <protection locked="0"/>
    </xf>
    <xf numFmtId="3" fontId="12" fillId="0" borderId="0" xfId="3" applyNumberFormat="1" applyFont="1" applyBorder="1" applyAlignment="1" applyProtection="1">
      <alignment horizontal="center"/>
      <protection locked="0"/>
    </xf>
    <xf numFmtId="0" fontId="3" fillId="0" borderId="0" xfId="3" applyFont="1" applyBorder="1" applyAlignment="1" applyProtection="1">
      <alignment horizontal="center"/>
      <protection locked="0"/>
    </xf>
    <xf numFmtId="0" fontId="3" fillId="29" borderId="0" xfId="3" applyFont="1" applyFill="1" applyBorder="1" applyProtection="1">
      <protection locked="0"/>
    </xf>
    <xf numFmtId="165" fontId="3" fillId="0" borderId="0" xfId="3" applyNumberFormat="1" applyFont="1" applyBorder="1" applyProtection="1">
      <protection locked="0"/>
    </xf>
    <xf numFmtId="0" fontId="4" fillId="31" borderId="0" xfId="3" applyFont="1" applyFill="1" applyBorder="1" applyProtection="1">
      <protection locked="0"/>
    </xf>
    <xf numFmtId="3" fontId="4" fillId="0" borderId="6" xfId="3" applyNumberFormat="1" applyFont="1" applyBorder="1" applyProtection="1">
      <protection locked="0"/>
    </xf>
    <xf numFmtId="0" fontId="3" fillId="0" borderId="6" xfId="3" applyFont="1" applyFill="1" applyBorder="1" applyProtection="1">
      <protection locked="0"/>
    </xf>
    <xf numFmtId="0" fontId="4" fillId="0" borderId="6" xfId="3" applyFont="1" applyBorder="1" applyProtection="1">
      <protection locked="0"/>
    </xf>
    <xf numFmtId="0" fontId="3" fillId="0" borderId="6" xfId="3" applyFont="1" applyBorder="1" applyProtection="1">
      <protection locked="0"/>
    </xf>
    <xf numFmtId="0" fontId="25" fillId="0" borderId="31" xfId="3" applyFont="1" applyBorder="1" applyProtection="1">
      <protection locked="0"/>
    </xf>
    <xf numFmtId="3" fontId="3" fillId="0" borderId="0" xfId="3" applyNumberFormat="1" applyProtection="1">
      <protection locked="0"/>
    </xf>
    <xf numFmtId="3" fontId="4" fillId="0" borderId="35" xfId="3" applyNumberFormat="1" applyFont="1" applyBorder="1" applyProtection="1">
      <protection locked="0"/>
    </xf>
    <xf numFmtId="3" fontId="3" fillId="0" borderId="35" xfId="3" applyNumberFormat="1" applyFont="1" applyFill="1" applyBorder="1" applyProtection="1">
      <protection locked="0"/>
    </xf>
    <xf numFmtId="0" fontId="3" fillId="0" borderId="35" xfId="3" applyFont="1" applyFill="1" applyBorder="1" applyProtection="1">
      <protection locked="0"/>
    </xf>
    <xf numFmtId="0" fontId="3" fillId="0" borderId="3" xfId="3" applyFont="1" applyFill="1" applyBorder="1" applyProtection="1">
      <protection locked="0"/>
    </xf>
    <xf numFmtId="0" fontId="25" fillId="0" borderId="32" xfId="3" applyFont="1" applyBorder="1" applyProtection="1">
      <protection locked="0"/>
    </xf>
    <xf numFmtId="0" fontId="10" fillId="0" borderId="0" xfId="3" applyFont="1" applyBorder="1" applyProtection="1">
      <protection locked="0"/>
    </xf>
    <xf numFmtId="0" fontId="10" fillId="0" borderId="0" xfId="3" applyFont="1" applyFill="1" applyBorder="1" applyProtection="1">
      <protection locked="0"/>
    </xf>
    <xf numFmtId="3" fontId="9" fillId="0" borderId="0" xfId="3" applyNumberFormat="1" applyFont="1" applyBorder="1" applyProtection="1">
      <protection locked="0"/>
    </xf>
    <xf numFmtId="0" fontId="4" fillId="0" borderId="0" xfId="3" applyFont="1" applyBorder="1" applyProtection="1">
      <protection locked="0"/>
    </xf>
    <xf numFmtId="3" fontId="4" fillId="0" borderId="35" xfId="3" applyNumberFormat="1" applyFont="1" applyFill="1" applyBorder="1" applyProtection="1">
      <protection locked="0"/>
    </xf>
    <xf numFmtId="164" fontId="3" fillId="0" borderId="0" xfId="3" applyNumberFormat="1" applyFont="1" applyFill="1" applyBorder="1" applyProtection="1">
      <protection locked="0"/>
    </xf>
    <xf numFmtId="0" fontId="9" fillId="0" borderId="35" xfId="3" applyFont="1" applyBorder="1" applyProtection="1">
      <protection locked="0"/>
    </xf>
    <xf numFmtId="3" fontId="3" fillId="0" borderId="3" xfId="3" applyNumberFormat="1" applyFont="1" applyFill="1" applyBorder="1" applyProtection="1">
      <protection locked="0"/>
    </xf>
    <xf numFmtId="0" fontId="25" fillId="0" borderId="34" xfId="3" applyFont="1" applyBorder="1" applyProtection="1">
      <protection locked="0"/>
    </xf>
    <xf numFmtId="0" fontId="24" fillId="34" borderId="36" xfId="3" applyFont="1" applyFill="1" applyBorder="1" applyProtection="1">
      <protection locked="0"/>
    </xf>
    <xf numFmtId="0" fontId="24" fillId="34" borderId="2" xfId="3" applyFont="1" applyFill="1" applyBorder="1" applyProtection="1">
      <protection locked="0"/>
    </xf>
    <xf numFmtId="0" fontId="23" fillId="34" borderId="2" xfId="3" applyFont="1" applyFill="1" applyBorder="1" applyProtection="1">
      <protection locked="0"/>
    </xf>
    <xf numFmtId="0" fontId="24" fillId="34" borderId="3" xfId="3" applyFont="1" applyFill="1" applyBorder="1" applyProtection="1">
      <protection locked="0"/>
    </xf>
    <xf numFmtId="0" fontId="25" fillId="0" borderId="0" xfId="3" applyFont="1" applyFill="1" applyBorder="1" applyProtection="1">
      <protection locked="0"/>
    </xf>
    <xf numFmtId="0" fontId="4" fillId="0" borderId="27" xfId="3" applyFont="1" applyFill="1" applyBorder="1" applyProtection="1">
      <protection locked="0"/>
    </xf>
    <xf numFmtId="0" fontId="4" fillId="34" borderId="0" xfId="3" applyFont="1" applyFill="1" applyProtection="1">
      <protection locked="0"/>
    </xf>
    <xf numFmtId="0" fontId="3" fillId="34" borderId="0" xfId="3" applyFont="1" applyFill="1" applyBorder="1" applyProtection="1">
      <protection locked="0"/>
    </xf>
    <xf numFmtId="0" fontId="3" fillId="34" borderId="0" xfId="3" applyFont="1" applyFill="1" applyProtection="1">
      <protection locked="0"/>
    </xf>
    <xf numFmtId="165" fontId="3" fillId="34" borderId="0" xfId="3" applyNumberFormat="1" applyFont="1" applyFill="1" applyProtection="1">
      <protection locked="0"/>
    </xf>
    <xf numFmtId="0" fontId="4" fillId="34" borderId="0" xfId="3" applyFont="1" applyFill="1" applyBorder="1" applyProtection="1">
      <protection locked="0"/>
    </xf>
    <xf numFmtId="0" fontId="0" fillId="0" borderId="0" xfId="3" applyFont="1" applyFill="1" applyProtection="1">
      <protection locked="0"/>
    </xf>
    <xf numFmtId="0" fontId="3" fillId="0" borderId="0" xfId="3" applyProtection="1">
      <protection locked="0"/>
    </xf>
    <xf numFmtId="3" fontId="3" fillId="34" borderId="0" xfId="3" applyNumberFormat="1" applyFont="1" applyFill="1" applyBorder="1" applyAlignment="1" applyProtection="1">
      <alignment horizontal="center"/>
      <protection locked="0"/>
    </xf>
    <xf numFmtId="3" fontId="0" fillId="0" borderId="35" xfId="3" applyNumberFormat="1" applyFont="1" applyBorder="1" applyProtection="1">
      <protection locked="0"/>
    </xf>
    <xf numFmtId="3" fontId="11" fillId="0" borderId="35" xfId="3" applyNumberFormat="1" applyFont="1" applyFill="1" applyBorder="1" applyProtection="1">
      <protection locked="0"/>
    </xf>
    <xf numFmtId="0" fontId="11" fillId="0" borderId="35" xfId="3" applyFont="1" applyFill="1" applyBorder="1" applyProtection="1">
      <protection locked="0"/>
    </xf>
    <xf numFmtId="0" fontId="11" fillId="0" borderId="3" xfId="3" applyFont="1" applyFill="1" applyBorder="1" applyProtection="1">
      <protection locked="0"/>
    </xf>
    <xf numFmtId="169" fontId="26" fillId="0" borderId="0" xfId="3" applyNumberFormat="1" applyFont="1" applyBorder="1" applyProtection="1">
      <protection locked="0"/>
    </xf>
    <xf numFmtId="169" fontId="4" fillId="0" borderId="0" xfId="3" applyNumberFormat="1" applyFont="1" applyBorder="1" applyProtection="1">
      <protection locked="0"/>
    </xf>
    <xf numFmtId="169" fontId="4" fillId="0" borderId="0" xfId="3" applyNumberFormat="1" applyFont="1" applyFill="1" applyBorder="1" applyProtection="1">
      <protection locked="0"/>
    </xf>
    <xf numFmtId="0" fontId="0" fillId="0" borderId="0" xfId="3" applyFont="1" applyBorder="1" applyProtection="1">
      <protection locked="0"/>
    </xf>
    <xf numFmtId="3" fontId="0" fillId="0" borderId="0" xfId="3" applyNumberFormat="1" applyFont="1" applyBorder="1" applyProtection="1">
      <protection locked="0"/>
    </xf>
    <xf numFmtId="169" fontId="10" fillId="0" borderId="0" xfId="3" applyNumberFormat="1" applyFont="1" applyBorder="1" applyProtection="1">
      <protection locked="0"/>
    </xf>
    <xf numFmtId="169" fontId="3" fillId="0" borderId="0" xfId="3" applyNumberFormat="1" applyFont="1" applyBorder="1" applyProtection="1">
      <protection locked="0"/>
    </xf>
    <xf numFmtId="0" fontId="25" fillId="0" borderId="0" xfId="3" applyFont="1" applyProtection="1">
      <protection locked="0"/>
    </xf>
    <xf numFmtId="0" fontId="0" fillId="0" borderId="0" xfId="3" applyFont="1" applyProtection="1">
      <protection locked="0"/>
    </xf>
    <xf numFmtId="1" fontId="3" fillId="0" borderId="35" xfId="3" applyNumberFormat="1" applyFont="1" applyFill="1" applyBorder="1" applyProtection="1">
      <protection locked="0"/>
    </xf>
    <xf numFmtId="3" fontId="4" fillId="0" borderId="36" xfId="3" applyNumberFormat="1" applyFont="1" applyBorder="1" applyProtection="1">
      <protection locked="0"/>
    </xf>
    <xf numFmtId="0" fontId="4" fillId="0" borderId="2" xfId="3" applyFont="1" applyFill="1" applyBorder="1" applyProtection="1">
      <protection locked="0"/>
    </xf>
    <xf numFmtId="3" fontId="4" fillId="0" borderId="2" xfId="3" applyNumberFormat="1" applyFont="1" applyFill="1" applyBorder="1" applyProtection="1">
      <protection locked="0"/>
    </xf>
    <xf numFmtId="0" fontId="4" fillId="0" borderId="3" xfId="3" applyFont="1" applyFill="1" applyBorder="1" applyProtection="1">
      <protection locked="0"/>
    </xf>
    <xf numFmtId="0" fontId="4" fillId="34" borderId="0" xfId="0" quotePrefix="1" applyFont="1" applyFill="1" applyAlignment="1">
      <alignment horizontal="center"/>
    </xf>
    <xf numFmtId="0" fontId="0" fillId="34" borderId="0" xfId="0" applyFill="1"/>
    <xf numFmtId="0" fontId="0" fillId="0" borderId="0" xfId="0" applyFill="1"/>
    <xf numFmtId="0" fontId="8" fillId="0" borderId="0" xfId="0" applyFont="1"/>
    <xf numFmtId="171" fontId="0" fillId="0" borderId="0" xfId="0" applyNumberFormat="1"/>
    <xf numFmtId="0" fontId="8" fillId="0" borderId="0" xfId="0" applyFont="1" applyAlignment="1">
      <alignment horizontal="right"/>
    </xf>
    <xf numFmtId="17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35" borderId="0" xfId="3" applyFont="1" applyFill="1" applyBorder="1" applyAlignment="1" applyProtection="1">
      <alignment horizontal="right"/>
    </xf>
    <xf numFmtId="0" fontId="0" fillId="0" borderId="0" xfId="0" applyFill="1" applyAlignment="1">
      <alignment horizontal="right"/>
    </xf>
    <xf numFmtId="0" fontId="44" fillId="0" borderId="0" xfId="0" applyFont="1"/>
    <xf numFmtId="171" fontId="0" fillId="33" borderId="37" xfId="0" applyNumberFormat="1" applyFill="1" applyBorder="1"/>
    <xf numFmtId="171" fontId="4" fillId="35" borderId="0" xfId="3" applyNumberFormat="1" applyFont="1" applyFill="1" applyBorder="1" applyAlignment="1" applyProtection="1">
      <alignment horizontal="right"/>
    </xf>
    <xf numFmtId="171" fontId="0" fillId="0" borderId="0" xfId="0" applyNumberFormat="1" applyFill="1"/>
    <xf numFmtId="0" fontId="8" fillId="2" borderId="0" xfId="0" applyFont="1" applyFill="1"/>
    <xf numFmtId="165" fontId="4" fillId="3" borderId="11" xfId="1" applyNumberFormat="1" applyFont="1" applyFill="1" applyBorder="1" applyAlignment="1">
      <alignment horizontal="center" vertical="center"/>
    </xf>
    <xf numFmtId="165" fontId="3" fillId="2" borderId="0" xfId="1" applyNumberFormat="1" applyFont="1" applyFill="1" applyAlignment="1">
      <alignment horizontal="center" vertical="center"/>
    </xf>
    <xf numFmtId="165" fontId="3" fillId="2" borderId="9" xfId="1" applyNumberFormat="1" applyFont="1" applyFill="1" applyBorder="1" applyAlignment="1">
      <alignment horizontal="center" vertical="center"/>
    </xf>
    <xf numFmtId="165" fontId="4" fillId="2" borderId="11" xfId="1" applyNumberFormat="1" applyFont="1" applyFill="1" applyBorder="1" applyAlignment="1">
      <alignment horizontal="center" vertical="center" wrapText="1"/>
    </xf>
    <xf numFmtId="165" fontId="3" fillId="2" borderId="13" xfId="1" applyNumberFormat="1" applyFont="1" applyFill="1" applyBorder="1" applyAlignment="1">
      <alignment horizontal="center" vertical="center"/>
    </xf>
    <xf numFmtId="165" fontId="4" fillId="2" borderId="11" xfId="1" applyNumberFormat="1" applyFont="1" applyFill="1" applyBorder="1" applyAlignment="1">
      <alignment horizontal="center" vertical="center"/>
    </xf>
    <xf numFmtId="4" fontId="3" fillId="2" borderId="0" xfId="1" applyNumberFormat="1" applyFont="1" applyFill="1" applyBorder="1"/>
    <xf numFmtId="165" fontId="4" fillId="2" borderId="13" xfId="1" applyNumberFormat="1" applyFont="1" applyFill="1" applyBorder="1" applyAlignment="1">
      <alignment horizontal="center" vertical="center"/>
    </xf>
    <xf numFmtId="165" fontId="4" fillId="2" borderId="13" xfId="1" applyNumberFormat="1" applyFont="1" applyFill="1" applyBorder="1" applyAlignment="1">
      <alignment horizontal="center" vertical="center" wrapText="1"/>
    </xf>
    <xf numFmtId="165" fontId="5" fillId="2" borderId="15" xfId="1" applyNumberFormat="1" applyFont="1" applyFill="1" applyBorder="1" applyAlignment="1">
      <alignment horizontal="center" vertical="center"/>
    </xf>
    <xf numFmtId="165" fontId="5" fillId="2" borderId="13" xfId="1" applyNumberFormat="1" applyFont="1" applyFill="1" applyBorder="1" applyAlignment="1">
      <alignment horizontal="center" vertical="center"/>
    </xf>
    <xf numFmtId="165" fontId="6" fillId="2" borderId="15" xfId="1" applyNumberFormat="1" applyFont="1" applyFill="1" applyBorder="1" applyAlignment="1">
      <alignment horizontal="center" vertical="center"/>
    </xf>
    <xf numFmtId="165" fontId="6" fillId="2" borderId="13" xfId="1" applyNumberFormat="1" applyFont="1" applyFill="1" applyBorder="1" applyAlignment="1">
      <alignment horizontal="center" vertical="center"/>
    </xf>
    <xf numFmtId="0" fontId="4" fillId="0" borderId="0" xfId="0" quotePrefix="1" applyFont="1" applyFill="1"/>
    <xf numFmtId="165" fontId="4" fillId="3" borderId="2" xfId="1" applyNumberFormat="1" applyFont="1" applyFill="1" applyBorder="1" applyAlignment="1">
      <alignment horizontal="center"/>
    </xf>
    <xf numFmtId="164" fontId="3" fillId="2" borderId="12" xfId="1" applyNumberFormat="1" applyFont="1" applyFill="1" applyBorder="1" applyAlignment="1">
      <alignment horizontal="center" wrapText="1"/>
    </xf>
    <xf numFmtId="165" fontId="3" fillId="2" borderId="0" xfId="1" applyNumberFormat="1" applyFont="1" applyFill="1" applyBorder="1" applyAlignment="1">
      <alignment horizontal="center" wrapText="1"/>
    </xf>
    <xf numFmtId="165" fontId="3" fillId="2" borderId="0" xfId="1" applyNumberFormat="1" applyFont="1" applyFill="1" applyBorder="1" applyAlignment="1">
      <alignment horizontal="right" vertical="center" wrapText="1"/>
    </xf>
    <xf numFmtId="0" fontId="0" fillId="0" borderId="4" xfId="0" applyBorder="1"/>
    <xf numFmtId="1" fontId="0" fillId="0" borderId="0" xfId="0" applyNumberFormat="1" applyAlignment="1">
      <alignment horizontal="right"/>
    </xf>
    <xf numFmtId="1" fontId="4" fillId="35" borderId="0" xfId="3" applyNumberFormat="1" applyFont="1" applyFill="1" applyBorder="1" applyAlignment="1" applyProtection="1">
      <alignment horizontal="right"/>
    </xf>
    <xf numFmtId="1" fontId="0" fillId="0" borderId="0" xfId="0" applyNumberFormat="1" applyFill="1" applyAlignment="1">
      <alignment horizontal="right"/>
    </xf>
    <xf numFmtId="171" fontId="45" fillId="0" borderId="4" xfId="0" applyNumberFormat="1" applyFont="1" applyBorder="1" applyAlignment="1">
      <alignment horizontal="right"/>
    </xf>
    <xf numFmtId="0" fontId="4" fillId="34" borderId="0" xfId="0" applyFont="1" applyFill="1" applyAlignment="1">
      <alignment horizontal="left"/>
    </xf>
    <xf numFmtId="0" fontId="4" fillId="34" borderId="0" xfId="0" applyFont="1" applyFill="1" applyAlignment="1">
      <alignment horizontal="left" wrapText="1"/>
    </xf>
    <xf numFmtId="0" fontId="0" fillId="0" borderId="0" xfId="0" applyFont="1"/>
    <xf numFmtId="0" fontId="0" fillId="0" borderId="0" xfId="0" applyFont="1" applyAlignment="1">
      <alignment horizontal="right"/>
    </xf>
    <xf numFmtId="175" fontId="8" fillId="0" borderId="0" xfId="0" applyNumberFormat="1" applyFont="1" applyAlignment="1">
      <alignment horizontal="right"/>
    </xf>
    <xf numFmtId="173" fontId="0" fillId="0" borderId="0" xfId="0" applyNumberFormat="1"/>
    <xf numFmtId="43" fontId="4" fillId="35" borderId="0" xfId="3" applyNumberFormat="1" applyFont="1" applyFill="1" applyBorder="1" applyAlignment="1" applyProtection="1">
      <alignment horizontal="right"/>
    </xf>
    <xf numFmtId="43" fontId="0" fillId="0" borderId="0" xfId="0" applyNumberFormat="1" applyAlignment="1">
      <alignment horizontal="right"/>
    </xf>
    <xf numFmtId="43" fontId="0" fillId="0" borderId="0" xfId="0" applyNumberFormat="1" applyFill="1" applyAlignment="1">
      <alignment horizontal="right"/>
    </xf>
    <xf numFmtId="43" fontId="0" fillId="38" borderId="0" xfId="0" applyNumberFormat="1" applyFill="1" applyAlignment="1">
      <alignment horizontal="right"/>
    </xf>
    <xf numFmtId="43" fontId="4" fillId="35" borderId="0" xfId="1" applyNumberFormat="1" applyFont="1" applyFill="1" applyBorder="1" applyAlignment="1" applyProtection="1">
      <alignment horizontal="right"/>
    </xf>
    <xf numFmtId="43" fontId="0" fillId="0" borderId="0" xfId="1" applyNumberFormat="1" applyFont="1" applyAlignment="1"/>
    <xf numFmtId="0" fontId="16" fillId="0" borderId="0" xfId="0" applyFont="1" applyFill="1"/>
    <xf numFmtId="0" fontId="16" fillId="0" borderId="0" xfId="0" applyFont="1" applyFill="1" applyAlignment="1">
      <alignment horizontal="center"/>
    </xf>
    <xf numFmtId="0" fontId="9" fillId="0" borderId="0" xfId="0" applyFont="1" applyFill="1"/>
    <xf numFmtId="166" fontId="9" fillId="0" borderId="0" xfId="1" applyNumberFormat="1" applyFont="1" applyFill="1"/>
    <xf numFmtId="43" fontId="9" fillId="0" borderId="0" xfId="1" applyNumberFormat="1" applyFont="1" applyFill="1"/>
    <xf numFmtId="0" fontId="9" fillId="0" borderId="0" xfId="0" applyFont="1" applyFill="1" applyAlignment="1">
      <alignment horizontal="center"/>
    </xf>
    <xf numFmtId="0" fontId="9" fillId="0" borderId="8" xfId="0" applyFont="1" applyFill="1" applyBorder="1"/>
    <xf numFmtId="0" fontId="9" fillId="0" borderId="9" xfId="0" applyFont="1" applyFill="1" applyBorder="1"/>
    <xf numFmtId="166" fontId="9" fillId="0" borderId="1" xfId="1" applyNumberFormat="1" applyFont="1" applyFill="1" applyBorder="1"/>
    <xf numFmtId="0" fontId="12" fillId="0" borderId="35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wrapText="1"/>
    </xf>
    <xf numFmtId="166" fontId="12" fillId="0" borderId="35" xfId="1" applyNumberFormat="1" applyFont="1" applyFill="1" applyBorder="1" applyAlignment="1">
      <alignment horizontal="center" vertical="center" wrapText="1"/>
    </xf>
    <xf numFmtId="166" fontId="9" fillId="0" borderId="0" xfId="1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 wrapText="1"/>
    </xf>
    <xf numFmtId="166" fontId="12" fillId="0" borderId="2" xfId="1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9" fillId="0" borderId="13" xfId="0" applyFont="1" applyFill="1" applyBorder="1"/>
    <xf numFmtId="166" fontId="9" fillId="0" borderId="0" xfId="1" applyNumberFormat="1" applyFont="1" applyFill="1" applyBorder="1"/>
    <xf numFmtId="0" fontId="12" fillId="0" borderId="0" xfId="0" applyFont="1" applyFill="1"/>
    <xf numFmtId="0" fontId="12" fillId="0" borderId="0" xfId="0" applyFont="1" applyFill="1" applyAlignment="1">
      <alignment horizontal="center"/>
    </xf>
    <xf numFmtId="166" fontId="12" fillId="0" borderId="2" xfId="1" applyNumberFormat="1" applyFont="1" applyFill="1" applyBorder="1"/>
    <xf numFmtId="0" fontId="12" fillId="0" borderId="13" xfId="0" applyFont="1" applyFill="1" applyBorder="1"/>
    <xf numFmtId="166" fontId="12" fillId="0" borderId="0" xfId="1" applyNumberFormat="1" applyFont="1" applyFill="1"/>
    <xf numFmtId="166" fontId="12" fillId="0" borderId="2" xfId="1" applyNumberFormat="1" applyFont="1" applyFill="1" applyBorder="1" applyAlignment="1">
      <alignment horizontal="center"/>
    </xf>
    <xf numFmtId="166" fontId="9" fillId="0" borderId="0" xfId="1" applyNumberFormat="1" applyFont="1" applyFill="1" applyBorder="1" applyAlignment="1">
      <alignment horizontal="center"/>
    </xf>
    <xf numFmtId="43" fontId="12" fillId="34" borderId="0" xfId="1" applyFont="1" applyFill="1"/>
    <xf numFmtId="172" fontId="12" fillId="0" borderId="0" xfId="0" applyNumberFormat="1" applyFont="1" applyFill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166" fontId="12" fillId="0" borderId="0" xfId="1" applyNumberFormat="1" applyFont="1" applyFill="1" applyBorder="1"/>
    <xf numFmtId="166" fontId="12" fillId="0" borderId="0" xfId="1" applyNumberFormat="1" applyFont="1" applyFill="1" applyBorder="1" applyAlignment="1">
      <alignment horizontal="center"/>
    </xf>
    <xf numFmtId="9" fontId="12" fillId="0" borderId="0" xfId="2" applyFont="1" applyFill="1" applyAlignment="1">
      <alignment horizontal="center" vertical="center"/>
    </xf>
    <xf numFmtId="43" fontId="12" fillId="0" borderId="0" xfId="1" applyFont="1" applyFill="1"/>
    <xf numFmtId="0" fontId="9" fillId="0" borderId="0" xfId="0" applyFont="1" applyFill="1" applyBorder="1" applyAlignment="1">
      <alignment horizontal="left" vertical="center" wrapText="1"/>
    </xf>
    <xf numFmtId="43" fontId="12" fillId="34" borderId="0" xfId="1" applyNumberFormat="1" applyFont="1" applyFill="1"/>
    <xf numFmtId="165" fontId="12" fillId="0" borderId="0" xfId="0" applyNumberFormat="1" applyFont="1" applyFill="1" applyAlignment="1">
      <alignment horizontal="center" vertical="center"/>
    </xf>
    <xf numFmtId="174" fontId="9" fillId="0" borderId="0" xfId="0" applyNumberFormat="1" applyFont="1" applyFill="1"/>
    <xf numFmtId="0" fontId="9" fillId="0" borderId="0" xfId="0" quotePrefix="1" applyFont="1" applyFill="1"/>
    <xf numFmtId="172" fontId="12" fillId="0" borderId="0" xfId="1" applyNumberFormat="1" applyFont="1" applyFill="1"/>
    <xf numFmtId="0" fontId="16" fillId="0" borderId="0" xfId="0" applyFont="1" applyFill="1" applyBorder="1"/>
    <xf numFmtId="0" fontId="9" fillId="0" borderId="0" xfId="0" applyFont="1" applyFill="1" applyAlignment="1">
      <alignment horizontal="center" wrapText="1"/>
    </xf>
    <xf numFmtId="0" fontId="12" fillId="0" borderId="0" xfId="0" applyFont="1" applyFill="1" applyAlignment="1">
      <alignment horizontal="center" vertical="center" wrapText="1"/>
    </xf>
    <xf numFmtId="43" fontId="12" fillId="0" borderId="0" xfId="1" applyFont="1" applyFill="1" applyAlignment="1">
      <alignment horizontal="center" wrapText="1"/>
    </xf>
    <xf numFmtId="166" fontId="12" fillId="0" borderId="0" xfId="1" applyNumberFormat="1" applyFont="1" applyFill="1" applyAlignment="1">
      <alignment horizontal="center" wrapText="1"/>
    </xf>
    <xf numFmtId="0" fontId="12" fillId="0" borderId="13" xfId="0" applyFont="1" applyFill="1" applyBorder="1" applyAlignment="1">
      <alignment horizontal="center" wrapText="1"/>
    </xf>
    <xf numFmtId="166" fontId="12" fillId="0" borderId="0" xfId="1" applyNumberFormat="1" applyFont="1" applyFill="1" applyBorder="1" applyAlignment="1">
      <alignment horizontal="center" wrapText="1"/>
    </xf>
    <xf numFmtId="0" fontId="12" fillId="0" borderId="0" xfId="0" applyFont="1" applyFill="1" applyAlignment="1">
      <alignment horizontal="left" wrapText="1"/>
    </xf>
    <xf numFmtId="43" fontId="12" fillId="0" borderId="2" xfId="1" applyFont="1" applyFill="1" applyBorder="1" applyAlignment="1">
      <alignment horizontal="center" wrapText="1"/>
    </xf>
    <xf numFmtId="43" fontId="12" fillId="0" borderId="2" xfId="1" applyNumberFormat="1" applyFont="1" applyFill="1" applyBorder="1" applyAlignment="1">
      <alignment horizontal="center" wrapText="1"/>
    </xf>
    <xf numFmtId="176" fontId="9" fillId="0" borderId="0" xfId="0" applyNumberFormat="1" applyFont="1" applyFill="1"/>
    <xf numFmtId="166" fontId="12" fillId="0" borderId="2" xfId="1" applyNumberFormat="1" applyFont="1" applyFill="1" applyBorder="1" applyAlignment="1">
      <alignment horizontal="center" wrapText="1"/>
    </xf>
    <xf numFmtId="0" fontId="46" fillId="0" borderId="0" xfId="0" applyFont="1" applyFill="1"/>
    <xf numFmtId="43" fontId="12" fillId="0" borderId="2" xfId="1" applyNumberFormat="1" applyFont="1" applyFill="1" applyBorder="1"/>
    <xf numFmtId="43" fontId="9" fillId="0" borderId="0" xfId="0" applyNumberFormat="1" applyFont="1" applyFill="1" applyAlignment="1">
      <alignment horizontal="center" vertical="center"/>
    </xf>
    <xf numFmtId="0" fontId="47" fillId="0" borderId="0" xfId="0" applyFont="1" applyFill="1"/>
    <xf numFmtId="0" fontId="12" fillId="0" borderId="0" xfId="0" quotePrefix="1" applyFont="1" applyFill="1"/>
    <xf numFmtId="0" fontId="12" fillId="0" borderId="0" xfId="0" quotePrefix="1" applyFont="1" applyFill="1" applyAlignment="1">
      <alignment horizontal="center" vertical="center"/>
    </xf>
    <xf numFmtId="0" fontId="46" fillId="0" borderId="0" xfId="0" quotePrefix="1" applyFont="1" applyFill="1"/>
    <xf numFmtId="0" fontId="46" fillId="0" borderId="0" xfId="0" applyFont="1" applyFill="1" applyAlignment="1">
      <alignment horizontal="center"/>
    </xf>
    <xf numFmtId="0" fontId="47" fillId="0" borderId="0" xfId="0" applyFont="1" applyFill="1" applyAlignment="1">
      <alignment horizontal="center"/>
    </xf>
    <xf numFmtId="166" fontId="47" fillId="0" borderId="4" xfId="1" applyNumberFormat="1" applyFont="1" applyFill="1" applyBorder="1"/>
    <xf numFmtId="0" fontId="47" fillId="0" borderId="13" xfId="0" applyFont="1" applyFill="1" applyBorder="1"/>
    <xf numFmtId="166" fontId="47" fillId="0" borderId="4" xfId="1" applyNumberFormat="1" applyFont="1" applyFill="1" applyBorder="1" applyAlignment="1">
      <alignment horizontal="center"/>
    </xf>
    <xf numFmtId="0" fontId="12" fillId="0" borderId="0" xfId="0" quotePrefix="1" applyFont="1" applyFill="1" applyAlignment="1">
      <alignment horizontal="center"/>
    </xf>
    <xf numFmtId="166" fontId="47" fillId="0" borderId="0" xfId="1" applyNumberFormat="1" applyFont="1" applyFill="1" applyBorder="1"/>
    <xf numFmtId="166" fontId="48" fillId="0" borderId="0" xfId="1" applyNumberFormat="1" applyFont="1" applyFill="1"/>
    <xf numFmtId="166" fontId="47" fillId="0" borderId="0" xfId="1" applyNumberFormat="1" applyFont="1" applyFill="1" applyBorder="1" applyAlignment="1">
      <alignment horizontal="center"/>
    </xf>
    <xf numFmtId="0" fontId="49" fillId="0" borderId="0" xfId="0" applyFont="1" applyFill="1"/>
    <xf numFmtId="166" fontId="9" fillId="0" borderId="4" xfId="1" applyNumberFormat="1" applyFont="1" applyFill="1" applyBorder="1" applyAlignment="1">
      <alignment horizontal="center"/>
    </xf>
    <xf numFmtId="0" fontId="49" fillId="0" borderId="0" xfId="0" applyFont="1" applyFill="1" applyAlignment="1">
      <alignment horizontal="center"/>
    </xf>
    <xf numFmtId="0" fontId="49" fillId="0" borderId="13" xfId="0" applyFont="1" applyFill="1" applyBorder="1"/>
    <xf numFmtId="165" fontId="12" fillId="0" borderId="2" xfId="1" applyNumberFormat="1" applyFont="1" applyFill="1" applyBorder="1"/>
    <xf numFmtId="166" fontId="49" fillId="0" borderId="0" xfId="1" applyNumberFormat="1" applyFont="1" applyFill="1" applyBorder="1" applyAlignment="1">
      <alignment horizontal="center"/>
    </xf>
    <xf numFmtId="166" fontId="12" fillId="0" borderId="5" xfId="1" applyNumberFormat="1" applyFont="1" applyFill="1" applyBorder="1"/>
    <xf numFmtId="43" fontId="12" fillId="0" borderId="5" xfId="1" applyNumberFormat="1" applyFont="1" applyFill="1" applyBorder="1"/>
    <xf numFmtId="9" fontId="12" fillId="0" borderId="0" xfId="2" applyFont="1" applyFill="1" applyAlignment="1">
      <alignment horizontal="center"/>
    </xf>
    <xf numFmtId="167" fontId="12" fillId="0" borderId="0" xfId="2" applyNumberFormat="1" applyFont="1" applyFill="1" applyAlignment="1">
      <alignment horizontal="center"/>
    </xf>
    <xf numFmtId="9" fontId="12" fillId="0" borderId="13" xfId="2" applyFont="1" applyFill="1" applyBorder="1" applyAlignment="1">
      <alignment horizontal="center"/>
    </xf>
    <xf numFmtId="166" fontId="12" fillId="0" borderId="5" xfId="1" applyNumberFormat="1" applyFont="1" applyFill="1" applyBorder="1" applyAlignment="1">
      <alignment horizontal="left" indent="2"/>
    </xf>
    <xf numFmtId="166" fontId="9" fillId="0" borderId="4" xfId="1" applyNumberFormat="1" applyFont="1" applyFill="1" applyBorder="1"/>
    <xf numFmtId="166" fontId="9" fillId="0" borderId="6" xfId="1" applyNumberFormat="1" applyFont="1" applyFill="1" applyBorder="1"/>
    <xf numFmtId="0" fontId="9" fillId="0" borderId="0" xfId="0" quotePrefix="1" applyFont="1" applyFill="1" applyAlignment="1">
      <alignment horizontal="center"/>
    </xf>
    <xf numFmtId="166" fontId="9" fillId="0" borderId="2" xfId="1" applyNumberFormat="1" applyFont="1" applyFill="1" applyBorder="1"/>
    <xf numFmtId="0" fontId="9" fillId="0" borderId="16" xfId="0" applyFont="1" applyFill="1" applyBorder="1" applyAlignment="1">
      <alignment horizontal="center" vertical="center"/>
    </xf>
    <xf numFmtId="0" fontId="9" fillId="0" borderId="17" xfId="0" applyFont="1" applyFill="1" applyBorder="1"/>
    <xf numFmtId="166" fontId="9" fillId="0" borderId="7" xfId="1" applyNumberFormat="1" applyFont="1" applyFill="1" applyBorder="1"/>
    <xf numFmtId="166" fontId="50" fillId="0" borderId="0" xfId="1" applyNumberFormat="1" applyFont="1" applyFill="1"/>
    <xf numFmtId="166" fontId="9" fillId="0" borderId="0" xfId="1" applyNumberFormat="1" applyFont="1" applyFill="1" applyAlignment="1">
      <alignment horizontal="center"/>
    </xf>
    <xf numFmtId="166" fontId="9" fillId="0" borderId="1" xfId="1" applyNumberFormat="1" applyFont="1" applyFill="1" applyBorder="1" applyAlignment="1">
      <alignment horizontal="center"/>
    </xf>
    <xf numFmtId="166" fontId="12" fillId="0" borderId="36" xfId="1" applyNumberFormat="1" applyFont="1" applyFill="1" applyBorder="1" applyAlignment="1">
      <alignment horizontal="center" vertical="center" wrapText="1"/>
    </xf>
    <xf numFmtId="166" fontId="12" fillId="0" borderId="3" xfId="1" applyNumberFormat="1" applyFont="1" applyFill="1" applyBorder="1" applyAlignment="1">
      <alignment horizontal="center" vertical="center" wrapText="1"/>
    </xf>
    <xf numFmtId="166" fontId="49" fillId="0" borderId="4" xfId="1" applyNumberFormat="1" applyFont="1" applyFill="1" applyBorder="1"/>
    <xf numFmtId="166" fontId="9" fillId="0" borderId="0" xfId="1" applyNumberFormat="1" applyFont="1" applyFill="1" applyBorder="1" applyAlignment="1">
      <alignment wrapText="1"/>
    </xf>
    <xf numFmtId="166" fontId="49" fillId="0" borderId="0" xfId="1" applyNumberFormat="1" applyFont="1" applyFill="1" applyBorder="1"/>
    <xf numFmtId="166" fontId="12" fillId="0" borderId="0" xfId="2" applyNumberFormat="1" applyFont="1" applyFill="1" applyBorder="1" applyAlignment="1">
      <alignment horizontal="center"/>
    </xf>
    <xf numFmtId="166" fontId="9" fillId="0" borderId="26" xfId="1" applyNumberFormat="1" applyFont="1" applyFill="1" applyBorder="1"/>
    <xf numFmtId="166" fontId="9" fillId="0" borderId="39" xfId="1" applyNumberFormat="1" applyFont="1" applyFill="1" applyBorder="1" applyAlignment="1">
      <alignment horizontal="center"/>
    </xf>
    <xf numFmtId="166" fontId="9" fillId="0" borderId="27" xfId="1" applyNumberFormat="1" applyFont="1" applyFill="1" applyBorder="1"/>
    <xf numFmtId="166" fontId="9" fillId="0" borderId="40" xfId="1" applyNumberFormat="1" applyFont="1" applyFill="1" applyBorder="1" applyAlignment="1">
      <alignment horizontal="center"/>
    </xf>
    <xf numFmtId="166" fontId="9" fillId="0" borderId="28" xfId="1" applyNumberFormat="1" applyFont="1" applyFill="1" applyBorder="1"/>
    <xf numFmtId="166" fontId="9" fillId="0" borderId="6" xfId="1" applyNumberFormat="1" applyFont="1" applyFill="1" applyBorder="1" applyAlignment="1">
      <alignment horizontal="center"/>
    </xf>
    <xf numFmtId="166" fontId="9" fillId="0" borderId="41" xfId="1" applyNumberFormat="1" applyFont="1" applyFill="1" applyBorder="1" applyAlignment="1">
      <alignment horizontal="center"/>
    </xf>
    <xf numFmtId="166" fontId="9" fillId="0" borderId="2" xfId="1" applyNumberFormat="1" applyFont="1" applyFill="1" applyBorder="1" applyAlignment="1">
      <alignment horizontal="center"/>
    </xf>
    <xf numFmtId="166" fontId="9" fillId="0" borderId="7" xfId="1" applyNumberFormat="1" applyFont="1" applyFill="1" applyBorder="1" applyAlignment="1">
      <alignment horizontal="center"/>
    </xf>
    <xf numFmtId="166" fontId="12" fillId="0" borderId="0" xfId="1" applyNumberFormat="1" applyFont="1" applyFill="1" applyAlignment="1">
      <alignment horizontal="center"/>
    </xf>
    <xf numFmtId="177" fontId="12" fillId="0" borderId="2" xfId="1" applyNumberFormat="1" applyFont="1" applyFill="1" applyBorder="1" applyAlignment="1">
      <alignment horizontal="center"/>
    </xf>
    <xf numFmtId="17" fontId="0" fillId="0" borderId="0" xfId="0" applyNumberFormat="1" applyFont="1"/>
    <xf numFmtId="177" fontId="12" fillId="0" borderId="2" xfId="1" applyNumberFormat="1" applyFont="1" applyFill="1" applyBorder="1" applyAlignment="1"/>
    <xf numFmtId="166" fontId="9" fillId="34" borderId="6" xfId="1" applyNumberFormat="1" applyFont="1" applyFill="1" applyBorder="1"/>
    <xf numFmtId="166" fontId="9" fillId="34" borderId="0" xfId="1" applyNumberFormat="1" applyFont="1" applyFill="1" applyBorder="1"/>
    <xf numFmtId="172" fontId="12" fillId="0" borderId="0" xfId="1" applyNumberFormat="1" applyFont="1" applyFill="1" applyBorder="1" applyAlignment="1">
      <alignment horizontal="center"/>
    </xf>
    <xf numFmtId="172" fontId="12" fillId="0" borderId="2" xfId="1" applyNumberFormat="1" applyFont="1" applyFill="1" applyBorder="1" applyAlignment="1">
      <alignment horizontal="center" wrapText="1"/>
    </xf>
    <xf numFmtId="172" fontId="12" fillId="0" borderId="2" xfId="1" applyNumberFormat="1" applyFont="1" applyFill="1" applyBorder="1"/>
    <xf numFmtId="43" fontId="12" fillId="0" borderId="2" xfId="1" applyNumberFormat="1" applyFont="1" applyFill="1" applyBorder="1" applyAlignment="1">
      <alignment horizontal="center"/>
    </xf>
    <xf numFmtId="172" fontId="12" fillId="0" borderId="2" xfId="1" applyNumberFormat="1" applyFont="1" applyFill="1" applyBorder="1" applyAlignment="1">
      <alignment horizontal="center"/>
    </xf>
    <xf numFmtId="0" fontId="4" fillId="36" borderId="0" xfId="0" applyFont="1" applyFill="1" applyAlignment="1">
      <alignment horizontal="left"/>
    </xf>
    <xf numFmtId="0" fontId="12" fillId="36" borderId="0" xfId="0" applyFont="1" applyFill="1"/>
    <xf numFmtId="0" fontId="12" fillId="36" borderId="0" xfId="0" applyFont="1" applyFill="1" applyAlignment="1">
      <alignment horizontal="center"/>
    </xf>
    <xf numFmtId="0" fontId="12" fillId="36" borderId="0" xfId="0" applyFont="1" applyFill="1" applyAlignment="1">
      <alignment horizontal="center" vertical="center"/>
    </xf>
    <xf numFmtId="0" fontId="12" fillId="36" borderId="12" xfId="0" applyFont="1" applyFill="1" applyBorder="1" applyAlignment="1">
      <alignment horizontal="center" vertical="center"/>
    </xf>
    <xf numFmtId="166" fontId="9" fillId="36" borderId="0" xfId="1" applyNumberFormat="1" applyFont="1" applyFill="1" applyBorder="1"/>
    <xf numFmtId="166" fontId="12" fillId="36" borderId="0" xfId="1" applyNumberFormat="1" applyFont="1" applyFill="1" applyBorder="1"/>
    <xf numFmtId="166" fontId="12" fillId="36" borderId="0" xfId="1" applyNumberFormat="1" applyFont="1" applyFill="1" applyBorder="1" applyAlignment="1">
      <alignment horizontal="center"/>
    </xf>
    <xf numFmtId="0" fontId="12" fillId="36" borderId="13" xfId="0" applyFont="1" applyFill="1" applyBorder="1"/>
    <xf numFmtId="0" fontId="9" fillId="36" borderId="0" xfId="0" applyFont="1" applyFill="1"/>
    <xf numFmtId="0" fontId="47" fillId="36" borderId="0" xfId="0" applyFont="1" applyFill="1"/>
    <xf numFmtId="0" fontId="47" fillId="36" borderId="0" xfId="0" applyFont="1" applyFill="1" applyAlignment="1">
      <alignment horizontal="center"/>
    </xf>
    <xf numFmtId="0" fontId="9" fillId="36" borderId="0" xfId="0" applyFont="1" applyFill="1" applyAlignment="1">
      <alignment horizontal="center" vertical="center"/>
    </xf>
    <xf numFmtId="0" fontId="9" fillId="36" borderId="12" xfId="0" applyFont="1" applyFill="1" applyBorder="1" applyAlignment="1">
      <alignment horizontal="center" vertical="center"/>
    </xf>
    <xf numFmtId="166" fontId="47" fillId="36" borderId="0" xfId="1" applyNumberFormat="1" applyFont="1" applyFill="1" applyBorder="1"/>
    <xf numFmtId="0" fontId="47" fillId="36" borderId="13" xfId="0" applyFont="1" applyFill="1" applyBorder="1"/>
    <xf numFmtId="0" fontId="9" fillId="36" borderId="0" xfId="0" applyFont="1" applyFill="1" applyAlignment="1">
      <alignment horizontal="center"/>
    </xf>
    <xf numFmtId="166" fontId="9" fillId="36" borderId="0" xfId="1" applyNumberFormat="1" applyFont="1" applyFill="1" applyBorder="1" applyAlignment="1">
      <alignment horizontal="center"/>
    </xf>
    <xf numFmtId="0" fontId="9" fillId="36" borderId="13" xfId="0" applyFont="1" applyFill="1" applyBorder="1"/>
    <xf numFmtId="43" fontId="12" fillId="0" borderId="0" xfId="1" applyNumberFormat="1" applyFont="1" applyFill="1"/>
    <xf numFmtId="178" fontId="12" fillId="0" borderId="0" xfId="1" applyNumberFormat="1" applyFont="1" applyFill="1" applyBorder="1" applyAlignment="1">
      <alignment horizontal="center"/>
    </xf>
    <xf numFmtId="178" fontId="47" fillId="0" borderId="0" xfId="1" applyNumberFormat="1" applyFont="1" applyFill="1" applyBorder="1"/>
    <xf numFmtId="0" fontId="9" fillId="34" borderId="0" xfId="0" applyFont="1" applyFill="1" applyBorder="1" applyAlignment="1">
      <alignment horizontal="left" vertical="center" wrapText="1"/>
    </xf>
    <xf numFmtId="179" fontId="9" fillId="0" borderId="0" xfId="1" applyNumberFormat="1" applyFont="1" applyFill="1" applyBorder="1"/>
    <xf numFmtId="166" fontId="22" fillId="0" borderId="0" xfId="1" applyNumberFormat="1" applyFont="1" applyFill="1" applyBorder="1" applyAlignment="1">
      <alignment horizontal="center"/>
    </xf>
    <xf numFmtId="0" fontId="4" fillId="38" borderId="0" xfId="0" applyFont="1" applyFill="1" applyAlignment="1">
      <alignment horizontal="left"/>
    </xf>
    <xf numFmtId="169" fontId="45" fillId="0" borderId="4" xfId="0" applyNumberFormat="1" applyFont="1" applyBorder="1" applyAlignment="1">
      <alignment horizontal="right"/>
    </xf>
    <xf numFmtId="43" fontId="0" fillId="0" borderId="0" xfId="0" applyNumberFormat="1"/>
    <xf numFmtId="43" fontId="0" fillId="36" borderId="0" xfId="0" applyNumberFormat="1" applyFill="1" applyAlignment="1">
      <alignment horizontal="right"/>
    </xf>
    <xf numFmtId="171" fontId="0" fillId="0" borderId="0" xfId="0" applyNumberFormat="1" applyFont="1" applyAlignment="1">
      <alignment horizontal="right"/>
    </xf>
    <xf numFmtId="171" fontId="8" fillId="0" borderId="0" xfId="0" applyNumberFormat="1" applyFont="1" applyAlignment="1">
      <alignment horizontal="right"/>
    </xf>
    <xf numFmtId="171" fontId="0" fillId="0" borderId="0" xfId="0" applyNumberFormat="1" applyFill="1" applyAlignment="1">
      <alignment horizontal="right"/>
    </xf>
    <xf numFmtId="0" fontId="51" fillId="0" borderId="0" xfId="0" quotePrefix="1" applyFont="1" applyFill="1"/>
    <xf numFmtId="0" fontId="52" fillId="0" borderId="0" xfId="0" applyFont="1" applyFill="1"/>
    <xf numFmtId="0" fontId="51" fillId="0" borderId="0" xfId="0" applyFont="1" applyFill="1"/>
    <xf numFmtId="0" fontId="53" fillId="0" borderId="0" xfId="0" applyFont="1" applyFill="1"/>
    <xf numFmtId="0" fontId="54" fillId="0" borderId="0" xfId="0" applyFont="1" applyFill="1"/>
    <xf numFmtId="0" fontId="9" fillId="0" borderId="38" xfId="0" applyFont="1" applyFill="1" applyBorder="1" applyAlignment="1">
      <alignment horizontal="left" vertical="center" wrapText="1"/>
    </xf>
  </cellXfs>
  <cellStyles count="45">
    <cellStyle name="20 % - Accent1" xfId="6"/>
    <cellStyle name="20 % - Accent2" xfId="7"/>
    <cellStyle name="20 % - Accent3" xfId="8"/>
    <cellStyle name="20 % - Accent4" xfId="9"/>
    <cellStyle name="20 % - Accent5" xfId="10"/>
    <cellStyle name="20 % - Accent6" xfId="11"/>
    <cellStyle name="40 % - Accent1" xfId="12"/>
    <cellStyle name="40 % - Accent2" xfId="13"/>
    <cellStyle name="40 % - Accent3" xfId="14"/>
    <cellStyle name="40 % - Accent4" xfId="15"/>
    <cellStyle name="40 % - Accent5" xfId="16"/>
    <cellStyle name="40 % - Accent6" xfId="17"/>
    <cellStyle name="60 % - Accent1" xfId="18"/>
    <cellStyle name="60 % - Accent2" xfId="19"/>
    <cellStyle name="60 % - Accent3" xfId="20"/>
    <cellStyle name="60 % - Accent4" xfId="21"/>
    <cellStyle name="60 % - Accent5" xfId="22"/>
    <cellStyle name="60 % - Accent6" xfId="23"/>
    <cellStyle name="Avertissement" xfId="24"/>
    <cellStyle name="Calcul" xfId="25"/>
    <cellStyle name="Cellule liée" xfId="26"/>
    <cellStyle name="Commentaire" xfId="27"/>
    <cellStyle name="Entrée" xfId="28"/>
    <cellStyle name="Euro" xfId="29"/>
    <cellStyle name="hervé" xfId="30"/>
    <cellStyle name="Insatisfaisant" xfId="31"/>
    <cellStyle name="Milliers" xfId="1" builtinId="3"/>
    <cellStyle name="Milliers 3" xfId="4"/>
    <cellStyle name="Neutre" xfId="32"/>
    <cellStyle name="Normal" xfId="0" builtinId="0"/>
    <cellStyle name="Normal 2" xfId="3"/>
    <cellStyle name="Normal 3" xfId="33"/>
    <cellStyle name="Normal_Sheet1" xfId="5"/>
    <cellStyle name="Pourcentage" xfId="2" builtinId="5"/>
    <cellStyle name="Satisfaisant" xfId="34"/>
    <cellStyle name="Sortie" xfId="35"/>
    <cellStyle name="Style 1" xfId="36"/>
    <cellStyle name="Texte explicatif" xfId="37"/>
    <cellStyle name="Titre" xfId="38"/>
    <cellStyle name="Titre 1" xfId="39"/>
    <cellStyle name="Titre 2" xfId="40"/>
    <cellStyle name="Titre 3" xfId="41"/>
    <cellStyle name="Titre 4" xfId="42"/>
    <cellStyle name="Total 1" xfId="43"/>
    <cellStyle name="Vérification" xfId="44"/>
  </cellStyles>
  <dxfs count="50"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font>
        <b/>
        <i val="0"/>
        <color theme="6" tint="-0.499984740745262"/>
      </font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hair">
          <color theme="0" tint="-0.14996795556505021"/>
        </left>
        <right style="hair">
          <color theme="0" tint="-0.14996795556505021"/>
        </right>
        <top style="dashed">
          <color theme="0" tint="-0.14996795556505021"/>
        </top>
        <bottom style="dashed">
          <color theme="0" tint="-0.14996795556505021"/>
        </bottom>
        <vertical/>
        <horizontal/>
      </border>
    </dxf>
    <dxf>
      <border>
        <vertical/>
        <horizontal/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4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3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afiler-d01\OO-Finances\Users\gregory.rondot\AppData\Local\Microsoft\Windows\Temporary%20Internet%20Files\Content.Outlook\WAH92RHO\P&amp;L%202015%200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afiler-d01\OO-Finances\CGESTION\NEO\2015%20Neo\Reporting%20Mensuel\Juin\Revenus%20Jui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no.soares/AppData/Local/Microsoft/Windows/INetCache/Content.Outlook/0JZFLFML/MPLB_Neo_Sept_YTD%20V2%20(002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P&amp;L%20Nov_Valeurs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 July actuals"/>
      <sheetName val="2015 July flash"/>
      <sheetName val="2015 June actuals"/>
      <sheetName val="2015 June flash"/>
      <sheetName val="2015 May actuals"/>
      <sheetName val="2015 May_flash 2"/>
      <sheetName val="2015 April actuals"/>
      <sheetName val="2015 April flash"/>
      <sheetName val="2015 Mars actuals"/>
      <sheetName val="2015 Mars flash"/>
      <sheetName val="2015 Flash February actuals ok"/>
      <sheetName val="2015 Flash February flash"/>
      <sheetName val="2015 January Actuals ok"/>
      <sheetName val="2015 January Flas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E4" t="str">
            <v>.02</v>
          </cell>
        </row>
      </sheetData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"/>
      <sheetName val="Pillars Janv"/>
      <sheetName val="Fev"/>
      <sheetName val="Pillars Fev"/>
      <sheetName val="Mars"/>
      <sheetName val="Pillars Mars"/>
      <sheetName val="Avril"/>
      <sheetName val="Pillars Avril"/>
      <sheetName val="Mai"/>
      <sheetName val="Pillars Mai"/>
      <sheetName val="Juin"/>
      <sheetName val="Pillars Ju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98">
          <cell r="AJ98">
            <v>1403354.41</v>
          </cell>
          <cell r="AK98">
            <v>1122110.9099999999</v>
          </cell>
        </row>
      </sheetData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_one_neo"/>
      <sheetName val="mapping_one"/>
      <sheetName val="2015 July actuals"/>
      <sheetName val="Actuals juin"/>
      <sheetName val="Actuals INP"/>
      <sheetName val="p&amp;l"/>
      <sheetName val="ForecastSept"/>
      <sheetName val="Janv"/>
      <sheetName val="p&amp;l Janv"/>
      <sheetName val="Fev"/>
      <sheetName val="p&amp;l Fev"/>
      <sheetName val="Mar"/>
      <sheetName val="p&amp;l Mar"/>
      <sheetName val="Avril"/>
      <sheetName val="p&amp;l Avril"/>
      <sheetName val="Mai"/>
      <sheetName val="p&amp;l Mai"/>
      <sheetName val="Juin"/>
      <sheetName val="p&amp;l Juin"/>
      <sheetName val="Juillet"/>
      <sheetName val="p&amp;l Juillet"/>
      <sheetName val="Août"/>
      <sheetName val="p&amp;l Août"/>
      <sheetName val="Sept"/>
      <sheetName val="p&amp;l Sept"/>
    </sheetNames>
    <sheetDataSet>
      <sheetData sheetId="0">
        <row r="1">
          <cell r="A1" t="str">
            <v>Neo</v>
          </cell>
          <cell r="B1" t="str">
            <v>One</v>
          </cell>
        </row>
        <row r="6">
          <cell r="A6" t="str">
            <v>REVENUES</v>
          </cell>
          <cell r="B6" t="str">
            <v>Billings - Non-Media</v>
          </cell>
        </row>
        <row r="8">
          <cell r="A8" t="str">
            <v>Staff Costs</v>
          </cell>
        </row>
        <row r="9">
          <cell r="A9" t="str">
            <v xml:space="preserve">Salaires Bruts </v>
          </cell>
          <cell r="B9" t="str">
            <v>Staff salaries</v>
          </cell>
        </row>
        <row r="10">
          <cell r="A10" t="str">
            <v>CS Salaires Bruts</v>
          </cell>
          <cell r="B10" t="str">
            <v>Employers Social Taxes</v>
          </cell>
        </row>
        <row r="11">
          <cell r="A11" t="str">
            <v>Intercos</v>
          </cell>
          <cell r="B11" t="str">
            <v xml:space="preserve">Inter-company time of staff - INTRA AU=0.INP </v>
          </cell>
        </row>
        <row r="12">
          <cell r="A12" t="str">
            <v>Primes</v>
          </cell>
          <cell r="B12" t="str">
            <v>Staff salaries</v>
          </cell>
        </row>
        <row r="13">
          <cell r="A13" t="str">
            <v xml:space="preserve">S/C Primes </v>
          </cell>
          <cell r="B13" t="str">
            <v>Employers Social Taxes</v>
          </cell>
        </row>
        <row r="14">
          <cell r="A14" t="str">
            <v>Prime de précarité</v>
          </cell>
          <cell r="B14" t="str">
            <v>Staff salaries</v>
          </cell>
        </row>
        <row r="15">
          <cell r="A15" t="str">
            <v>S/C Primes Précarité</v>
          </cell>
          <cell r="B15" t="str">
            <v>Employers Social Taxes</v>
          </cell>
        </row>
        <row r="16">
          <cell r="A16" t="str">
            <v>CS Holiday Pay Neo</v>
          </cell>
          <cell r="B16" t="str">
            <v>Employers Social Taxes</v>
          </cell>
        </row>
        <row r="17">
          <cell r="A17" t="str">
            <v>CS Holiday Pay O&amp;M Refac</v>
          </cell>
          <cell r="B17" t="str">
            <v>Employers Social Taxes</v>
          </cell>
        </row>
        <row r="18">
          <cell r="A18" t="str">
            <v>CS Other Staff Costs (Admire)</v>
          </cell>
        </row>
        <row r="19">
          <cell r="A19" t="str">
            <v>Indemnités</v>
          </cell>
          <cell r="B19" t="str">
            <v>Staff salaries</v>
          </cell>
        </row>
        <row r="20">
          <cell r="A20" t="str">
            <v>CS Indemnités</v>
          </cell>
          <cell r="B20" t="str">
            <v>Employers Social Taxes</v>
          </cell>
        </row>
        <row r="21">
          <cell r="A21" t="str">
            <v>ICO (Shona)</v>
          </cell>
          <cell r="B21" t="str">
            <v xml:space="preserve">Inter-company time of staff - INTRA AU=0.INP </v>
          </cell>
        </row>
        <row r="22">
          <cell r="A22" t="str">
            <v>ICO (Violaine)</v>
          </cell>
          <cell r="B22" t="str">
            <v xml:space="preserve">Inter-company time of staff - INTRA AU=0.INP </v>
          </cell>
        </row>
        <row r="23">
          <cell r="A23" t="str">
            <v>S/C ITOS (Shona)</v>
          </cell>
          <cell r="B23" t="str">
            <v>Employers Social Taxes</v>
          </cell>
        </row>
        <row r="24">
          <cell r="A24" t="str">
            <v>S/C ITOS (Violaine)</v>
          </cell>
          <cell r="B24" t="str">
            <v>Employers Social Taxes</v>
          </cell>
        </row>
        <row r="25">
          <cell r="A25" t="str">
            <v>Recrutement</v>
          </cell>
          <cell r="B25" t="str">
            <v>Recruitment costs</v>
          </cell>
        </row>
        <row r="26">
          <cell r="A26" t="str">
            <v>Freelance</v>
          </cell>
          <cell r="B26" t="str">
            <v>Consultants/freelances/temps</v>
          </cell>
        </row>
        <row r="27">
          <cell r="A27" t="str">
            <v>ICO (Londres)</v>
          </cell>
          <cell r="B27" t="str">
            <v xml:space="preserve">Inter-company time of staff - INTRA AU=0.INP </v>
          </cell>
        </row>
        <row r="28">
          <cell r="A28" t="str">
            <v>ICO (juridique, paie etc)</v>
          </cell>
          <cell r="B28" t="str">
            <v xml:space="preserve">Inter-company time of staff - INTRA AU=0.INP </v>
          </cell>
        </row>
        <row r="29">
          <cell r="A29" t="str">
            <v>Participation</v>
          </cell>
        </row>
        <row r="30">
          <cell r="A30" t="str">
            <v>Forfait Social (Participation) / CS</v>
          </cell>
        </row>
        <row r="31">
          <cell r="A31" t="str">
            <v>ITOS - Admire</v>
          </cell>
          <cell r="B31" t="str">
            <v>Other staff costs</v>
          </cell>
        </row>
        <row r="32">
          <cell r="A32" t="str">
            <v>Other Staff Costs</v>
          </cell>
        </row>
        <row r="33">
          <cell r="A33" t="str">
            <v>Crédit d'impot (CS)</v>
          </cell>
        </row>
        <row r="34">
          <cell r="A34" t="str">
            <v>Voiture (TVTS = Office costs)</v>
          </cell>
          <cell r="B34" t="str">
            <v>Car costs/leases</v>
          </cell>
        </row>
        <row r="35">
          <cell r="A35" t="str">
            <v>- Location véhicules</v>
          </cell>
        </row>
        <row r="36">
          <cell r="A36" t="str">
            <v>- Assurance véhicules</v>
          </cell>
        </row>
        <row r="37">
          <cell r="A37" t="str">
            <v>- Frais essence</v>
          </cell>
        </row>
        <row r="38">
          <cell r="A38" t="str">
            <v>- Frais de véhicules</v>
          </cell>
        </row>
        <row r="39">
          <cell r="A39" t="str">
            <v>IDR</v>
          </cell>
          <cell r="B39" t="str">
            <v>Pensions - defined benefit schemes</v>
          </cell>
        </row>
        <row r="40">
          <cell r="A40" t="str">
            <v>Holiday Pay</v>
          </cell>
        </row>
        <row r="41">
          <cell r="A41" t="str">
            <v>- Prov CP Neo</v>
          </cell>
          <cell r="B41" t="str">
            <v>Holiday Pay</v>
          </cell>
        </row>
        <row r="42">
          <cell r="A42" t="str">
            <v>- Prov CP Refac O&amp;M</v>
          </cell>
          <cell r="B42" t="str">
            <v>Holiday Pay</v>
          </cell>
        </row>
        <row r="44">
          <cell r="A44" t="str">
            <v>TOTAL STAFF COSTS</v>
          </cell>
        </row>
        <row r="46">
          <cell r="A46" t="str">
            <v>Establishment Costs</v>
          </cell>
        </row>
        <row r="47">
          <cell r="A47" t="str">
            <v>Marbeuf</v>
          </cell>
          <cell r="B47" t="str">
            <v>Inter-company facilities AU=0.INP Neo</v>
          </cell>
        </row>
        <row r="48">
          <cell r="A48" t="str">
            <v>Charges Locatives (Marbeuf)</v>
          </cell>
          <cell r="B48" t="str">
            <v>Inter-company facilities AU=0.INP Neo</v>
          </cell>
        </row>
        <row r="49">
          <cell r="A49" t="str">
            <v>Agencements (Marbeuf)</v>
          </cell>
          <cell r="B49" t="str">
            <v>Inter-company facilities AU=0.INP Neo</v>
          </cell>
        </row>
        <row r="50">
          <cell r="A50" t="str">
            <v>Parking (Oone)</v>
          </cell>
          <cell r="B50" t="str">
            <v>Other establishment costs</v>
          </cell>
        </row>
        <row r="51">
          <cell r="A51" t="str">
            <v>Frais Démenagement</v>
          </cell>
          <cell r="B51" t="str">
            <v>Other establishment costs</v>
          </cell>
        </row>
        <row r="52">
          <cell r="A52" t="str">
            <v>Accrual establishment costs (increase in FTE)</v>
          </cell>
          <cell r="B52" t="str">
            <v>Inter-company facilities AU=0.INP Neo</v>
          </cell>
        </row>
        <row r="53">
          <cell r="A53" t="str">
            <v>Accrual establishment costs (increase in FTE)</v>
          </cell>
          <cell r="B53" t="str">
            <v>Inter-company facilities AU=0.INP Neo</v>
          </cell>
        </row>
        <row r="56">
          <cell r="A56" t="str">
            <v>Personal Costs</v>
          </cell>
        </row>
        <row r="57">
          <cell r="A57" t="str">
            <v>Welfare :</v>
          </cell>
        </row>
        <row r="58">
          <cell r="A58" t="str">
            <v>- Training (SC)</v>
          </cell>
          <cell r="B58" t="str">
            <v>Staff training course fees</v>
          </cell>
        </row>
        <row r="59">
          <cell r="A59" t="str">
            <v>- Taxes Fiscales Welfare (SC)</v>
          </cell>
          <cell r="B59" t="str">
            <v>Staff Welfare</v>
          </cell>
        </row>
        <row r="60">
          <cell r="A60" t="str">
            <v>- CE</v>
          </cell>
          <cell r="B60" t="str">
            <v>Staff Welfare</v>
          </cell>
        </row>
        <row r="61">
          <cell r="A61" t="str">
            <v>- Agefi</v>
          </cell>
          <cell r="B61" t="str">
            <v>Staff Welfare</v>
          </cell>
        </row>
        <row r="62">
          <cell r="A62" t="str">
            <v>- Urssaf</v>
          </cell>
          <cell r="B62" t="str">
            <v>Staff Welfare</v>
          </cell>
        </row>
        <row r="63">
          <cell r="A63" t="str">
            <v>- Medecine de travail</v>
          </cell>
          <cell r="B63" t="str">
            <v>Staff Welfare</v>
          </cell>
        </row>
        <row r="64">
          <cell r="A64" t="str">
            <v>- Œuvre Sociale</v>
          </cell>
          <cell r="B64" t="str">
            <v>Staff Welfare</v>
          </cell>
        </row>
        <row r="65">
          <cell r="A65" t="str">
            <v xml:space="preserve">- Café &amp; Eau (Œuvre Sociale) </v>
          </cell>
          <cell r="B65" t="str">
            <v>Staff Welfare</v>
          </cell>
        </row>
        <row r="66">
          <cell r="A66" t="str">
            <v>- Café &amp; Eau (Œuvre Sociale) - Marbeuf</v>
          </cell>
          <cell r="B66" t="str">
            <v>Staff Welfare</v>
          </cell>
        </row>
        <row r="67">
          <cell r="A67" t="str">
            <v>- Other</v>
          </cell>
          <cell r="B67" t="str">
            <v>Staff Welfare</v>
          </cell>
        </row>
        <row r="68">
          <cell r="A68" t="str">
            <v>Sous-total Welfare</v>
          </cell>
        </row>
        <row r="70">
          <cell r="A70" t="str">
            <v>T&amp;E</v>
          </cell>
        </row>
        <row r="71">
          <cell r="A71" t="str">
            <v>- Voyages &amp; Déplacements (Travel)</v>
          </cell>
          <cell r="B71" t="str">
            <v>Travel</v>
          </cell>
        </row>
        <row r="72">
          <cell r="A72" t="str">
            <v>- Receptions</v>
          </cell>
          <cell r="B72" t="str">
            <v>Allowance &amp; subsistence</v>
          </cell>
        </row>
        <row r="73">
          <cell r="A73" t="str">
            <v>- Missions (Hotels/Repas/Taxis - Clients)</v>
          </cell>
          <cell r="B73" t="str">
            <v>Allowance &amp; subsistence</v>
          </cell>
        </row>
        <row r="74">
          <cell r="A74" t="str">
            <v>- Missions (Internes)</v>
          </cell>
          <cell r="B74" t="str">
            <v>Allowance &amp; subsistence</v>
          </cell>
        </row>
        <row r="75">
          <cell r="A75" t="str">
            <v>Sous-total Travel</v>
          </cell>
        </row>
        <row r="77">
          <cell r="A77" t="str">
            <v>Total Personal Costs</v>
          </cell>
        </row>
        <row r="79">
          <cell r="A79" t="str">
            <v>Commercial Costs</v>
          </cell>
        </row>
        <row r="80">
          <cell r="A80" t="str">
            <v xml:space="preserve">Prospection </v>
          </cell>
        </row>
        <row r="81">
          <cell r="A81" t="str">
            <v>- Prospection clientèle</v>
          </cell>
          <cell r="B81" t="str">
            <v>New business/client presentation costs</v>
          </cell>
        </row>
        <row r="82">
          <cell r="A82" t="str">
            <v>- Voyages déplacements prospects</v>
          </cell>
          <cell r="B82" t="str">
            <v>New business/client presentation costs</v>
          </cell>
        </row>
        <row r="83">
          <cell r="A83" t="str">
            <v>- Mission &amp; Receptions prospects</v>
          </cell>
          <cell r="B83" t="str">
            <v>New business/client presentation costs</v>
          </cell>
        </row>
        <row r="84">
          <cell r="A84" t="str">
            <v>Sous-total New Business</v>
          </cell>
        </row>
        <row r="86">
          <cell r="A86" t="str">
            <v>Advert/Promo</v>
          </cell>
        </row>
        <row r="87">
          <cell r="A87" t="str">
            <v>- Pub Agence</v>
          </cell>
          <cell r="B87" t="str">
            <v>Advert/promotion</v>
          </cell>
        </row>
        <row r="88">
          <cell r="A88" t="str">
            <v>- Cadeaux clientèle</v>
          </cell>
          <cell r="B88" t="str">
            <v>Advert/promotion</v>
          </cell>
        </row>
        <row r="89">
          <cell r="A89" t="str">
            <v>Sous-total Advert/Promo</v>
          </cell>
        </row>
        <row r="91">
          <cell r="A91" t="str">
            <v>Research</v>
          </cell>
        </row>
        <row r="92">
          <cell r="A92" t="str">
            <v>- Research</v>
          </cell>
          <cell r="B92" t="str">
            <v>Research costs</v>
          </cell>
        </row>
        <row r="93">
          <cell r="A93" t="str">
            <v>- Other commercial cost</v>
          </cell>
          <cell r="B93" t="str">
            <v>Other commercial costs</v>
          </cell>
        </row>
        <row r="94">
          <cell r="A94" t="str">
            <v>Sous-total Research</v>
          </cell>
        </row>
        <row r="96">
          <cell r="A96" t="str">
            <v>Other Commercial Costs</v>
          </cell>
        </row>
        <row r="98">
          <cell r="A98" t="str">
            <v>Total Commercial Costs</v>
          </cell>
        </row>
        <row r="100">
          <cell r="A100" t="str">
            <v>Office Costs</v>
          </cell>
        </row>
        <row r="102">
          <cell r="A102" t="str">
            <v>Stationery</v>
          </cell>
        </row>
        <row r="103">
          <cell r="A103" t="str">
            <v xml:space="preserve">- Fourn Admin </v>
          </cell>
          <cell r="B103" t="str">
            <v>Stationery/art &amp; materials AU=0.INP</v>
          </cell>
        </row>
        <row r="104">
          <cell r="A104" t="str">
            <v>- Fourn Admin (Marbeuf - Papier + Sanitaires)</v>
          </cell>
          <cell r="B104" t="str">
            <v>Stationery/art &amp; materials AU=0.INP</v>
          </cell>
        </row>
        <row r="105">
          <cell r="A105" t="str">
            <v>- Fourn Bureau</v>
          </cell>
          <cell r="B105" t="str">
            <v>Stationery/art &amp; materials AU=0.INP</v>
          </cell>
        </row>
        <row r="106">
          <cell r="A106" t="str">
            <v>Sous-total Stationery</v>
          </cell>
        </row>
        <row r="108">
          <cell r="A108" t="str">
            <v>Postage &amp; Couriers</v>
          </cell>
        </row>
        <row r="109">
          <cell r="A109" t="str">
            <v>- Coursiers</v>
          </cell>
          <cell r="B109" t="str">
            <v>Postage &amp; courier</v>
          </cell>
        </row>
        <row r="110">
          <cell r="A110" t="str">
            <v>- Frais Postaux</v>
          </cell>
          <cell r="B110" t="str">
            <v>Postage &amp; courier</v>
          </cell>
        </row>
        <row r="111">
          <cell r="A111" t="str">
            <v>Sous-total Postage &amp; Couriers</v>
          </cell>
        </row>
        <row r="113">
          <cell r="A113" t="str">
            <v>Other Office Costs</v>
          </cell>
        </row>
        <row r="114">
          <cell r="A114" t="str">
            <v>- Documentation Générale</v>
          </cell>
          <cell r="B114" t="str">
            <v>Other office costs AU=0.INP</v>
          </cell>
        </row>
        <row r="115">
          <cell r="A115" t="str">
            <v>- CFE / CVAE (ex.  TP)</v>
          </cell>
          <cell r="B115" t="str">
            <v>Other office costs AU=0.INP</v>
          </cell>
        </row>
        <row r="116">
          <cell r="A116" t="str">
            <v>- TVTS</v>
          </cell>
          <cell r="B116" t="str">
            <v>Other office costs AU=0.INP</v>
          </cell>
        </row>
        <row r="117">
          <cell r="A117" t="str">
            <v>- Autres Droits</v>
          </cell>
          <cell r="B117" t="str">
            <v>Other office costs AU=0.INP</v>
          </cell>
        </row>
        <row r="118">
          <cell r="A118" t="str">
            <v>- Organic</v>
          </cell>
          <cell r="B118" t="str">
            <v>Other office costs AU=0.INP</v>
          </cell>
        </row>
        <row r="119">
          <cell r="A119" t="str">
            <v>- Autres charges Marbeuf (Mobilier / Capex)</v>
          </cell>
          <cell r="B119" t="str">
            <v>Other office costs AU=0.INP</v>
          </cell>
        </row>
        <row r="120">
          <cell r="A120" t="str">
            <v>- Charges divers de gestion</v>
          </cell>
          <cell r="B120" t="str">
            <v>Other office costs AU=0.INP</v>
          </cell>
        </row>
        <row r="121">
          <cell r="A121" t="str">
            <v>- Dot Amort Mobilier (Marbeuf)</v>
          </cell>
          <cell r="B121" t="str">
            <v>Other office costs AU=0.INP</v>
          </cell>
        </row>
        <row r="122">
          <cell r="A122" t="str">
            <v>- Dot Logiciel (Marbeuf)</v>
          </cell>
          <cell r="B122" t="str">
            <v>Other office costs AU=0.INP</v>
          </cell>
        </row>
        <row r="123">
          <cell r="A123" t="str">
            <v>- Other</v>
          </cell>
          <cell r="B123" t="str">
            <v>Other office costs AU=0.INP</v>
          </cell>
        </row>
        <row r="124">
          <cell r="A124" t="str">
            <v>Sous-total Other Office Costs</v>
          </cell>
        </row>
        <row r="126">
          <cell r="A126" t="str">
            <v>Total Office Costs</v>
          </cell>
        </row>
        <row r="128">
          <cell r="A128" t="str">
            <v>Voice / Fax Communication</v>
          </cell>
          <cell r="B128" t="str">
            <v>Voice/fax communication costs</v>
          </cell>
        </row>
        <row r="129">
          <cell r="A129" t="str">
            <v>Voice / Fax Communication (Marbeuf)</v>
          </cell>
          <cell r="B129" t="str">
            <v>Voice/fax communication costs</v>
          </cell>
        </row>
        <row r="131">
          <cell r="A131" t="str">
            <v>Data Communication (Internet)</v>
          </cell>
          <cell r="B131" t="str">
            <v>Data communication costs AU=0ADJ16</v>
          </cell>
        </row>
        <row r="132">
          <cell r="A132" t="str">
            <v>Data Communication (Internet - Marbeuf)</v>
          </cell>
          <cell r="B132" t="str">
            <v>Data communication costs AU=0ADJ16</v>
          </cell>
        </row>
        <row r="133">
          <cell r="A133" t="str">
            <v>- Intervention MBS</v>
          </cell>
          <cell r="B133" t="str">
            <v>Outsourced business systems AU=0ADJ16</v>
          </cell>
        </row>
        <row r="134">
          <cell r="A134" t="str">
            <v>Outsourced Business</v>
          </cell>
        </row>
        <row r="135">
          <cell r="A135" t="str">
            <v>- Outsourced business</v>
          </cell>
        </row>
        <row r="136">
          <cell r="A136" t="str">
            <v>- UK licenses (Facturé d'O&amp;M Paris)</v>
          </cell>
          <cell r="B136" t="str">
            <v>Outsourced business systems AU=0ADJ16</v>
          </cell>
        </row>
        <row r="137">
          <cell r="A137" t="str">
            <v>- Entretien maint informatique</v>
          </cell>
          <cell r="B137" t="str">
            <v>Computer equipment maintenance/service AU=0ADJ16</v>
          </cell>
        </row>
        <row r="138">
          <cell r="A138" t="str">
            <v>- PR AKA (Sauvegarde IBM)</v>
          </cell>
          <cell r="B138" t="str">
            <v>Outsourced business systems AU=0ADJ16</v>
          </cell>
        </row>
        <row r="139">
          <cell r="A139" t="str">
            <v>- Media Manager / MBS (Licence)</v>
          </cell>
          <cell r="B139" t="str">
            <v>Outsourced business systems AU=0ADJ16</v>
          </cell>
        </row>
        <row r="140">
          <cell r="A140" t="str">
            <v>- Computer Equipment Maintenance (Marbeuf)</v>
          </cell>
          <cell r="B140" t="str">
            <v>Outsourced business systems AU=0ADJ16</v>
          </cell>
        </row>
        <row r="141">
          <cell r="A141" t="str">
            <v>- Dot Immos Logiciels (Licence MBS)</v>
          </cell>
          <cell r="B141" t="str">
            <v>Outsourced business systems AU=0ADJ16</v>
          </cell>
        </row>
        <row r="142">
          <cell r="A142" t="str">
            <v>- ADP Europe (Paie)</v>
          </cell>
          <cell r="B142" t="str">
            <v>Outsourced business systems AU=0ADJ16</v>
          </cell>
        </row>
        <row r="143">
          <cell r="A143" t="str">
            <v>- IBM (reclass IT ITOS costs - ADJ 17)</v>
          </cell>
          <cell r="B143" t="str">
            <v>WPP Business Services/IBM cost allocation</v>
          </cell>
        </row>
        <row r="144">
          <cell r="A144" t="str">
            <v>-Licence quantum</v>
          </cell>
          <cell r="B144" t="str">
            <v>Outsourced business systems AU=0ADJ16</v>
          </cell>
        </row>
        <row r="145">
          <cell r="A145" t="str">
            <v>Sous-total Outsourced Business</v>
          </cell>
        </row>
        <row r="147">
          <cell r="A147" t="str">
            <v>- Photocopies (Marbeuf)</v>
          </cell>
          <cell r="B147" t="str">
            <v>Stationery/art &amp; materials AU=0.INP</v>
          </cell>
        </row>
        <row r="148">
          <cell r="A148" t="str">
            <v>- Fourn Informatique</v>
          </cell>
          <cell r="B148" t="str">
            <v>Software/hardware expenses</v>
          </cell>
        </row>
        <row r="149">
          <cell r="A149" t="str">
            <v>- Location Photopieur (Marbeuf)</v>
          </cell>
          <cell r="B149" t="str">
            <v>Stationery/art &amp; materials AU=0.INP</v>
          </cell>
        </row>
        <row r="150">
          <cell r="A150" t="str">
            <v>- Autres charges Marbeuf (IT / Capex)</v>
          </cell>
          <cell r="B150" t="str">
            <v>Other office costs AU=0.INP</v>
          </cell>
        </row>
        <row r="151">
          <cell r="A151" t="str">
            <v>- Dot Amort Immo Informatique</v>
          </cell>
          <cell r="B151" t="str">
            <v>Other office costs AU=0.INP</v>
          </cell>
        </row>
        <row r="152">
          <cell r="A152" t="str">
            <v>Sous-total other IT Costs</v>
          </cell>
        </row>
        <row r="155">
          <cell r="A155" t="str">
            <v>ICO Recharge Facilities (MPLB)</v>
          </cell>
          <cell r="B155" t="str">
            <v>vide</v>
          </cell>
        </row>
        <row r="157">
          <cell r="A157" t="str">
            <v>Total IT &amp; communication Costs</v>
          </cell>
        </row>
        <row r="160">
          <cell r="A160" t="str">
            <v>Finance &amp; General</v>
          </cell>
        </row>
        <row r="161">
          <cell r="A161" t="str">
            <v>Assurance Locaux (Marbeuf)</v>
          </cell>
          <cell r="B161" t="str">
            <v>Insurance</v>
          </cell>
        </row>
        <row r="162">
          <cell r="A162" t="str">
            <v>Assurance Groupe</v>
          </cell>
          <cell r="B162" t="str">
            <v>Insurance</v>
          </cell>
        </row>
        <row r="163">
          <cell r="A163" t="str">
            <v>Audit Fees</v>
          </cell>
          <cell r="B163" t="str">
            <v>Audit fees</v>
          </cell>
        </row>
        <row r="164">
          <cell r="A164" t="str">
            <v>AACC + Udecam</v>
          </cell>
          <cell r="B164" t="str">
            <v>Other finance &amp; general costs</v>
          </cell>
        </row>
        <row r="165">
          <cell r="A165" t="str">
            <v>Bank Charges</v>
          </cell>
          <cell r="B165" t="str">
            <v>Bank charges</v>
          </cell>
        </row>
        <row r="166">
          <cell r="A166" t="str">
            <v>Honoraires Juridiques</v>
          </cell>
          <cell r="B166" t="str">
            <v>Other finance &amp; general costs</v>
          </cell>
        </row>
        <row r="167">
          <cell r="A167" t="str">
            <v>Total Finance &amp; General</v>
          </cell>
        </row>
        <row r="169">
          <cell r="A169" t="str">
            <v>TOTAL OOP</v>
          </cell>
        </row>
        <row r="171">
          <cell r="A171" t="str">
            <v>GROUP OVERHEADS</v>
          </cell>
          <cell r="B171" t="str">
            <v>Country overhead AU=0.INP Neo</v>
          </cell>
        </row>
        <row r="173">
          <cell r="A173" t="str">
            <v>OPERATING PROFIT (OP)</v>
          </cell>
        </row>
        <row r="175">
          <cell r="A175" t="str">
            <v>Gains de change</v>
          </cell>
          <cell r="B175" t="str">
            <v>I/G exchange gains/(losses)</v>
          </cell>
        </row>
        <row r="176">
          <cell r="A176" t="str">
            <v>Interest Income</v>
          </cell>
          <cell r="B176" t="str">
            <v>I/G exchange gains/(losses)</v>
          </cell>
        </row>
        <row r="177">
          <cell r="A177" t="str">
            <v>Interest Income</v>
          </cell>
        </row>
        <row r="178">
          <cell r="A178" t="str">
            <v>Other</v>
          </cell>
        </row>
        <row r="180">
          <cell r="A180" t="str">
            <v>Other Interest Income</v>
          </cell>
          <cell r="B180" t="str">
            <v>I/G exchange gains/(losses)</v>
          </cell>
        </row>
        <row r="181">
          <cell r="A181" t="str">
            <v>Loss on FX</v>
          </cell>
          <cell r="B181" t="str">
            <v>I/G exchange gains/(losses)</v>
          </cell>
        </row>
        <row r="182">
          <cell r="A182" t="str">
            <v>Other</v>
          </cell>
        </row>
        <row r="184">
          <cell r="A184" t="str">
            <v>OP AFTER O/H AND OTHER INTERESTS</v>
          </cell>
        </row>
        <row r="186">
          <cell r="A186" t="str">
            <v>OP BEFORE O/H AND AFTER INTEREST (LORETTE)</v>
          </cell>
        </row>
        <row r="189">
          <cell r="A189" t="str">
            <v>Control Neo Section 2</v>
          </cell>
        </row>
        <row r="191">
          <cell r="A191" t="str">
            <v>A NE PAS OUBLIER A REPORTER EN CPTE CARTESIS 22968 (part IDR) 2499 Euros</v>
          </cell>
        </row>
        <row r="194">
          <cell r="A194" t="str">
            <v>- Documentation</v>
          </cell>
          <cell r="B194" t="str">
            <v>Research costs</v>
          </cell>
        </row>
        <row r="195">
          <cell r="A195" t="str">
            <v>- TEM</v>
          </cell>
          <cell r="B195" t="str">
            <v>Other commercial costs</v>
          </cell>
        </row>
        <row r="196">
          <cell r="A196" t="str">
            <v>- Receptions</v>
          </cell>
          <cell r="B196" t="str">
            <v>Allowance &amp; subsistence</v>
          </cell>
        </row>
        <row r="197">
          <cell r="A197" t="str">
            <v>- Fête agence (Œuvre Sociale) / Neo</v>
          </cell>
          <cell r="B197" t="str">
            <v>Staff Welfare</v>
          </cell>
        </row>
        <row r="198">
          <cell r="A198" t="str">
            <v>Frais actes contentieux</v>
          </cell>
          <cell r="B198" t="str">
            <v>Other finance &amp; general costs</v>
          </cell>
        </row>
        <row r="199">
          <cell r="A199" t="str">
            <v>Frais actes contentieux &amp; Amendes</v>
          </cell>
          <cell r="B199" t="str">
            <v>Other finance &amp; general costs</v>
          </cell>
        </row>
        <row r="200">
          <cell r="A200" t="str">
            <v>CICE</v>
          </cell>
          <cell r="B200" t="str">
            <v>Employers Social Taxes</v>
          </cell>
        </row>
        <row r="201">
          <cell r="A201" t="str">
            <v>Rent (Marbeuf)</v>
          </cell>
          <cell r="B201" t="str">
            <v>Inter-company facilities AU=0.INP Neo</v>
          </cell>
        </row>
        <row r="203">
          <cell r="A203" t="str">
            <v>Entretien reparation / maintenance locaux</v>
          </cell>
          <cell r="B203" t="str">
            <v>Other office costs AU=0.INP</v>
          </cell>
        </row>
        <row r="204">
          <cell r="A204" t="str">
            <v>Transport divers</v>
          </cell>
          <cell r="B204" t="str">
            <v>Other office costs AU=0.INP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mapping</v>
          </cell>
          <cell r="X1" t="str">
            <v xml:space="preserve"> </v>
          </cell>
        </row>
        <row r="4">
          <cell r="X4" t="str">
            <v>Provision NEO</v>
          </cell>
        </row>
        <row r="6">
          <cell r="A6" t="str">
            <v>Billings - Non-Media</v>
          </cell>
        </row>
        <row r="8">
          <cell r="A8">
            <v>0</v>
          </cell>
        </row>
        <row r="9">
          <cell r="A9" t="str">
            <v>Staff salaries</v>
          </cell>
          <cell r="X9">
            <v>-2.82464</v>
          </cell>
        </row>
        <row r="10">
          <cell r="A10" t="str">
            <v>Employers Social Taxes</v>
          </cell>
          <cell r="X10">
            <v>-1.271088</v>
          </cell>
        </row>
        <row r="11">
          <cell r="A11" t="str">
            <v>Staff salaries</v>
          </cell>
        </row>
        <row r="12">
          <cell r="A12" t="str">
            <v>Employers Social Taxes</v>
          </cell>
        </row>
        <row r="13">
          <cell r="A13" t="str">
            <v>Employers Social Taxes</v>
          </cell>
        </row>
        <row r="14">
          <cell r="A14"/>
        </row>
        <row r="15">
          <cell r="A15" t="str">
            <v>Staff salaries</v>
          </cell>
        </row>
        <row r="16">
          <cell r="A16" t="str">
            <v>Employers Social Taxes</v>
          </cell>
        </row>
        <row r="17">
          <cell r="A17" t="str">
            <v>Staff salaries</v>
          </cell>
        </row>
        <row r="18">
          <cell r="A18" t="str">
            <v>Employers Social Taxes</v>
          </cell>
          <cell r="X18">
            <v>0</v>
          </cell>
        </row>
        <row r="19">
          <cell r="A19" t="str">
            <v>Employers Social Taxes</v>
          </cell>
        </row>
        <row r="20">
          <cell r="A20" t="str">
            <v>Employers Social Taxes</v>
          </cell>
        </row>
        <row r="21">
          <cell r="A21">
            <v>0</v>
          </cell>
        </row>
        <row r="22">
          <cell r="A22" t="str">
            <v>Staff salaries</v>
          </cell>
        </row>
        <row r="23">
          <cell r="A23" t="str">
            <v>Employers Social Taxes</v>
          </cell>
        </row>
        <row r="24">
          <cell r="A24" t="str">
            <v xml:space="preserve">Inter-company time of staff - INTRA AU=0.INP </v>
          </cell>
          <cell r="X24">
            <v>0</v>
          </cell>
        </row>
        <row r="25">
          <cell r="A25"/>
          <cell r="X25">
            <v>0</v>
          </cell>
        </row>
        <row r="26">
          <cell r="A26" t="str">
            <v>Employers Social Taxes</v>
          </cell>
          <cell r="X26">
            <v>0</v>
          </cell>
        </row>
        <row r="27">
          <cell r="A27"/>
        </row>
        <row r="28">
          <cell r="A28" t="str">
            <v>Recruitment costs</v>
          </cell>
          <cell r="X28">
            <v>6</v>
          </cell>
        </row>
        <row r="29">
          <cell r="A29" t="str">
            <v>Consultants/freelances/temps</v>
          </cell>
        </row>
        <row r="30">
          <cell r="A30" t="str">
            <v xml:space="preserve">Inter-company time of staff - INTRA AU=0.INP </v>
          </cell>
          <cell r="X30">
            <v>-2.3000000000000007</v>
          </cell>
        </row>
        <row r="31">
          <cell r="A31" t="str">
            <v xml:space="preserve">Inter-company time of staff - INTRA AU=0.INP 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 t="str">
            <v>Other staff costs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 t="str">
            <v>Car costs/leases</v>
          </cell>
          <cell r="X37">
            <v>-0.91320000000000001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  <cell r="X41">
            <v>-0.91320000000000001</v>
          </cell>
        </row>
        <row r="42">
          <cell r="A42" t="str">
            <v>Pensions - defined benefit schemes</v>
          </cell>
        </row>
        <row r="43">
          <cell r="A43">
            <v>0</v>
          </cell>
        </row>
        <row r="44">
          <cell r="A44" t="str">
            <v>Holiday Pay</v>
          </cell>
        </row>
        <row r="45">
          <cell r="A45" t="str">
            <v>Holiday Pay</v>
          </cell>
        </row>
        <row r="46">
          <cell r="A46"/>
        </row>
        <row r="47">
          <cell r="A47">
            <v>0</v>
          </cell>
        </row>
        <row r="48">
          <cell r="A48"/>
        </row>
        <row r="49">
          <cell r="A49">
            <v>0</v>
          </cell>
          <cell r="X49">
            <v>-1.308928000000001</v>
          </cell>
        </row>
        <row r="50">
          <cell r="A50"/>
        </row>
        <row r="51">
          <cell r="A51">
            <v>0</v>
          </cell>
        </row>
        <row r="52">
          <cell r="A52" t="str">
            <v>Inter-company facilities AU=0.INP Neo</v>
          </cell>
        </row>
        <row r="53">
          <cell r="A53" t="str">
            <v>Inter-company facilities AU=0.INP Neo</v>
          </cell>
        </row>
        <row r="54">
          <cell r="A54" t="str">
            <v>Inter-company facilities AU=0.INP Neo</v>
          </cell>
        </row>
        <row r="55">
          <cell r="A55" t="str">
            <v>Other establishment costs</v>
          </cell>
        </row>
        <row r="56">
          <cell r="A56"/>
        </row>
        <row r="57">
          <cell r="A57" t="str">
            <v>Inter-company facilities AU=0.INP Neo</v>
          </cell>
        </row>
        <row r="58">
          <cell r="A58"/>
        </row>
        <row r="59">
          <cell r="A59"/>
        </row>
        <row r="60">
          <cell r="A60">
            <v>0</v>
          </cell>
        </row>
        <row r="61">
          <cell r="A61">
            <v>0</v>
          </cell>
        </row>
        <row r="62">
          <cell r="A62" t="str">
            <v>Staff training course fees</v>
          </cell>
          <cell r="X62">
            <v>-2.9300000000000104E-2</v>
          </cell>
        </row>
        <row r="63">
          <cell r="A63" t="str">
            <v>Staff Welfare</v>
          </cell>
        </row>
        <row r="64">
          <cell r="A64" t="str">
            <v>Staff Welfare</v>
          </cell>
        </row>
        <row r="65">
          <cell r="A65" t="str">
            <v>Staff Welfare</v>
          </cell>
        </row>
        <row r="66">
          <cell r="A66" t="str">
            <v>Staff Welfare</v>
          </cell>
        </row>
        <row r="67">
          <cell r="A67" t="str">
            <v>Staff Welfare</v>
          </cell>
        </row>
        <row r="68">
          <cell r="A68" t="str">
            <v>Staff Welfare</v>
          </cell>
        </row>
        <row r="69">
          <cell r="A69" t="str">
            <v>Staff Welfare</v>
          </cell>
        </row>
        <row r="70">
          <cell r="A70" t="str">
            <v>Staff Welfare</v>
          </cell>
        </row>
        <row r="71">
          <cell r="A71"/>
        </row>
        <row r="72">
          <cell r="A72">
            <v>0</v>
          </cell>
          <cell r="X72">
            <v>-2.9300000000000104E-2</v>
          </cell>
        </row>
        <row r="73">
          <cell r="A73"/>
        </row>
        <row r="74">
          <cell r="A74">
            <v>0</v>
          </cell>
        </row>
        <row r="75">
          <cell r="A75" t="str">
            <v>Travel</v>
          </cell>
          <cell r="X75">
            <v>-1</v>
          </cell>
        </row>
        <row r="76">
          <cell r="A76"/>
        </row>
        <row r="77">
          <cell r="A77" t="str">
            <v>Allowance &amp; subsistence</v>
          </cell>
        </row>
        <row r="78">
          <cell r="A78"/>
          <cell r="X78">
            <v>-1</v>
          </cell>
        </row>
        <row r="79">
          <cell r="A79"/>
          <cell r="X79">
            <v>-2</v>
          </cell>
        </row>
        <row r="80">
          <cell r="A80"/>
        </row>
        <row r="81">
          <cell r="A81">
            <v>0</v>
          </cell>
          <cell r="X81">
            <v>-2.0293000000000001</v>
          </cell>
        </row>
        <row r="82">
          <cell r="A82"/>
        </row>
        <row r="83">
          <cell r="A83">
            <v>0</v>
          </cell>
        </row>
        <row r="84">
          <cell r="A84">
            <v>0</v>
          </cell>
        </row>
        <row r="85">
          <cell r="A85" t="str">
            <v>New business/client presentation costs</v>
          </cell>
        </row>
        <row r="86">
          <cell r="A86" t="str">
            <v>New business/client presentation costs</v>
          </cell>
        </row>
        <row r="87">
          <cell r="A87" t="str">
            <v>New business/client presentation costs</v>
          </cell>
        </row>
        <row r="88">
          <cell r="A88">
            <v>0</v>
          </cell>
        </row>
        <row r="89">
          <cell r="A89"/>
        </row>
        <row r="90">
          <cell r="A90">
            <v>0</v>
          </cell>
        </row>
        <row r="91">
          <cell r="A91" t="str">
            <v>Advert/promotion</v>
          </cell>
          <cell r="X91">
            <v>0</v>
          </cell>
        </row>
        <row r="92">
          <cell r="A92" t="str">
            <v>Advert/promotion</v>
          </cell>
          <cell r="X92">
            <v>0</v>
          </cell>
        </row>
        <row r="93">
          <cell r="A93">
            <v>0</v>
          </cell>
          <cell r="X93">
            <v>0</v>
          </cell>
        </row>
        <row r="94">
          <cell r="A94"/>
        </row>
        <row r="95">
          <cell r="A95">
            <v>0</v>
          </cell>
        </row>
        <row r="96">
          <cell r="A96" t="str">
            <v>Research costs</v>
          </cell>
          <cell r="X96">
            <v>-29.230643333333337</v>
          </cell>
        </row>
        <row r="97">
          <cell r="A97" t="str">
            <v>Other commercial costs</v>
          </cell>
        </row>
        <row r="98">
          <cell r="A98">
            <v>0</v>
          </cell>
          <cell r="X98">
            <v>-29.230643333333337</v>
          </cell>
        </row>
        <row r="99">
          <cell r="A99"/>
        </row>
        <row r="100">
          <cell r="A100">
            <v>0</v>
          </cell>
        </row>
        <row r="101">
          <cell r="A101"/>
        </row>
        <row r="102">
          <cell r="A102">
            <v>0</v>
          </cell>
          <cell r="X102">
            <v>-29.230643333333337</v>
          </cell>
        </row>
        <row r="103">
          <cell r="A103"/>
        </row>
        <row r="104">
          <cell r="A104">
            <v>0</v>
          </cell>
        </row>
        <row r="105">
          <cell r="A105"/>
        </row>
        <row r="106">
          <cell r="A106">
            <v>0</v>
          </cell>
        </row>
        <row r="107">
          <cell r="A107" t="str">
            <v>Stationery/art &amp; materials AU=0.INP</v>
          </cell>
          <cell r="X107">
            <v>0</v>
          </cell>
        </row>
        <row r="108">
          <cell r="A108" t="str">
            <v>Stationery/art &amp; materials AU=0.INP</v>
          </cell>
        </row>
        <row r="109">
          <cell r="A109" t="str">
            <v>Stationery/art &amp; materials AU=0.INP</v>
          </cell>
        </row>
        <row r="110">
          <cell r="A110">
            <v>0</v>
          </cell>
          <cell r="X110">
            <v>0</v>
          </cell>
        </row>
        <row r="111">
          <cell r="A111"/>
        </row>
        <row r="112">
          <cell r="A112">
            <v>0</v>
          </cell>
        </row>
        <row r="113">
          <cell r="A113" t="str">
            <v>Postage &amp; courier</v>
          </cell>
          <cell r="X113">
            <v>0</v>
          </cell>
        </row>
        <row r="114">
          <cell r="A114" t="str">
            <v>Postage &amp; courier</v>
          </cell>
        </row>
        <row r="115">
          <cell r="A115">
            <v>0</v>
          </cell>
          <cell r="X115">
            <v>0</v>
          </cell>
        </row>
        <row r="116">
          <cell r="A116"/>
        </row>
        <row r="117">
          <cell r="A117"/>
        </row>
        <row r="118">
          <cell r="A118" t="str">
            <v>Other office costs AU=0.INP</v>
          </cell>
        </row>
        <row r="119">
          <cell r="A119" t="str">
            <v>Other office costs AU=0.INP</v>
          </cell>
        </row>
        <row r="120">
          <cell r="A120"/>
          <cell r="X120">
            <v>0</v>
          </cell>
        </row>
        <row r="121">
          <cell r="A121"/>
        </row>
        <row r="122">
          <cell r="A122">
            <v>0</v>
          </cell>
        </row>
        <row r="123">
          <cell r="A123" t="str">
            <v>Other office costs AU=0.INP</v>
          </cell>
        </row>
        <row r="124">
          <cell r="A124" t="str">
            <v>Other office costs AU=0.INP</v>
          </cell>
        </row>
        <row r="125">
          <cell r="A125" t="str">
            <v>Other office costs AU=0.INP</v>
          </cell>
        </row>
        <row r="126">
          <cell r="A126" t="str">
            <v>Other office costs AU=0.INP</v>
          </cell>
        </row>
        <row r="127">
          <cell r="A127" t="str">
            <v>Other office costs AU=0.INP</v>
          </cell>
        </row>
        <row r="128">
          <cell r="A128" t="str">
            <v>Other office costs AU=0.INP</v>
          </cell>
        </row>
        <row r="129">
          <cell r="A129" t="str">
            <v>Other office costs AU=0.INP</v>
          </cell>
        </row>
        <row r="130">
          <cell r="A130" t="str">
            <v>Other office costs AU=0.INP</v>
          </cell>
        </row>
        <row r="131">
          <cell r="A131" t="str">
            <v>Other office costs AU=0.INP</v>
          </cell>
        </row>
        <row r="132">
          <cell r="A132" t="str">
            <v>Staff Welfare</v>
          </cell>
        </row>
        <row r="133">
          <cell r="A133">
            <v>0</v>
          </cell>
          <cell r="X133">
            <v>0</v>
          </cell>
        </row>
        <row r="134">
          <cell r="A134"/>
        </row>
        <row r="135">
          <cell r="A135">
            <v>0</v>
          </cell>
          <cell r="X135">
            <v>0</v>
          </cell>
        </row>
        <row r="136">
          <cell r="A136"/>
        </row>
        <row r="137">
          <cell r="A137" t="str">
            <v>Voice/fax communication costs</v>
          </cell>
          <cell r="X137">
            <v>-1.9</v>
          </cell>
        </row>
        <row r="138">
          <cell r="A138" t="str">
            <v>Voice/fax communication costs</v>
          </cell>
        </row>
        <row r="139">
          <cell r="A139"/>
        </row>
        <row r="140">
          <cell r="A140" t="str">
            <v>Data communication costs AU=0ADJ16</v>
          </cell>
        </row>
        <row r="141">
          <cell r="A141" t="str">
            <v>Data communication costs AU=0ADJ16</v>
          </cell>
        </row>
        <row r="142">
          <cell r="A142"/>
        </row>
        <row r="143">
          <cell r="A143">
            <v>0</v>
          </cell>
        </row>
        <row r="144">
          <cell r="A144" t="str">
            <v>Outsourced business systems AU=0ADJ16</v>
          </cell>
        </row>
        <row r="145">
          <cell r="A145" t="str">
            <v>Outsourced business systems AU=0ADJ16</v>
          </cell>
        </row>
        <row r="146">
          <cell r="A146" t="str">
            <v>Outsourced business systems AU=0ADJ16</v>
          </cell>
        </row>
        <row r="147">
          <cell r="A147" t="str">
            <v>Computer equipment maintenance/service AU=0ADJ16</v>
          </cell>
        </row>
        <row r="148">
          <cell r="A148" t="str">
            <v>Outsourced business systems AU=0ADJ16</v>
          </cell>
        </row>
        <row r="149">
          <cell r="A149" t="str">
            <v>Outsourced business systems AU=0ADJ16</v>
          </cell>
        </row>
        <row r="150">
          <cell r="A150" t="str">
            <v>Outsourced business systems AU=0ADJ16</v>
          </cell>
        </row>
        <row r="151">
          <cell r="A151" t="str">
            <v>Outsourced business systems AU=0ADJ16</v>
          </cell>
        </row>
        <row r="152">
          <cell r="A152" t="str">
            <v>Outsourced business systems AU=0ADJ16</v>
          </cell>
        </row>
        <row r="153">
          <cell r="A153" t="str">
            <v>WPP Business Services/IBM cost allocation</v>
          </cell>
          <cell r="X153">
            <v>-3.8330000000000002</v>
          </cell>
        </row>
        <row r="154">
          <cell r="A154">
            <v>0</v>
          </cell>
          <cell r="X154">
            <v>-3.8330000000000002</v>
          </cell>
        </row>
        <row r="155">
          <cell r="A155"/>
        </row>
        <row r="156">
          <cell r="A156" t="str">
            <v>Stationery/art &amp; materials AU=0.INP</v>
          </cell>
        </row>
        <row r="157">
          <cell r="A157" t="str">
            <v>Software/hardware expenses</v>
          </cell>
        </row>
        <row r="158">
          <cell r="A158" t="str">
            <v>Stationery/art &amp; materials AU=0.INP</v>
          </cell>
        </row>
        <row r="159">
          <cell r="A159" t="str">
            <v>Other office costs AU=0.INP</v>
          </cell>
        </row>
        <row r="160">
          <cell r="A160" t="str">
            <v>Other office costs AU=0.INP</v>
          </cell>
        </row>
        <row r="161">
          <cell r="A161">
            <v>0</v>
          </cell>
          <cell r="X161">
            <v>0</v>
          </cell>
        </row>
        <row r="162">
          <cell r="A162"/>
        </row>
        <row r="163">
          <cell r="A163"/>
        </row>
        <row r="164">
          <cell r="A164" t="str">
            <v>vide</v>
          </cell>
        </row>
        <row r="165">
          <cell r="A165"/>
        </row>
        <row r="166">
          <cell r="A166">
            <v>0</v>
          </cell>
          <cell r="X166">
            <v>-5.7330000000000005</v>
          </cell>
        </row>
        <row r="167">
          <cell r="A167"/>
        </row>
        <row r="168">
          <cell r="A168"/>
        </row>
        <row r="169">
          <cell r="A169">
            <v>0</v>
          </cell>
        </row>
        <row r="170">
          <cell r="A170" t="str">
            <v>Insurance</v>
          </cell>
        </row>
        <row r="171">
          <cell r="A171" t="str">
            <v>Insurance</v>
          </cell>
        </row>
        <row r="172">
          <cell r="A172" t="str">
            <v>Audit fees</v>
          </cell>
        </row>
        <row r="173">
          <cell r="A173" t="str">
            <v>Other finance &amp; general costs</v>
          </cell>
        </row>
        <row r="174">
          <cell r="A174" t="str">
            <v>Bank charges</v>
          </cell>
        </row>
        <row r="175">
          <cell r="A175" t="str">
            <v>Other finance &amp; general costs</v>
          </cell>
        </row>
        <row r="176">
          <cell r="A176" t="str">
            <v>Other finance &amp; general costs</v>
          </cell>
        </row>
        <row r="177">
          <cell r="A177" t="str">
            <v>I/G exchange gains/(losses)</v>
          </cell>
        </row>
        <row r="178">
          <cell r="A178">
            <v>0</v>
          </cell>
        </row>
        <row r="179">
          <cell r="A179">
            <v>0</v>
          </cell>
          <cell r="X179">
            <v>0</v>
          </cell>
        </row>
        <row r="180">
          <cell r="A180"/>
        </row>
        <row r="181">
          <cell r="A181">
            <v>0</v>
          </cell>
          <cell r="X181">
            <v>-36.992943333333336</v>
          </cell>
        </row>
        <row r="182">
          <cell r="A182"/>
        </row>
        <row r="183">
          <cell r="A183" t="str">
            <v>Country overhead AU=0.INP Neo</v>
          </cell>
          <cell r="X183">
            <v>0</v>
          </cell>
        </row>
        <row r="184">
          <cell r="A184"/>
        </row>
        <row r="185">
          <cell r="A185">
            <v>0</v>
          </cell>
          <cell r="X185">
            <v>-38.301871333333338</v>
          </cell>
        </row>
        <row r="186">
          <cell r="A186"/>
          <cell r="X186" t="e">
            <v>#DIV/0!</v>
          </cell>
        </row>
        <row r="187">
          <cell r="A187"/>
        </row>
        <row r="188">
          <cell r="A188" t="str">
            <v>I/G exchange gains/(losses)</v>
          </cell>
          <cell r="X188">
            <v>0</v>
          </cell>
        </row>
        <row r="189">
          <cell r="A189" t="str">
            <v>I/G exchange gains/(losses)</v>
          </cell>
        </row>
        <row r="190">
          <cell r="A190">
            <v>0</v>
          </cell>
        </row>
        <row r="191">
          <cell r="A191"/>
        </row>
        <row r="192">
          <cell r="A192" t="str">
            <v>I/G exchange gains/(losses)</v>
          </cell>
          <cell r="X192">
            <v>0</v>
          </cell>
        </row>
        <row r="193">
          <cell r="A193" t="str">
            <v>I/G exchange gains/(losses)</v>
          </cell>
        </row>
        <row r="194">
          <cell r="A194">
            <v>0</v>
          </cell>
        </row>
        <row r="195">
          <cell r="A195"/>
        </row>
        <row r="196">
          <cell r="A196">
            <v>0</v>
          </cell>
          <cell r="X196">
            <v>-26.774865833333333</v>
          </cell>
        </row>
        <row r="197">
          <cell r="A197"/>
        </row>
        <row r="198">
          <cell r="A198">
            <v>0</v>
          </cell>
          <cell r="X198">
            <v>-26.774865833333333</v>
          </cell>
        </row>
        <row r="199">
          <cell r="A199"/>
        </row>
        <row r="200">
          <cell r="A200"/>
        </row>
        <row r="201">
          <cell r="A201">
            <v>0</v>
          </cell>
        </row>
        <row r="202">
          <cell r="A202"/>
        </row>
        <row r="203">
          <cell r="A203">
            <v>0</v>
          </cell>
        </row>
        <row r="204">
          <cell r="A204"/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P&amp;L ACCOUNT - Nov 2017</v>
          </cell>
          <cell r="O1">
            <v>0</v>
          </cell>
          <cell r="P1">
            <v>0</v>
          </cell>
          <cell r="Q1">
            <v>-25.248501243243286</v>
          </cell>
          <cell r="X1" t="str">
            <v xml:space="preserve"> </v>
          </cell>
          <cell r="Y1" t="str">
            <v xml:space="preserve"> </v>
          </cell>
          <cell r="Z1" t="str">
            <v xml:space="preserve"> </v>
          </cell>
          <cell r="AA1" t="str">
            <v xml:space="preserve"> </v>
          </cell>
          <cell r="AB1" t="str">
            <v xml:space="preserve"> </v>
          </cell>
        </row>
        <row r="2">
          <cell r="I2" t="str">
            <v xml:space="preserve"> </v>
          </cell>
          <cell r="V2" t="str">
            <v xml:space="preserve"> </v>
          </cell>
          <cell r="Y2" t="str">
            <v xml:space="preserve"> </v>
          </cell>
          <cell r="Z2" t="str">
            <v xml:space="preserve"> </v>
          </cell>
        </row>
        <row r="4">
          <cell r="B4" t="str">
            <v>Compte</v>
          </cell>
          <cell r="D4" t="str">
            <v>Q3RF</v>
          </cell>
          <cell r="F4" t="str">
            <v>Jan</v>
          </cell>
          <cell r="G4" t="str">
            <v>Feb</v>
          </cell>
          <cell r="H4" t="str">
            <v>March</v>
          </cell>
          <cell r="I4" t="str">
            <v>Apr</v>
          </cell>
          <cell r="J4" t="str">
            <v>May</v>
          </cell>
          <cell r="K4" t="str">
            <v>June</v>
          </cell>
          <cell r="L4" t="str">
            <v>July</v>
          </cell>
          <cell r="M4" t="str">
            <v>Aug</v>
          </cell>
          <cell r="N4" t="str">
            <v>Sept</v>
          </cell>
          <cell r="O4" t="str">
            <v>Oct</v>
          </cell>
          <cell r="P4" t="str">
            <v>Nov</v>
          </cell>
          <cell r="Q4" t="str">
            <v>Dec</v>
          </cell>
          <cell r="R4" t="str">
            <v xml:space="preserve"> </v>
          </cell>
          <cell r="T4" t="str">
            <v>NEO SECTION 2</v>
          </cell>
          <cell r="U4" t="str">
            <v>Redpulse</v>
          </cell>
          <cell r="V4" t="str">
            <v>Oone</v>
          </cell>
          <cell r="W4" t="str">
            <v>MPLB</v>
          </cell>
          <cell r="X4" t="str">
            <v>Provision NEO</v>
          </cell>
          <cell r="Y4" t="str">
            <v>TOTAL (hors RW &amp; SL)</v>
          </cell>
          <cell r="Z4" t="str">
            <v>FAE Mindshare (O/H)</v>
          </cell>
          <cell r="AA4" t="str">
            <v>MPLB (O&amp;M)</v>
          </cell>
          <cell r="AB4" t="str">
            <v>Core tech (MPLB)</v>
          </cell>
          <cell r="AC4" t="str">
            <v>FAE Mindshare (Coût / tête)</v>
          </cell>
          <cell r="AD4" t="str">
            <v>GRAND TOTAL</v>
          </cell>
        </row>
        <row r="6">
          <cell r="A6" t="str">
            <v>REVENUES</v>
          </cell>
          <cell r="D6">
            <v>5113.0738033333328</v>
          </cell>
          <cell r="F6">
            <v>391.53309999999999</v>
          </cell>
          <cell r="G6">
            <v>512.11036999999988</v>
          </cell>
          <cell r="H6">
            <v>438.79311000000007</v>
          </cell>
          <cell r="I6">
            <v>527.78241666666622</v>
          </cell>
          <cell r="J6">
            <v>346.28609666666642</v>
          </cell>
          <cell r="K6">
            <v>355.92450000000002</v>
          </cell>
          <cell r="L6">
            <v>321.53899999999999</v>
          </cell>
          <cell r="M6">
            <v>333.67898300000002</v>
          </cell>
          <cell r="N6">
            <v>390.65029000000004</v>
          </cell>
          <cell r="O6">
            <v>400.55243627777782</v>
          </cell>
          <cell r="P6">
            <v>461.30243627777782</v>
          </cell>
          <cell r="Q6">
            <v>632.92106444444448</v>
          </cell>
          <cell r="T6">
            <v>4477.7997863333303</v>
          </cell>
          <cell r="Y6">
            <v>4477.7997863333303</v>
          </cell>
          <cell r="AD6">
            <v>4477.7997863333303</v>
          </cell>
        </row>
        <row r="8">
          <cell r="A8" t="str">
            <v>Staff Costs</v>
          </cell>
        </row>
        <row r="9">
          <cell r="A9" t="str">
            <v xml:space="preserve">Salaires Bruts </v>
          </cell>
          <cell r="B9">
            <v>752008</v>
          </cell>
          <cell r="D9">
            <v>-2353.7778335666667</v>
          </cell>
          <cell r="F9">
            <v>-191.87944168888887</v>
          </cell>
          <cell r="G9">
            <v>-195.48467502222212</v>
          </cell>
          <cell r="H9">
            <v>-217.64498835555565</v>
          </cell>
          <cell r="I9">
            <v>-175.42192085555556</v>
          </cell>
          <cell r="J9">
            <v>-174.9984924111111</v>
          </cell>
          <cell r="K9">
            <v>-209.03556999999989</v>
          </cell>
          <cell r="L9">
            <v>-186.61952999999997</v>
          </cell>
          <cell r="M9">
            <v>-179.37318500000003</v>
          </cell>
          <cell r="N9">
            <v>-185.41946999999999</v>
          </cell>
          <cell r="O9">
            <v>-191.11975666666666</v>
          </cell>
          <cell r="P9">
            <v>-191.11975666666666</v>
          </cell>
          <cell r="Q9">
            <v>-255.66104690000003</v>
          </cell>
          <cell r="T9">
            <v>-2131.4322400000001</v>
          </cell>
          <cell r="V9">
            <v>5.6742699999999999</v>
          </cell>
          <cell r="X9">
            <v>-1.88</v>
          </cell>
          <cell r="Y9">
            <v>-2127.6379700000002</v>
          </cell>
          <cell r="AA9">
            <v>15</v>
          </cell>
          <cell r="AD9">
            <v>-2112.6379700000002</v>
          </cell>
        </row>
        <row r="10">
          <cell r="A10" t="str">
            <v>CS Salaires Bruts</v>
          </cell>
          <cell r="B10">
            <v>752009</v>
          </cell>
          <cell r="D10">
            <v>-1006.1193763003336</v>
          </cell>
          <cell r="F10">
            <v>-81.027500000000003</v>
          </cell>
          <cell r="G10">
            <v>-83.429815500000004</v>
          </cell>
          <cell r="H10">
            <v>-95.359270000000009</v>
          </cell>
          <cell r="I10">
            <v>-74.626519999999999</v>
          </cell>
          <cell r="J10">
            <v>-74.094889999999992</v>
          </cell>
          <cell r="K10">
            <v>-89.032004500000014</v>
          </cell>
          <cell r="L10">
            <v>-78.422200000000004</v>
          </cell>
          <cell r="M10">
            <v>-77.036150000000092</v>
          </cell>
          <cell r="N10">
            <v>-78.354520000000008</v>
          </cell>
          <cell r="O10">
            <v>-82.327917166666666</v>
          </cell>
          <cell r="P10">
            <v>-82.327917166666666</v>
          </cell>
          <cell r="Q10">
            <v>-110.08067196700001</v>
          </cell>
          <cell r="T10">
            <v>-911.16714000000002</v>
          </cell>
          <cell r="V10">
            <v>2.9078200000000001</v>
          </cell>
          <cell r="X10">
            <v>-0.84599999999999997</v>
          </cell>
          <cell r="Y10">
            <v>-909.10532000000001</v>
          </cell>
          <cell r="AA10">
            <v>7.2</v>
          </cell>
          <cell r="AD10">
            <v>-901.90531999999996</v>
          </cell>
        </row>
        <row r="11">
          <cell r="A11" t="str">
            <v>Salaires Bruts (M Ferragut)</v>
          </cell>
          <cell r="B11">
            <v>752008</v>
          </cell>
          <cell r="D11">
            <v>0</v>
          </cell>
          <cell r="V11">
            <v>28.524194999999999</v>
          </cell>
          <cell r="Y11">
            <v>28.524194999999999</v>
          </cell>
          <cell r="AD11">
            <v>28.524194999999999</v>
          </cell>
        </row>
        <row r="12">
          <cell r="A12" t="str">
            <v>CS Salaires Bruts (M Ferragut)</v>
          </cell>
          <cell r="B12">
            <v>752009</v>
          </cell>
          <cell r="D12">
            <v>0</v>
          </cell>
          <cell r="V12">
            <v>12.835887749999999</v>
          </cell>
          <cell r="Y12">
            <v>12.835887749999999</v>
          </cell>
          <cell r="AD12">
            <v>12.835887749999999</v>
          </cell>
        </row>
        <row r="13">
          <cell r="A13" t="str">
            <v>CICE</v>
          </cell>
          <cell r="B13" t="str">
            <v>649000 (CS)</v>
          </cell>
          <cell r="D13">
            <v>0</v>
          </cell>
          <cell r="R13" t="str">
            <v xml:space="preserve"> </v>
          </cell>
          <cell r="X13">
            <v>0</v>
          </cell>
          <cell r="Y13">
            <v>0</v>
          </cell>
          <cell r="AD13">
            <v>0</v>
          </cell>
        </row>
        <row r="14">
          <cell r="A14" t="str">
            <v>CS Participation</v>
          </cell>
          <cell r="D14">
            <v>0</v>
          </cell>
          <cell r="Y14">
            <v>0</v>
          </cell>
          <cell r="AD14">
            <v>0</v>
          </cell>
        </row>
        <row r="15">
          <cell r="A15" t="str">
            <v>Primes</v>
          </cell>
          <cell r="B15">
            <v>641310</v>
          </cell>
          <cell r="D15">
            <v>0</v>
          </cell>
          <cell r="V15">
            <v>6.2080000000000002</v>
          </cell>
          <cell r="Y15">
            <v>6.2080000000000002</v>
          </cell>
          <cell r="AD15">
            <v>6.2080000000000002</v>
          </cell>
        </row>
        <row r="16">
          <cell r="A16" t="str">
            <v xml:space="preserve">S/C Primes </v>
          </cell>
          <cell r="B16">
            <v>645006</v>
          </cell>
          <cell r="D16">
            <v>0</v>
          </cell>
          <cell r="R16" t="str">
            <v xml:space="preserve"> </v>
          </cell>
          <cell r="V16">
            <v>2.9798399999999998</v>
          </cell>
          <cell r="Y16">
            <v>2.9798399999999998</v>
          </cell>
          <cell r="AD16">
            <v>2.9798399999999998</v>
          </cell>
        </row>
        <row r="17">
          <cell r="A17" t="str">
            <v>Prime de précarité</v>
          </cell>
          <cell r="B17" t="str">
            <v>641002 (à inclure ds salaires)</v>
          </cell>
          <cell r="V17">
            <v>1.762</v>
          </cell>
          <cell r="Y17">
            <v>1.762</v>
          </cell>
          <cell r="AD17">
            <v>1.762</v>
          </cell>
        </row>
        <row r="18">
          <cell r="A18" t="str">
            <v>S/C Primes Précarité</v>
          </cell>
          <cell r="B18">
            <v>645003</v>
          </cell>
          <cell r="D18">
            <v>0</v>
          </cell>
          <cell r="T18">
            <v>0.79290000000000005</v>
          </cell>
          <cell r="X18">
            <v>0</v>
          </cell>
          <cell r="Y18">
            <v>0.79290000000000005</v>
          </cell>
          <cell r="AD18">
            <v>0.79290000000000005</v>
          </cell>
        </row>
        <row r="19">
          <cell r="A19" t="str">
            <v>CS Holiday Pay Neo</v>
          </cell>
          <cell r="B19">
            <v>645500</v>
          </cell>
          <cell r="D19">
            <v>-0.56938779675678397</v>
          </cell>
          <cell r="F19">
            <v>0</v>
          </cell>
          <cell r="G19">
            <v>0</v>
          </cell>
          <cell r="H19">
            <v>13.917999999999999</v>
          </cell>
          <cell r="I19">
            <v>0</v>
          </cell>
          <cell r="J19">
            <v>0</v>
          </cell>
          <cell r="K19">
            <v>-16.018000000000001</v>
          </cell>
          <cell r="L19">
            <v>0</v>
          </cell>
          <cell r="M19">
            <v>0</v>
          </cell>
          <cell r="N19">
            <v>14.63</v>
          </cell>
          <cell r="O19">
            <v>0</v>
          </cell>
          <cell r="P19">
            <v>0</v>
          </cell>
          <cell r="Q19">
            <v>-13.099387796756783</v>
          </cell>
          <cell r="R19" t="str">
            <v xml:space="preserve"> </v>
          </cell>
          <cell r="T19">
            <v>12.446999999999999</v>
          </cell>
          <cell r="Y19">
            <v>12.446999999999999</v>
          </cell>
          <cell r="AD19">
            <v>12.446999999999999</v>
          </cell>
        </row>
        <row r="20">
          <cell r="A20" t="str">
            <v>CS Holiday Pay O&amp;M Refac</v>
          </cell>
          <cell r="B20">
            <v>645500</v>
          </cell>
          <cell r="D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T20">
            <v>8.2999999999999963E-2</v>
          </cell>
          <cell r="Y20">
            <v>8.2999999999999963E-2</v>
          </cell>
          <cell r="AD20">
            <v>8.2999999999999963E-2</v>
          </cell>
        </row>
        <row r="21">
          <cell r="A21" t="str">
            <v>CS Other Staff Costs (Admire)</v>
          </cell>
          <cell r="B21">
            <v>645003</v>
          </cell>
          <cell r="D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 t="str">
            <v>ITOS</v>
          </cell>
          <cell r="Y21">
            <v>0</v>
          </cell>
          <cell r="AD21">
            <v>0</v>
          </cell>
        </row>
        <row r="22">
          <cell r="A22" t="str">
            <v>Indemnités</v>
          </cell>
          <cell r="B22">
            <v>641420</v>
          </cell>
          <cell r="D22">
            <v>-8.75</v>
          </cell>
          <cell r="F22">
            <v>0</v>
          </cell>
          <cell r="G22">
            <v>0</v>
          </cell>
          <cell r="H22">
            <v>-8.75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 t="str">
            <v>Pas inclut dans sal brut</v>
          </cell>
          <cell r="T22">
            <v>-22</v>
          </cell>
          <cell r="X22">
            <v>9.9375</v>
          </cell>
          <cell r="Y22">
            <v>-12.0625</v>
          </cell>
          <cell r="AD22">
            <v>-12.0625</v>
          </cell>
        </row>
        <row r="23">
          <cell r="A23" t="str">
            <v>CS Indemnités</v>
          </cell>
          <cell r="B23">
            <v>641420</v>
          </cell>
          <cell r="D23">
            <v>0</v>
          </cell>
          <cell r="R23" t="str">
            <v xml:space="preserve"> </v>
          </cell>
          <cell r="Y23">
            <v>0</v>
          </cell>
          <cell r="AD23">
            <v>0</v>
          </cell>
        </row>
        <row r="24">
          <cell r="A24" t="str">
            <v>ICO (Shona)</v>
          </cell>
          <cell r="B24">
            <v>613218</v>
          </cell>
          <cell r="D24">
            <v>-84.442000000000007</v>
          </cell>
          <cell r="F24">
            <v>-5.4539999999999997</v>
          </cell>
          <cell r="G24">
            <v>-5.4539999999999997</v>
          </cell>
          <cell r="H24">
            <v>-5.4539999999999997</v>
          </cell>
          <cell r="I24">
            <v>-9.3209999999999997</v>
          </cell>
          <cell r="J24">
            <v>-6.4207500000000008</v>
          </cell>
          <cell r="K24">
            <v>-12.834250000000001</v>
          </cell>
          <cell r="L24">
            <v>-6.583999999999997</v>
          </cell>
          <cell r="M24">
            <v>-6.583999999999997</v>
          </cell>
          <cell r="N24">
            <v>-6.583999999999997</v>
          </cell>
          <cell r="O24">
            <v>-6.583999999999997</v>
          </cell>
          <cell r="P24">
            <v>-6.583999999999997</v>
          </cell>
          <cell r="Q24">
            <v>-6.583999999999997</v>
          </cell>
          <cell r="R24" t="str">
            <v xml:space="preserve"> </v>
          </cell>
          <cell r="T24">
            <v>-64.895999999999987</v>
          </cell>
          <cell r="Y24">
            <v>-64.895999999999987</v>
          </cell>
          <cell r="AD24">
            <v>-64.895999999999987</v>
          </cell>
        </row>
        <row r="25">
          <cell r="A25" t="str">
            <v>ICO (Violaine)</v>
          </cell>
          <cell r="B25">
            <v>613218</v>
          </cell>
          <cell r="D25">
            <v>0</v>
          </cell>
          <cell r="J25">
            <v>0</v>
          </cell>
          <cell r="T25">
            <v>-12.635200000000001</v>
          </cell>
          <cell r="X25">
            <v>0</v>
          </cell>
          <cell r="Y25">
            <v>-12.635200000000001</v>
          </cell>
          <cell r="AD25">
            <v>-12.635200000000001</v>
          </cell>
        </row>
        <row r="26">
          <cell r="A26" t="str">
            <v>S/C ITOS (Shona)</v>
          </cell>
          <cell r="B26">
            <v>613219</v>
          </cell>
          <cell r="D26">
            <v>-44.908000000000015</v>
          </cell>
          <cell r="F26">
            <v>-2.9129999999999998</v>
          </cell>
          <cell r="G26">
            <v>-2.9039999999999999</v>
          </cell>
          <cell r="H26">
            <v>-2.9039999999999999</v>
          </cell>
          <cell r="I26">
            <v>-4.8559999999999999</v>
          </cell>
          <cell r="J26">
            <v>-3.8249999999999997</v>
          </cell>
          <cell r="K26">
            <v>-6.6669999999999998</v>
          </cell>
          <cell r="L26">
            <v>-3.4860000000000007</v>
          </cell>
          <cell r="M26">
            <v>-3.4089999999999998</v>
          </cell>
          <cell r="N26">
            <v>-3.4860000000000002</v>
          </cell>
          <cell r="O26">
            <v>-3.4860000000000007</v>
          </cell>
          <cell r="P26">
            <v>-3.4860000000000007</v>
          </cell>
          <cell r="Q26">
            <v>-3.4860000000000007</v>
          </cell>
          <cell r="R26" t="str">
            <v xml:space="preserve"> </v>
          </cell>
          <cell r="T26">
            <v>-35.147000000000006</v>
          </cell>
          <cell r="Y26">
            <v>-35.147000000000006</v>
          </cell>
          <cell r="AD26">
            <v>-35.147000000000006</v>
          </cell>
        </row>
        <row r="27">
          <cell r="A27" t="str">
            <v>S/C ITOS (Violaine)</v>
          </cell>
          <cell r="B27">
            <v>613219</v>
          </cell>
          <cell r="D27">
            <v>0</v>
          </cell>
          <cell r="J27">
            <v>0</v>
          </cell>
          <cell r="R27" t="str">
            <v xml:space="preserve"> </v>
          </cell>
          <cell r="T27">
            <v>-6.3741999999999992</v>
          </cell>
          <cell r="X27">
            <v>0</v>
          </cell>
          <cell r="Y27">
            <v>-6.3741999999999992</v>
          </cell>
          <cell r="AD27">
            <v>-6.3741999999999992</v>
          </cell>
        </row>
        <row r="28">
          <cell r="A28" t="str">
            <v>Recrutement</v>
          </cell>
          <cell r="B28" t="str">
            <v>648222 + 752210</v>
          </cell>
          <cell r="D28">
            <v>0</v>
          </cell>
          <cell r="T28">
            <v>0</v>
          </cell>
          <cell r="Y28">
            <v>0</v>
          </cell>
          <cell r="AD28">
            <v>0</v>
          </cell>
        </row>
        <row r="29">
          <cell r="A29" t="str">
            <v>Freelance</v>
          </cell>
          <cell r="B29">
            <v>648212</v>
          </cell>
          <cell r="F29">
            <v>0</v>
          </cell>
          <cell r="G29">
            <v>0</v>
          </cell>
          <cell r="H29">
            <v>0.74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T29">
            <v>0.74</v>
          </cell>
          <cell r="Y29">
            <v>0.74</v>
          </cell>
        </row>
        <row r="30">
          <cell r="A30" t="str">
            <v>ICO (Londres)</v>
          </cell>
          <cell r="B30">
            <v>613209</v>
          </cell>
          <cell r="D30">
            <v>-33.426369999999999</v>
          </cell>
          <cell r="F30">
            <v>-4.4800000000000004</v>
          </cell>
          <cell r="G30">
            <v>-3.9775</v>
          </cell>
          <cell r="H30">
            <v>-5.7350000000000003</v>
          </cell>
          <cell r="I30">
            <v>-6.1623699999999992</v>
          </cell>
          <cell r="J30">
            <v>-5.7855000000000025</v>
          </cell>
          <cell r="K30">
            <v>-2E-3</v>
          </cell>
          <cell r="L30">
            <v>0</v>
          </cell>
          <cell r="M30">
            <v>1.5E-3</v>
          </cell>
          <cell r="N30">
            <v>-5.7854999999999999</v>
          </cell>
          <cell r="O30">
            <v>-1.5</v>
          </cell>
          <cell r="P30">
            <v>0</v>
          </cell>
          <cell r="Q30">
            <v>0</v>
          </cell>
          <cell r="T30">
            <v>-26.14087</v>
          </cell>
          <cell r="X30">
            <v>-7.2854999999999999</v>
          </cell>
          <cell r="Y30">
            <v>-33.426369999999999</v>
          </cell>
          <cell r="AD30">
            <v>-33.426369999999999</v>
          </cell>
        </row>
        <row r="31">
          <cell r="A31" t="str">
            <v>ICO (juridique, paie etc)</v>
          </cell>
          <cell r="B31" t="str">
            <v>613213 + 615626</v>
          </cell>
          <cell r="D31">
            <v>-96.982999999999976</v>
          </cell>
          <cell r="F31">
            <v>-9.4339999999999993</v>
          </cell>
          <cell r="G31">
            <v>-9.4339999999999993</v>
          </cell>
          <cell r="H31">
            <v>-9.4339999999999993</v>
          </cell>
          <cell r="I31">
            <v>-4.0249999999999986</v>
          </cell>
          <cell r="J31">
            <v>-8.0820000000000007</v>
          </cell>
          <cell r="K31">
            <v>-8.0820000000000007</v>
          </cell>
          <cell r="L31">
            <v>-8.0820000000000078</v>
          </cell>
          <cell r="M31">
            <v>-8.0820000000000007</v>
          </cell>
          <cell r="N31">
            <v>-8.0820000000000007</v>
          </cell>
          <cell r="O31">
            <v>-8.0820000000000007</v>
          </cell>
          <cell r="P31">
            <v>-8.0820000000000007</v>
          </cell>
          <cell r="Q31">
            <v>-8.0820000000000007</v>
          </cell>
          <cell r="T31">
            <v>-116.72517999999999</v>
          </cell>
          <cell r="X31">
            <v>26.91</v>
          </cell>
          <cell r="Y31">
            <v>-89.815179999999998</v>
          </cell>
          <cell r="AD31">
            <v>-89.815179999999998</v>
          </cell>
        </row>
        <row r="32">
          <cell r="A32" t="str">
            <v>Participation</v>
          </cell>
          <cell r="D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Y32">
            <v>0</v>
          </cell>
          <cell r="AD32">
            <v>0</v>
          </cell>
        </row>
        <row r="33">
          <cell r="A33" t="str">
            <v>Forfait Social (Participation) / CS</v>
          </cell>
          <cell r="D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T33">
            <v>0</v>
          </cell>
          <cell r="Y33">
            <v>0</v>
          </cell>
          <cell r="AD33">
            <v>0</v>
          </cell>
        </row>
        <row r="34">
          <cell r="A34" t="str">
            <v>ITOS - Refac GroupM</v>
          </cell>
          <cell r="B34">
            <v>613210</v>
          </cell>
          <cell r="D34">
            <v>0</v>
          </cell>
          <cell r="F34">
            <v>0</v>
          </cell>
          <cell r="G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 t="str">
            <v>ITOS</v>
          </cell>
          <cell r="T34">
            <v>-31.321480000000001</v>
          </cell>
          <cell r="X34">
            <v>0</v>
          </cell>
          <cell r="Y34">
            <v>-31.321480000000001</v>
          </cell>
          <cell r="AD34">
            <v>-31.321480000000001</v>
          </cell>
        </row>
        <row r="35">
          <cell r="A35" t="str">
            <v>Other Staff Costs</v>
          </cell>
          <cell r="D35">
            <v>0</v>
          </cell>
          <cell r="AD35">
            <v>0</v>
          </cell>
        </row>
        <row r="36">
          <cell r="A36" t="str">
            <v>Crédit d'impot (CS)</v>
          </cell>
          <cell r="B36">
            <v>649000</v>
          </cell>
          <cell r="D36">
            <v>0</v>
          </cell>
          <cell r="Y36">
            <v>0</v>
          </cell>
          <cell r="AD36">
            <v>0</v>
          </cell>
        </row>
        <row r="37">
          <cell r="A37" t="str">
            <v>Voiture (TVTS = Office costs)</v>
          </cell>
          <cell r="D37">
            <v>-44.784529999999997</v>
          </cell>
          <cell r="F37">
            <v>-3.07639</v>
          </cell>
          <cell r="G37">
            <v>-4.1535399999999996</v>
          </cell>
          <cell r="H37">
            <v>-4.8498500000000009</v>
          </cell>
          <cell r="I37">
            <v>-1.9506499999999996</v>
          </cell>
          <cell r="J37">
            <v>-3.3818499999999982</v>
          </cell>
          <cell r="K37">
            <v>-3.5665399999999998</v>
          </cell>
          <cell r="L37">
            <v>-4.0273600000000052</v>
          </cell>
          <cell r="M37">
            <v>-3.64127</v>
          </cell>
          <cell r="N37">
            <v>-4.08908</v>
          </cell>
          <cell r="O37">
            <v>-4.016</v>
          </cell>
          <cell r="P37">
            <v>-4.016</v>
          </cell>
          <cell r="Q37">
            <v>-4.016</v>
          </cell>
          <cell r="T37">
            <v>-42.200469999999996</v>
          </cell>
          <cell r="X37">
            <v>0</v>
          </cell>
          <cell r="Y37">
            <v>-42.200469999999996</v>
          </cell>
          <cell r="AD37">
            <v>-42.200469999999996</v>
          </cell>
        </row>
        <row r="38">
          <cell r="A38" t="str">
            <v>- Location véhicules</v>
          </cell>
          <cell r="B38">
            <v>613510</v>
          </cell>
          <cell r="F38">
            <v>-2.4074599999999999</v>
          </cell>
          <cell r="G38">
            <v>-2.4074599999999999</v>
          </cell>
          <cell r="H38">
            <v>-2.4074599999999999</v>
          </cell>
          <cell r="I38">
            <v>-2.4074599999999999</v>
          </cell>
          <cell r="J38">
            <v>-2.4074599999999999</v>
          </cell>
          <cell r="K38">
            <v>-2.4074599999999999</v>
          </cell>
          <cell r="L38">
            <v>-2.4074599999999999</v>
          </cell>
          <cell r="M38">
            <v>-2.4074599999999999</v>
          </cell>
          <cell r="N38">
            <v>-3.1513200000000001</v>
          </cell>
          <cell r="O38">
            <v>-3.1513200000000001</v>
          </cell>
          <cell r="P38">
            <v>-3.1513200000000001</v>
          </cell>
          <cell r="Q38">
            <v>-3.1513200000000001</v>
          </cell>
          <cell r="T38">
            <v>-31.23085</v>
          </cell>
          <cell r="X38">
            <v>0</v>
          </cell>
          <cell r="AD38">
            <v>0</v>
          </cell>
        </row>
        <row r="39">
          <cell r="A39" t="str">
            <v>- Assurance véhicules</v>
          </cell>
          <cell r="B39">
            <v>616100</v>
          </cell>
          <cell r="F39">
            <v>-0.315</v>
          </cell>
          <cell r="G39">
            <v>-0.315</v>
          </cell>
          <cell r="H39">
            <v>-0.315</v>
          </cell>
          <cell r="I39">
            <v>-0.315</v>
          </cell>
          <cell r="J39">
            <v>-0.315</v>
          </cell>
          <cell r="K39">
            <v>-0.315</v>
          </cell>
          <cell r="L39">
            <v>-0.315</v>
          </cell>
          <cell r="M39">
            <v>-0.315</v>
          </cell>
          <cell r="N39">
            <v>-0.315</v>
          </cell>
          <cell r="O39">
            <v>-0.315</v>
          </cell>
          <cell r="P39">
            <v>-0.315</v>
          </cell>
          <cell r="Q39">
            <v>-0.315</v>
          </cell>
          <cell r="T39">
            <v>-4.4844900000000001</v>
          </cell>
          <cell r="X39">
            <v>0</v>
          </cell>
          <cell r="AD39">
            <v>0</v>
          </cell>
        </row>
        <row r="40">
          <cell r="A40" t="str">
            <v>- Frais essence</v>
          </cell>
          <cell r="B40">
            <v>625198</v>
          </cell>
          <cell r="F40">
            <v>-0.35</v>
          </cell>
          <cell r="G40">
            <v>-0.35</v>
          </cell>
          <cell r="H40">
            <v>-0.35</v>
          </cell>
          <cell r="I40">
            <v>-0.35</v>
          </cell>
          <cell r="J40">
            <v>-0.35</v>
          </cell>
          <cell r="K40">
            <v>-0.35</v>
          </cell>
          <cell r="L40">
            <v>-0.35</v>
          </cell>
          <cell r="M40">
            <v>-0.35</v>
          </cell>
          <cell r="N40">
            <v>-0.35</v>
          </cell>
          <cell r="O40">
            <v>-0.35</v>
          </cell>
          <cell r="P40">
            <v>-0.35</v>
          </cell>
          <cell r="Q40">
            <v>-0.35</v>
          </cell>
          <cell r="T40">
            <v>-3.3812700000000002</v>
          </cell>
          <cell r="X40">
            <v>0</v>
          </cell>
          <cell r="AD40">
            <v>0</v>
          </cell>
        </row>
        <row r="41">
          <cell r="A41" t="str">
            <v>- Frais de véhicules</v>
          </cell>
          <cell r="B41">
            <v>625199</v>
          </cell>
          <cell r="F41">
            <v>-0.4</v>
          </cell>
          <cell r="G41">
            <v>-0.4</v>
          </cell>
          <cell r="H41">
            <v>-0.4</v>
          </cell>
          <cell r="I41">
            <v>-0.4</v>
          </cell>
          <cell r="J41">
            <v>-0.4</v>
          </cell>
          <cell r="K41">
            <v>-0.4</v>
          </cell>
          <cell r="L41">
            <v>-0.4</v>
          </cell>
          <cell r="M41">
            <v>-0.4</v>
          </cell>
          <cell r="N41">
            <v>-0.27276</v>
          </cell>
          <cell r="O41">
            <v>-0.19967999999999997</v>
          </cell>
          <cell r="P41">
            <v>-0.19967999999999997</v>
          </cell>
          <cell r="Q41">
            <v>-0.19967999999999997</v>
          </cell>
          <cell r="T41">
            <v>-3.1038600000000001</v>
          </cell>
          <cell r="AD41">
            <v>0</v>
          </cell>
        </row>
        <row r="42">
          <cell r="A42" t="str">
            <v>IDR</v>
          </cell>
          <cell r="B42">
            <v>681520</v>
          </cell>
          <cell r="D42">
            <v>-12.239999999999997</v>
          </cell>
          <cell r="F42">
            <v>-1.02</v>
          </cell>
          <cell r="G42">
            <v>-1.02</v>
          </cell>
          <cell r="H42">
            <v>-1.02</v>
          </cell>
          <cell r="I42">
            <v>-1.02</v>
          </cell>
          <cell r="J42">
            <v>-1.02</v>
          </cell>
          <cell r="K42">
            <v>-1.02</v>
          </cell>
          <cell r="L42">
            <v>-1.02</v>
          </cell>
          <cell r="M42">
            <v>-1.02</v>
          </cell>
          <cell r="N42">
            <v>-1.02</v>
          </cell>
          <cell r="O42">
            <v>-1.02</v>
          </cell>
          <cell r="P42">
            <v>-1.02</v>
          </cell>
          <cell r="Q42">
            <v>-1.02</v>
          </cell>
          <cell r="T42">
            <v>-11.22</v>
          </cell>
          <cell r="X42">
            <v>0</v>
          </cell>
          <cell r="Y42">
            <v>-11.22</v>
          </cell>
          <cell r="AD42">
            <v>-11.22</v>
          </cell>
        </row>
        <row r="43">
          <cell r="A43" t="str">
            <v>Holiday Pay</v>
          </cell>
          <cell r="D43">
            <v>0</v>
          </cell>
          <cell r="AD43">
            <v>0</v>
          </cell>
        </row>
        <row r="44">
          <cell r="A44" t="str">
            <v>- Prov CP Neo</v>
          </cell>
          <cell r="B44">
            <v>641200</v>
          </cell>
          <cell r="D44">
            <v>-1.1873912432432974</v>
          </cell>
          <cell r="F44">
            <v>0</v>
          </cell>
          <cell r="G44">
            <v>0</v>
          </cell>
          <cell r="H44">
            <v>28.997</v>
          </cell>
          <cell r="I44">
            <v>0</v>
          </cell>
          <cell r="J44">
            <v>0</v>
          </cell>
          <cell r="K44">
            <v>-33.372999999999998</v>
          </cell>
          <cell r="L44">
            <v>0</v>
          </cell>
          <cell r="M44">
            <v>0</v>
          </cell>
          <cell r="N44">
            <v>30.478999999999999</v>
          </cell>
          <cell r="O44">
            <v>0</v>
          </cell>
          <cell r="P44">
            <v>0</v>
          </cell>
          <cell r="Q44">
            <v>-27.290391243243299</v>
          </cell>
          <cell r="R44" t="str">
            <v xml:space="preserve"> </v>
          </cell>
          <cell r="T44">
            <v>25.931000000000001</v>
          </cell>
          <cell r="Y44">
            <v>25.931000000000001</v>
          </cell>
          <cell r="AD44">
            <v>25.931000000000001</v>
          </cell>
        </row>
        <row r="45">
          <cell r="A45" t="str">
            <v>- Prov CP Refac O&amp;M</v>
          </cell>
          <cell r="B45">
            <v>641200</v>
          </cell>
          <cell r="D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T45">
            <v>0.17200000000000015</v>
          </cell>
          <cell r="Y45">
            <v>0.17200000000000015</v>
          </cell>
          <cell r="AD45">
            <v>0.17200000000000015</v>
          </cell>
        </row>
        <row r="46">
          <cell r="AD46">
            <v>0</v>
          </cell>
        </row>
        <row r="47">
          <cell r="A47" t="str">
            <v>Other Staff Costs</v>
          </cell>
          <cell r="B47">
            <v>648210</v>
          </cell>
          <cell r="D47">
            <v>-35.880000000000003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-4.4850000000000003</v>
          </cell>
          <cell r="K47">
            <v>-4.4850000000000003</v>
          </cell>
          <cell r="L47">
            <v>-4.4850000000000003</v>
          </cell>
          <cell r="M47">
            <v>-4.4850000000000003</v>
          </cell>
          <cell r="N47">
            <v>-4.4850000000000003</v>
          </cell>
          <cell r="O47">
            <v>-4.4850000000000003</v>
          </cell>
          <cell r="P47">
            <v>-4.4850000000000003</v>
          </cell>
          <cell r="Q47">
            <v>-4.4850000000000003</v>
          </cell>
          <cell r="Y47">
            <v>0</v>
          </cell>
          <cell r="Z47">
            <v>535.62237021294266</v>
          </cell>
          <cell r="AC47">
            <v>0.71544715447154561</v>
          </cell>
          <cell r="AD47">
            <v>536.33781736741423</v>
          </cell>
        </row>
        <row r="49">
          <cell r="A49" t="str">
            <v>TOTAL STAFF COSTS</v>
          </cell>
          <cell r="B49" t="str">
            <v xml:space="preserve"> </v>
          </cell>
          <cell r="D49">
            <v>-3723.0678889070005</v>
          </cell>
          <cell r="F49">
            <v>-299.28433168888893</v>
          </cell>
          <cell r="G49">
            <v>-305.85753052222219</v>
          </cell>
          <cell r="H49">
            <v>-307.49610835555563</v>
          </cell>
          <cell r="I49">
            <v>-277.38346085555554</v>
          </cell>
          <cell r="J49">
            <v>-282.0934824111111</v>
          </cell>
          <cell r="K49">
            <v>-384.11536449999983</v>
          </cell>
          <cell r="L49">
            <v>-292.72608999999994</v>
          </cell>
          <cell r="M49">
            <v>-283.6291050000001</v>
          </cell>
          <cell r="N49">
            <v>-252.19657000000009</v>
          </cell>
          <cell r="O49">
            <v>-302.62067383333334</v>
          </cell>
          <cell r="P49">
            <v>-301.12067383333334</v>
          </cell>
          <cell r="Q49">
            <v>-433.8044979070001</v>
          </cell>
          <cell r="T49">
            <v>-3371.0938800000008</v>
          </cell>
          <cell r="V49">
            <v>60.892012749999999</v>
          </cell>
          <cell r="W49">
            <v>0</v>
          </cell>
          <cell r="X49">
            <v>26.835999999999999</v>
          </cell>
          <cell r="Y49">
            <v>-3283.365867250001</v>
          </cell>
          <cell r="Z49">
            <v>535.62237021294266</v>
          </cell>
          <cell r="AA49">
            <v>22.2</v>
          </cell>
          <cell r="AB49">
            <v>0</v>
          </cell>
          <cell r="AC49">
            <v>0.71544715447154561</v>
          </cell>
          <cell r="AD49">
            <v>-2724.828049882587</v>
          </cell>
        </row>
        <row r="50">
          <cell r="X50" t="str">
            <v xml:space="preserve"> </v>
          </cell>
        </row>
        <row r="51">
          <cell r="A51" t="str">
            <v>Establishment Costs</v>
          </cell>
          <cell r="D51" t="str">
            <v xml:space="preserve"> </v>
          </cell>
          <cell r="K51" t="str">
            <v xml:space="preserve"> </v>
          </cell>
        </row>
        <row r="52">
          <cell r="A52" t="str">
            <v>Rent (Marbeuf)</v>
          </cell>
          <cell r="B52" t="str">
            <v>613200/2</v>
          </cell>
          <cell r="D52">
            <v>-200.00299999999999</v>
          </cell>
          <cell r="F52">
            <v>-16.667000000000002</v>
          </cell>
          <cell r="G52">
            <v>-16.667000000000002</v>
          </cell>
          <cell r="H52">
            <v>-16.667000000000002</v>
          </cell>
          <cell r="I52">
            <v>-16.667000000000002</v>
          </cell>
          <cell r="J52">
            <v>-16.667000000000002</v>
          </cell>
          <cell r="K52">
            <v>-16.667000000000002</v>
          </cell>
          <cell r="L52">
            <v>-16.667000000000002</v>
          </cell>
          <cell r="M52">
            <v>-16.667000000000002</v>
          </cell>
          <cell r="N52">
            <v>-16.667000000000002</v>
          </cell>
          <cell r="O52">
            <v>-16.666666666666668</v>
          </cell>
          <cell r="P52">
            <v>-16.666666666666668</v>
          </cell>
          <cell r="Q52">
            <v>-16.666666666666668</v>
          </cell>
          <cell r="T52">
            <v>-182.87912</v>
          </cell>
          <cell r="Y52">
            <v>-182.87912</v>
          </cell>
          <cell r="AC52">
            <v>24.715447154471551</v>
          </cell>
          <cell r="AD52">
            <v>-158.16367284552845</v>
          </cell>
        </row>
        <row r="53">
          <cell r="A53" t="str">
            <v>Charges Locatives (Marbeuf)</v>
          </cell>
          <cell r="B53" t="str">
            <v>613200/2 + 613201</v>
          </cell>
          <cell r="D53">
            <v>-48</v>
          </cell>
          <cell r="F53">
            <v>-4</v>
          </cell>
          <cell r="G53">
            <v>-4</v>
          </cell>
          <cell r="H53">
            <v>-4</v>
          </cell>
          <cell r="I53">
            <v>-4</v>
          </cell>
          <cell r="J53">
            <v>-4</v>
          </cell>
          <cell r="K53">
            <v>-4</v>
          </cell>
          <cell r="L53">
            <v>-4</v>
          </cell>
          <cell r="M53">
            <v>-4</v>
          </cell>
          <cell r="N53">
            <v>-4</v>
          </cell>
          <cell r="O53">
            <v>-4</v>
          </cell>
          <cell r="P53">
            <v>-4</v>
          </cell>
          <cell r="Q53">
            <v>-4</v>
          </cell>
          <cell r="T53">
            <v>-44</v>
          </cell>
          <cell r="Y53">
            <v>-44</v>
          </cell>
          <cell r="AD53">
            <v>-44</v>
          </cell>
        </row>
        <row r="54">
          <cell r="A54" t="str">
            <v>Agencements (Marbeuf)</v>
          </cell>
          <cell r="B54">
            <v>658200</v>
          </cell>
          <cell r="D54">
            <v>-29.004000000000005</v>
          </cell>
          <cell r="F54">
            <v>-2.4169999999999998</v>
          </cell>
          <cell r="G54">
            <v>-2.4169999999999998</v>
          </cell>
          <cell r="H54">
            <v>-2.4169999999999998</v>
          </cell>
          <cell r="I54">
            <v>-2.4169999999999998</v>
          </cell>
          <cell r="J54">
            <v>-2.4169999999999998</v>
          </cell>
          <cell r="K54">
            <v>-2.4169999999999998</v>
          </cell>
          <cell r="L54">
            <v>-2.416999999999998</v>
          </cell>
          <cell r="M54">
            <v>-2.4170000000000016</v>
          </cell>
          <cell r="N54">
            <v>-2.4170000000000016</v>
          </cell>
          <cell r="O54">
            <v>-2.4169999999999998</v>
          </cell>
          <cell r="P54">
            <v>-2.4169999999999998</v>
          </cell>
          <cell r="Q54">
            <v>-2.4169999999999998</v>
          </cell>
          <cell r="T54">
            <v>-22.87088</v>
          </cell>
          <cell r="Y54">
            <v>-22.87088</v>
          </cell>
          <cell r="AD54">
            <v>-22.87088</v>
          </cell>
        </row>
        <row r="55">
          <cell r="A55" t="str">
            <v>Parking (Oone)</v>
          </cell>
          <cell r="B55">
            <v>613212</v>
          </cell>
          <cell r="D55">
            <v>-2.3403099999999997</v>
          </cell>
          <cell r="F55">
            <v>-0.44686999999999999</v>
          </cell>
          <cell r="G55">
            <v>-0.40361999999999998</v>
          </cell>
          <cell r="H55">
            <v>-0.14606000000000008</v>
          </cell>
          <cell r="I55">
            <v>-0.14606000000000008</v>
          </cell>
          <cell r="J55">
            <v>-0.15093000000000001</v>
          </cell>
          <cell r="K55">
            <v>-0.14605999999999986</v>
          </cell>
          <cell r="L55">
            <v>-0.15093000000000001</v>
          </cell>
          <cell r="M55">
            <v>-0.15093000000000001</v>
          </cell>
          <cell r="N55">
            <v>-0.14606000000000008</v>
          </cell>
          <cell r="O55">
            <v>-0.15093000000000001</v>
          </cell>
          <cell r="P55">
            <v>-0.15093000000000001</v>
          </cell>
          <cell r="Q55">
            <v>-0.15093000000000001</v>
          </cell>
          <cell r="T55">
            <v>-2.18452</v>
          </cell>
          <cell r="X55">
            <v>0</v>
          </cell>
          <cell r="Y55">
            <v>-2.18452</v>
          </cell>
          <cell r="AD55">
            <v>-2.18452</v>
          </cell>
        </row>
        <row r="56">
          <cell r="A56" t="str">
            <v>Cleaning costs</v>
          </cell>
          <cell r="B56" t="str">
            <v>615605/2</v>
          </cell>
          <cell r="D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T56">
            <v>0</v>
          </cell>
          <cell r="Y56">
            <v>0</v>
          </cell>
          <cell r="AD56">
            <v>0</v>
          </cell>
        </row>
        <row r="57">
          <cell r="A57" t="str">
            <v>ITOS</v>
          </cell>
          <cell r="Y57">
            <v>0</v>
          </cell>
          <cell r="Z57">
            <v>45.870341342479904</v>
          </cell>
          <cell r="AD57">
            <v>45.870341342479904</v>
          </cell>
        </row>
        <row r="58">
          <cell r="A58" t="str">
            <v>Accrual charges 2017 (2018 reajustment)</v>
          </cell>
          <cell r="B58" t="str">
            <v>613200/2</v>
          </cell>
          <cell r="D58">
            <v>-19.5</v>
          </cell>
          <cell r="I58">
            <v>0</v>
          </cell>
          <cell r="L58">
            <v>0</v>
          </cell>
          <cell r="N58">
            <v>-4</v>
          </cell>
          <cell r="O58">
            <v>-7.5</v>
          </cell>
          <cell r="P58">
            <v>-4</v>
          </cell>
          <cell r="Q58">
            <v>-4</v>
          </cell>
          <cell r="T58">
            <v>0</v>
          </cell>
          <cell r="X58">
            <v>-19.5</v>
          </cell>
          <cell r="Y58">
            <v>-19.5</v>
          </cell>
          <cell r="AD58">
            <v>-19.5</v>
          </cell>
        </row>
        <row r="59">
          <cell r="A59" t="str">
            <v>Total Establishment costs</v>
          </cell>
          <cell r="D59">
            <v>-298.84730999999999</v>
          </cell>
          <cell r="F59">
            <v>-23.530870000000004</v>
          </cell>
          <cell r="G59">
            <v>-23.487620000000003</v>
          </cell>
          <cell r="H59">
            <v>-23.230060000000002</v>
          </cell>
          <cell r="I59">
            <v>-23.230060000000002</v>
          </cell>
          <cell r="J59">
            <v>-23.234930000000002</v>
          </cell>
          <cell r="K59">
            <v>-23.230060000000002</v>
          </cell>
          <cell r="L59">
            <v>-23.234929999999999</v>
          </cell>
          <cell r="M59">
            <v>-23.234930000000002</v>
          </cell>
          <cell r="N59">
            <v>-27.230060000000002</v>
          </cell>
          <cell r="O59">
            <v>-30.734596666666665</v>
          </cell>
          <cell r="P59">
            <v>-27.234596666666665</v>
          </cell>
          <cell r="Q59">
            <v>-27.234596666666665</v>
          </cell>
          <cell r="T59">
            <v>-251.93451999999999</v>
          </cell>
          <cell r="V59">
            <v>0</v>
          </cell>
          <cell r="W59">
            <v>0</v>
          </cell>
          <cell r="X59">
            <v>-19.5</v>
          </cell>
          <cell r="Y59">
            <v>-271.43452000000002</v>
          </cell>
          <cell r="Z59">
            <v>45.870341342479904</v>
          </cell>
          <cell r="AC59">
            <v>24.715447154471551</v>
          </cell>
          <cell r="AD59">
            <v>-200.84873150304858</v>
          </cell>
        </row>
        <row r="61">
          <cell r="A61" t="str">
            <v>Personal Costs</v>
          </cell>
        </row>
        <row r="62">
          <cell r="A62" t="str">
            <v>Welfare :</v>
          </cell>
          <cell r="D62" t="str">
            <v xml:space="preserve"> </v>
          </cell>
        </row>
        <row r="63">
          <cell r="A63" t="str">
            <v>- Training (SC)</v>
          </cell>
          <cell r="B63" t="str">
            <v>635806 + 635807 + 740100 + 758015</v>
          </cell>
          <cell r="D63">
            <v>-37.661068963733335</v>
          </cell>
          <cell r="F63">
            <v>-3.4584800000000002</v>
          </cell>
          <cell r="G63">
            <v>-2.6987900000000002</v>
          </cell>
          <cell r="H63">
            <v>-3.6752399999999987</v>
          </cell>
          <cell r="I63">
            <v>-2.6543900000000011</v>
          </cell>
          <cell r="J63">
            <v>-2.9469999999999974</v>
          </cell>
          <cell r="K63">
            <v>-2.9818099999999994</v>
          </cell>
          <cell r="L63">
            <v>-2.5009900000000016</v>
          </cell>
          <cell r="M63">
            <v>-3.8031500000000023</v>
          </cell>
          <cell r="N63">
            <v>-2.734809999999996</v>
          </cell>
          <cell r="O63">
            <v>-3.0579161066666667</v>
          </cell>
          <cell r="P63">
            <v>-3.0579161066666667</v>
          </cell>
          <cell r="Q63">
            <v>-4.0905767504000012</v>
          </cell>
          <cell r="T63">
            <v>8.1511399999999981</v>
          </cell>
          <cell r="V63">
            <v>-28.279079999999997</v>
          </cell>
          <cell r="X63">
            <v>-13.70406</v>
          </cell>
          <cell r="Y63">
            <v>-33.832000000000001</v>
          </cell>
          <cell r="AD63">
            <v>-33.832000000000001</v>
          </cell>
        </row>
        <row r="64">
          <cell r="A64" t="str">
            <v>- Taxes Fiscales Welfare (SC)</v>
          </cell>
          <cell r="B64" t="str">
            <v>Salaires</v>
          </cell>
          <cell r="D64">
            <v>-140.5198419333</v>
          </cell>
          <cell r="F64">
            <v>-12.30391</v>
          </cell>
          <cell r="G64">
            <v>-12.170109999999999</v>
          </cell>
          <cell r="H64">
            <v>-12.671620000000001</v>
          </cell>
          <cell r="I64">
            <v>-11.183419999999998</v>
          </cell>
          <cell r="J64">
            <v>-11.657260000000001</v>
          </cell>
          <cell r="K64">
            <v>-12.935980000000008</v>
          </cell>
          <cell r="L64">
            <v>-11.591649999999987</v>
          </cell>
          <cell r="M64">
            <v>-7.698110000000014</v>
          </cell>
          <cell r="N64">
            <v>-11.947450000000003</v>
          </cell>
          <cell r="O64">
            <v>-10.893826129999999</v>
          </cell>
          <cell r="P64">
            <v>-10.893826129999999</v>
          </cell>
          <cell r="Q64">
            <v>-14.572679673300003</v>
          </cell>
          <cell r="V64">
            <v>-127.69456000000002</v>
          </cell>
          <cell r="Y64">
            <v>-127.69456000000002</v>
          </cell>
          <cell r="AD64">
            <v>-127.69456000000002</v>
          </cell>
        </row>
        <row r="65">
          <cell r="A65" t="str">
            <v>- CE</v>
          </cell>
          <cell r="B65" t="str">
            <v>647200/2</v>
          </cell>
          <cell r="D65">
            <v>-11.604000000000001</v>
          </cell>
          <cell r="F65">
            <v>-0.96699999999999997</v>
          </cell>
          <cell r="G65">
            <v>-0.96699999999999997</v>
          </cell>
          <cell r="H65">
            <v>-0.96699999999999986</v>
          </cell>
          <cell r="I65">
            <v>-0.96700000000000008</v>
          </cell>
          <cell r="J65">
            <v>-0.96700000000000008</v>
          </cell>
          <cell r="K65">
            <v>-0.96699999999999964</v>
          </cell>
          <cell r="L65">
            <v>-0.96700000000000053</v>
          </cell>
          <cell r="M65">
            <v>-0.96699999999999964</v>
          </cell>
          <cell r="N65">
            <v>-0.96699999999999964</v>
          </cell>
          <cell r="O65">
            <v>-0.96700000000000008</v>
          </cell>
          <cell r="P65">
            <v>-0.96700000000000008</v>
          </cell>
          <cell r="Q65">
            <v>-0.96700000000000008</v>
          </cell>
          <cell r="T65">
            <v>-10.86562</v>
          </cell>
          <cell r="X65">
            <v>0</v>
          </cell>
          <cell r="Y65">
            <v>-10.86562</v>
          </cell>
          <cell r="AD65">
            <v>-10.86562</v>
          </cell>
        </row>
        <row r="66">
          <cell r="A66" t="str">
            <v>- Agefi</v>
          </cell>
          <cell r="B66" t="str">
            <v>647400/2</v>
          </cell>
          <cell r="D66">
            <v>-2.3040000000000003</v>
          </cell>
          <cell r="F66">
            <v>-0.192</v>
          </cell>
          <cell r="G66">
            <v>-0.192</v>
          </cell>
          <cell r="H66">
            <v>-0.19200000000000006</v>
          </cell>
          <cell r="I66">
            <v>-0.19199999999999995</v>
          </cell>
          <cell r="J66">
            <v>-0.19199999999999995</v>
          </cell>
          <cell r="K66">
            <v>-0.19200000000000017</v>
          </cell>
          <cell r="L66">
            <v>-0.19199999999999995</v>
          </cell>
          <cell r="M66">
            <v>-0.19199999999999995</v>
          </cell>
          <cell r="N66">
            <v>-0.19199999999999995</v>
          </cell>
          <cell r="O66">
            <v>-0.19199999999999995</v>
          </cell>
          <cell r="P66">
            <v>-0.19199999999999995</v>
          </cell>
          <cell r="Q66">
            <v>-0.19199999999999995</v>
          </cell>
          <cell r="T66">
            <v>-2.1120000000000001</v>
          </cell>
          <cell r="X66">
            <v>0</v>
          </cell>
          <cell r="Y66">
            <v>-2.1120000000000001</v>
          </cell>
          <cell r="AD66">
            <v>-2.1120000000000001</v>
          </cell>
        </row>
        <row r="67">
          <cell r="A67" t="str">
            <v>- Urssaf</v>
          </cell>
          <cell r="B67">
            <v>645100</v>
          </cell>
          <cell r="D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Y67">
            <v>0</v>
          </cell>
          <cell r="AD67">
            <v>0</v>
          </cell>
        </row>
        <row r="68">
          <cell r="A68" t="str">
            <v>- Medecine de travail</v>
          </cell>
          <cell r="B68">
            <v>647500</v>
          </cell>
          <cell r="D68">
            <v>-4.8190000000000008</v>
          </cell>
          <cell r="F68">
            <v>0</v>
          </cell>
          <cell r="G68">
            <v>0</v>
          </cell>
          <cell r="H68">
            <v>-0.87</v>
          </cell>
          <cell r="I68">
            <v>-0.28999999999999992</v>
          </cell>
          <cell r="J68">
            <v>-0.82750000000000012</v>
          </cell>
          <cell r="K68">
            <v>-0.39749999999999974</v>
          </cell>
          <cell r="L68">
            <v>-0.41075000000000017</v>
          </cell>
          <cell r="M68">
            <v>-0.41075000000000017</v>
          </cell>
          <cell r="N68">
            <v>-0.39749999999999996</v>
          </cell>
          <cell r="O68">
            <v>-0.40500000000000003</v>
          </cell>
          <cell r="P68">
            <v>-0.40500000000000003</v>
          </cell>
          <cell r="Q68">
            <v>-0.40500000000000003</v>
          </cell>
          <cell r="T68">
            <v>-4.4368299999999996</v>
          </cell>
          <cell r="X68">
            <v>0</v>
          </cell>
          <cell r="Y68">
            <v>-4.4368299999999996</v>
          </cell>
          <cell r="AD68">
            <v>-4.4368299999999996</v>
          </cell>
        </row>
        <row r="69">
          <cell r="A69" t="str">
            <v>- Fête agence (Œuvre Sociale) / Neo</v>
          </cell>
          <cell r="B69" t="str">
            <v>645005/2 + 752012</v>
          </cell>
          <cell r="D69">
            <v>-6.7421100000000003</v>
          </cell>
          <cell r="F69">
            <v>0</v>
          </cell>
          <cell r="G69">
            <v>-0.13203000000000001</v>
          </cell>
          <cell r="H69">
            <v>-1.2855299999999998</v>
          </cell>
          <cell r="I69">
            <v>-1.0712000000000002</v>
          </cell>
          <cell r="J69">
            <v>-6.3000000000000167E-2</v>
          </cell>
          <cell r="K69">
            <v>-0.89999999999999991</v>
          </cell>
          <cell r="L69">
            <v>-3.5000000000000142E-2</v>
          </cell>
          <cell r="M69">
            <v>-5.5349999999999788E-2</v>
          </cell>
          <cell r="N69">
            <v>0</v>
          </cell>
          <cell r="O69">
            <v>-0.1</v>
          </cell>
          <cell r="P69">
            <v>-0.1</v>
          </cell>
          <cell r="Q69">
            <v>-3</v>
          </cell>
          <cell r="T69">
            <v>-38.613060000000004</v>
          </cell>
          <cell r="X69">
            <v>36.42</v>
          </cell>
          <cell r="Y69">
            <v>-2.1930600000000027</v>
          </cell>
          <cell r="AD69">
            <v>-2.1930600000000027</v>
          </cell>
        </row>
        <row r="70">
          <cell r="A70" t="str">
            <v xml:space="preserve">- Café &amp; Eau (Œuvre Sociale) </v>
          </cell>
          <cell r="B70" t="str">
            <v>645005/2</v>
          </cell>
          <cell r="D70">
            <v>-2.4009980000000013</v>
          </cell>
          <cell r="F70">
            <v>-0.10705999999999993</v>
          </cell>
          <cell r="G70">
            <v>-0.2309800000000003</v>
          </cell>
          <cell r="H70">
            <v>-0.26422999999999963</v>
          </cell>
          <cell r="I70">
            <v>-0.12828999999999979</v>
          </cell>
          <cell r="J70">
            <v>-8.1719999999999349E-2</v>
          </cell>
          <cell r="K70">
            <v>-0.23070000000000102</v>
          </cell>
          <cell r="L70">
            <v>-0.21204000000000001</v>
          </cell>
          <cell r="M70">
            <v>-0.1361800000000013</v>
          </cell>
          <cell r="N70">
            <v>-0.36120999999999981</v>
          </cell>
          <cell r="O70">
            <v>-0.216196</v>
          </cell>
          <cell r="P70">
            <v>-0.216196</v>
          </cell>
          <cell r="Q70">
            <v>-0.216196</v>
          </cell>
          <cell r="T70">
            <v>-2.3192999999999984</v>
          </cell>
          <cell r="X70">
            <v>0</v>
          </cell>
          <cell r="Y70">
            <v>-2.3192999999999984</v>
          </cell>
          <cell r="AD70">
            <v>-2.3192999999999984</v>
          </cell>
        </row>
        <row r="71">
          <cell r="A71" t="str">
            <v>- Café &amp; Eau (Œuvre Sociale) - Marbeuf</v>
          </cell>
          <cell r="B71" t="str">
            <v>645005/2</v>
          </cell>
          <cell r="D71">
            <v>-14.25</v>
          </cell>
          <cell r="F71">
            <v>-1.125</v>
          </cell>
          <cell r="G71">
            <v>-1.125</v>
          </cell>
          <cell r="H71">
            <v>-1.125</v>
          </cell>
          <cell r="I71">
            <v>-1.125</v>
          </cell>
          <cell r="J71">
            <v>-1.125</v>
          </cell>
          <cell r="K71">
            <v>-1.125</v>
          </cell>
          <cell r="L71">
            <v>-1.125</v>
          </cell>
          <cell r="M71">
            <v>-1.125</v>
          </cell>
          <cell r="N71">
            <v>-1.125</v>
          </cell>
          <cell r="O71">
            <v>-1.375</v>
          </cell>
          <cell r="P71">
            <v>-1.375</v>
          </cell>
          <cell r="Q71">
            <v>-1.375</v>
          </cell>
          <cell r="R71" t="str">
            <v xml:space="preserve"> </v>
          </cell>
          <cell r="T71">
            <v>-11.307359999999999</v>
          </cell>
          <cell r="X71">
            <v>0</v>
          </cell>
          <cell r="Y71">
            <v>-11.307359999999999</v>
          </cell>
          <cell r="AD71">
            <v>-11.307359999999999</v>
          </cell>
        </row>
        <row r="72">
          <cell r="A72" t="str">
            <v>- Autres ch personnel</v>
          </cell>
          <cell r="B72">
            <v>648220</v>
          </cell>
          <cell r="D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Y72">
            <v>0</v>
          </cell>
          <cell r="Z72">
            <v>0</v>
          </cell>
          <cell r="AD72">
            <v>0</v>
          </cell>
        </row>
        <row r="73">
          <cell r="A73" t="str">
            <v>Sous-total Welfare</v>
          </cell>
          <cell r="D73">
            <v>-220.30101889703332</v>
          </cell>
          <cell r="F73">
            <v>-18.153449999999999</v>
          </cell>
          <cell r="G73">
            <v>-17.515909999999998</v>
          </cell>
          <cell r="H73">
            <v>-21.050620000000002</v>
          </cell>
          <cell r="I73">
            <v>-17.6113</v>
          </cell>
          <cell r="J73">
            <v>-17.860479999999999</v>
          </cell>
          <cell r="K73">
            <v>-19.729990000000008</v>
          </cell>
          <cell r="L73">
            <v>-17.03442999999999</v>
          </cell>
          <cell r="M73">
            <v>-14.387540000000017</v>
          </cell>
          <cell r="N73">
            <v>-17.724969999999999</v>
          </cell>
          <cell r="O73">
            <v>-17.206938236666666</v>
          </cell>
          <cell r="P73">
            <v>-17.206938236666666</v>
          </cell>
          <cell r="Q73">
            <v>-24.818452423700005</v>
          </cell>
          <cell r="T73">
            <v>-61.50303000000001</v>
          </cell>
          <cell r="V73">
            <v>-155.97364000000002</v>
          </cell>
          <cell r="W73">
            <v>0</v>
          </cell>
          <cell r="X73">
            <v>22.715940000000003</v>
          </cell>
          <cell r="Y73">
            <v>-194.76073</v>
          </cell>
          <cell r="Z73">
            <v>0</v>
          </cell>
          <cell r="AB73">
            <v>0</v>
          </cell>
          <cell r="AC73">
            <v>0</v>
          </cell>
          <cell r="AD73">
            <v>-194.76073</v>
          </cell>
        </row>
        <row r="74">
          <cell r="I74">
            <v>0</v>
          </cell>
          <cell r="L74">
            <v>0</v>
          </cell>
        </row>
        <row r="75">
          <cell r="A75" t="str">
            <v>T&amp;E</v>
          </cell>
          <cell r="D75" t="str">
            <v xml:space="preserve"> </v>
          </cell>
          <cell r="I75">
            <v>0</v>
          </cell>
          <cell r="L75">
            <v>0</v>
          </cell>
        </row>
        <row r="76">
          <cell r="A76" t="str">
            <v>- Voyages &amp; Déplacements (Travel)</v>
          </cell>
          <cell r="B76" t="str">
            <v>625130/1 + 752003 + 758008</v>
          </cell>
          <cell r="D76">
            <v>-17.37444</v>
          </cell>
          <cell r="F76">
            <v>-1.3</v>
          </cell>
          <cell r="G76">
            <v>-1.6112</v>
          </cell>
          <cell r="H76">
            <v>-7.434969999999999</v>
          </cell>
          <cell r="I76">
            <v>0.49975999999999843</v>
          </cell>
          <cell r="J76">
            <v>-1.5947999999999993</v>
          </cell>
          <cell r="K76">
            <v>0.86800000000000033</v>
          </cell>
          <cell r="L76">
            <v>-1.9909599999999994</v>
          </cell>
          <cell r="M76">
            <v>0</v>
          </cell>
          <cell r="N76">
            <v>-3.8102700000000009</v>
          </cell>
          <cell r="O76">
            <v>-0.5</v>
          </cell>
          <cell r="P76">
            <v>-0.5</v>
          </cell>
          <cell r="Q76">
            <v>0</v>
          </cell>
          <cell r="T76">
            <v>-18.43994</v>
          </cell>
          <cell r="Y76">
            <v>-18.43994</v>
          </cell>
          <cell r="AD76">
            <v>-18.43994</v>
          </cell>
        </row>
        <row r="77">
          <cell r="A77" t="str">
            <v>- Voyages &amp; Déplacements (Accom/Subsistence)</v>
          </cell>
          <cell r="B77" t="str">
            <v>625130 + 752024</v>
          </cell>
          <cell r="D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T77">
            <v>0</v>
          </cell>
          <cell r="Y77">
            <v>0</v>
          </cell>
          <cell r="AD77">
            <v>0</v>
          </cell>
        </row>
        <row r="78">
          <cell r="A78" t="str">
            <v>- Receptions</v>
          </cell>
          <cell r="B78">
            <v>625700</v>
          </cell>
          <cell r="D78">
            <v>-7.8386099999999992</v>
          </cell>
          <cell r="F78">
            <v>-0.5</v>
          </cell>
          <cell r="G78">
            <v>-1.01841</v>
          </cell>
          <cell r="H78">
            <v>-1.4209799999999999</v>
          </cell>
          <cell r="I78">
            <v>-1.09979</v>
          </cell>
          <cell r="J78">
            <v>-0.88048000000000037</v>
          </cell>
          <cell r="K78">
            <v>-1.0042499999999999</v>
          </cell>
          <cell r="L78">
            <v>-0.82283999999999935</v>
          </cell>
          <cell r="M78">
            <v>1.3405899999999997</v>
          </cell>
          <cell r="N78">
            <v>-0.53244999999999987</v>
          </cell>
          <cell r="O78">
            <v>-0.7</v>
          </cell>
          <cell r="P78">
            <v>-0.6</v>
          </cell>
          <cell r="Q78">
            <v>-0.6</v>
          </cell>
          <cell r="T78">
            <v>-8.0781500000000008</v>
          </cell>
          <cell r="Y78">
            <v>-8.0781500000000008</v>
          </cell>
          <cell r="AD78">
            <v>-8.0781500000000008</v>
          </cell>
        </row>
        <row r="79">
          <cell r="A79" t="str">
            <v>- Missions (Hotels/Repas/Taxis - Clients)</v>
          </cell>
          <cell r="B79">
            <v>625650</v>
          </cell>
          <cell r="D79">
            <v>-4.5823999999999998</v>
          </cell>
          <cell r="I79">
            <v>-0.83199999999999941</v>
          </cell>
          <cell r="J79">
            <v>-0.67964000000000047</v>
          </cell>
          <cell r="K79">
            <v>-2.8520000000000323E-2</v>
          </cell>
          <cell r="L79">
            <v>-0.97084999999999955</v>
          </cell>
          <cell r="M79">
            <v>-0.1563699999999999</v>
          </cell>
          <cell r="N79">
            <v>-1.3150199999999996</v>
          </cell>
          <cell r="O79">
            <v>-0.2</v>
          </cell>
          <cell r="P79">
            <v>-0.2</v>
          </cell>
          <cell r="Q79">
            <v>-0.2</v>
          </cell>
          <cell r="T79">
            <v>-8.6539699999999993</v>
          </cell>
          <cell r="Y79">
            <v>-8.6539699999999993</v>
          </cell>
          <cell r="AD79">
            <v>-8.6539699999999993</v>
          </cell>
        </row>
        <row r="80">
          <cell r="A80" t="str">
            <v>- Missions (Internes)</v>
          </cell>
          <cell r="B80">
            <v>625652</v>
          </cell>
          <cell r="D80">
            <v>-9.0842100000000023</v>
          </cell>
          <cell r="F80">
            <v>-1.5</v>
          </cell>
          <cell r="G80">
            <v>0.17430999999999996</v>
          </cell>
          <cell r="H80">
            <v>-1.8226200000000004</v>
          </cell>
          <cell r="I80">
            <v>-2.62385</v>
          </cell>
          <cell r="J80">
            <v>-7.6400000000000023E-2</v>
          </cell>
          <cell r="K80">
            <v>-0.66659999999999986</v>
          </cell>
          <cell r="L80">
            <v>-1.00109</v>
          </cell>
          <cell r="M80">
            <v>-0.24931999999999999</v>
          </cell>
          <cell r="N80">
            <v>-0.31864000000000026</v>
          </cell>
          <cell r="O80">
            <v>-0.5</v>
          </cell>
          <cell r="P80">
            <v>-0.5</v>
          </cell>
          <cell r="Q80">
            <v>0</v>
          </cell>
          <cell r="T80">
            <v>-7.8263400000000001</v>
          </cell>
          <cell r="X80">
            <v>0</v>
          </cell>
          <cell r="Y80">
            <v>-7.8263400000000001</v>
          </cell>
          <cell r="AD80">
            <v>-7.8263400000000001</v>
          </cell>
        </row>
        <row r="81">
          <cell r="A81" t="str">
            <v>Sous-total T&amp;E</v>
          </cell>
          <cell r="D81">
            <v>-38.879660000000001</v>
          </cell>
          <cell r="F81">
            <v>-3.3</v>
          </cell>
          <cell r="G81">
            <v>-2.4553000000000003</v>
          </cell>
          <cell r="H81">
            <v>-10.678569999999999</v>
          </cell>
          <cell r="I81">
            <v>-4.055880000000001</v>
          </cell>
          <cell r="J81">
            <v>-3.2313200000000002</v>
          </cell>
          <cell r="K81">
            <v>-0.83136999999999972</v>
          </cell>
          <cell r="L81">
            <v>-4.7857399999999988</v>
          </cell>
          <cell r="M81">
            <v>0.93489999999999984</v>
          </cell>
          <cell r="N81">
            <v>-5.9763800000000007</v>
          </cell>
          <cell r="O81">
            <v>-1.9</v>
          </cell>
          <cell r="P81">
            <v>-1.8</v>
          </cell>
          <cell r="Q81">
            <v>-0.8</v>
          </cell>
          <cell r="T81">
            <v>-42.998400000000004</v>
          </cell>
          <cell r="V81">
            <v>0</v>
          </cell>
          <cell r="W81">
            <v>0</v>
          </cell>
          <cell r="X81">
            <v>0</v>
          </cell>
          <cell r="Y81">
            <v>-42.998400000000004</v>
          </cell>
          <cell r="Z81">
            <v>0</v>
          </cell>
          <cell r="AC81">
            <v>0</v>
          </cell>
          <cell r="AD81">
            <v>-42.998400000000004</v>
          </cell>
        </row>
        <row r="83">
          <cell r="A83" t="str">
            <v>ITOS (Personal Costs)</v>
          </cell>
          <cell r="Z83">
            <v>33.437227975110702</v>
          </cell>
          <cell r="AD83">
            <v>33.437227975110702</v>
          </cell>
        </row>
        <row r="84">
          <cell r="I84">
            <v>0</v>
          </cell>
          <cell r="L84">
            <v>0</v>
          </cell>
        </row>
        <row r="85">
          <cell r="A85" t="str">
            <v>Total Personal Costs</v>
          </cell>
          <cell r="D85">
            <v>-259.18067889703332</v>
          </cell>
          <cell r="F85">
            <v>-21.45345</v>
          </cell>
          <cell r="G85">
            <v>-19.971209999999999</v>
          </cell>
          <cell r="H85">
            <v>-31.729190000000003</v>
          </cell>
          <cell r="I85">
            <v>-21.667180000000002</v>
          </cell>
          <cell r="J85">
            <v>-21.091799999999999</v>
          </cell>
          <cell r="K85">
            <v>-20.561360000000008</v>
          </cell>
          <cell r="L85">
            <v>-21.82016999999999</v>
          </cell>
          <cell r="M85">
            <v>-13.452640000000017</v>
          </cell>
          <cell r="N85">
            <v>-23.701349999999998</v>
          </cell>
          <cell r="O85">
            <v>-19.106938236666664</v>
          </cell>
          <cell r="P85">
            <v>-19.006938236666667</v>
          </cell>
          <cell r="Q85">
            <v>-25.618452423700006</v>
          </cell>
          <cell r="T85">
            <v>-104.50143000000001</v>
          </cell>
          <cell r="V85">
            <v>-155.97364000000002</v>
          </cell>
          <cell r="W85">
            <v>0</v>
          </cell>
          <cell r="X85">
            <v>22.715940000000003</v>
          </cell>
          <cell r="Y85">
            <v>-237.75913</v>
          </cell>
          <cell r="Z85">
            <v>33.437227975110702</v>
          </cell>
          <cell r="AC85">
            <v>0</v>
          </cell>
          <cell r="AD85">
            <v>-204.32190202488931</v>
          </cell>
        </row>
        <row r="87">
          <cell r="A87" t="str">
            <v>Commercial Costs</v>
          </cell>
        </row>
        <row r="88">
          <cell r="A88" t="str">
            <v xml:space="preserve">Prospection </v>
          </cell>
        </row>
        <row r="89">
          <cell r="A89" t="str">
            <v>- Prospection clientèle</v>
          </cell>
          <cell r="B89" t="str">
            <v>623002 + 758023</v>
          </cell>
          <cell r="D89">
            <v>-0.85</v>
          </cell>
          <cell r="F89">
            <v>0</v>
          </cell>
          <cell r="G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-0.85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T89">
            <v>-0.85</v>
          </cell>
          <cell r="W89">
            <v>0</v>
          </cell>
          <cell r="X89">
            <v>0</v>
          </cell>
          <cell r="Y89">
            <v>-0.85</v>
          </cell>
          <cell r="AD89">
            <v>-0.85</v>
          </cell>
        </row>
        <row r="90">
          <cell r="A90" t="str">
            <v>- Voyages déplacements prospects</v>
          </cell>
          <cell r="B90">
            <v>625131</v>
          </cell>
          <cell r="D90">
            <v>-0.5</v>
          </cell>
          <cell r="F90">
            <v>0</v>
          </cell>
          <cell r="G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-0.2</v>
          </cell>
          <cell r="P90">
            <v>-0.2</v>
          </cell>
          <cell r="Q90">
            <v>-0.1</v>
          </cell>
          <cell r="T90">
            <v>-0.48632999999999998</v>
          </cell>
          <cell r="Y90">
            <v>-0.48632999999999998</v>
          </cell>
          <cell r="AD90">
            <v>-0.48632999999999998</v>
          </cell>
        </row>
        <row r="91">
          <cell r="A91" t="str">
            <v>- Mission &amp; Receptions prospects</v>
          </cell>
          <cell r="B91" t="str">
            <v>625651 + 625701</v>
          </cell>
          <cell r="D91">
            <v>-3.5585900000000001</v>
          </cell>
          <cell r="F91">
            <v>0</v>
          </cell>
          <cell r="G91">
            <v>-8.5550000000000001E-2</v>
          </cell>
          <cell r="H91">
            <v>-0.20190999999999998</v>
          </cell>
          <cell r="I91">
            <v>0</v>
          </cell>
          <cell r="J91">
            <v>-0.55922000000000005</v>
          </cell>
          <cell r="K91">
            <v>-0.18675000000000008</v>
          </cell>
          <cell r="L91">
            <v>-0.59253</v>
          </cell>
          <cell r="M91">
            <v>-0.38230999999999993</v>
          </cell>
          <cell r="N91">
            <v>-5.0320000000000142E-2</v>
          </cell>
          <cell r="O91">
            <v>-0.5</v>
          </cell>
          <cell r="P91">
            <v>-0.5</v>
          </cell>
          <cell r="Q91">
            <v>-0.5</v>
          </cell>
          <cell r="T91">
            <v>-2.2641800000000001</v>
          </cell>
          <cell r="Y91">
            <v>-2.2641800000000001</v>
          </cell>
          <cell r="AD91">
            <v>-2.2641800000000001</v>
          </cell>
        </row>
        <row r="92">
          <cell r="A92" t="str">
            <v>Sous-total New Business</v>
          </cell>
          <cell r="D92">
            <v>-4.9085900000000002</v>
          </cell>
          <cell r="F92">
            <v>0</v>
          </cell>
          <cell r="G92">
            <v>-8.5550000000000001E-2</v>
          </cell>
          <cell r="H92">
            <v>-0.20190999999999998</v>
          </cell>
          <cell r="I92">
            <v>0</v>
          </cell>
          <cell r="J92">
            <v>-0.55922000000000005</v>
          </cell>
          <cell r="K92">
            <v>-0.18675000000000008</v>
          </cell>
          <cell r="L92">
            <v>-0.59253</v>
          </cell>
          <cell r="M92">
            <v>-1.23231</v>
          </cell>
          <cell r="N92">
            <v>-5.0320000000000142E-2</v>
          </cell>
          <cell r="O92">
            <v>-0.7</v>
          </cell>
          <cell r="P92">
            <v>-0.7</v>
          </cell>
          <cell r="Q92">
            <v>-0.6</v>
          </cell>
          <cell r="T92">
            <v>-3.6005099999999999</v>
          </cell>
          <cell r="V92">
            <v>0</v>
          </cell>
          <cell r="W92">
            <v>0</v>
          </cell>
          <cell r="X92">
            <v>0</v>
          </cell>
          <cell r="Y92">
            <v>-3.6005099999999999</v>
          </cell>
          <cell r="Z92">
            <v>0</v>
          </cell>
          <cell r="AC92">
            <v>0</v>
          </cell>
          <cell r="AD92">
            <v>-3.6005099999999999</v>
          </cell>
        </row>
        <row r="93">
          <cell r="I93">
            <v>0</v>
          </cell>
          <cell r="L93">
            <v>0</v>
          </cell>
        </row>
        <row r="94">
          <cell r="A94" t="str">
            <v>Advert/Promo</v>
          </cell>
          <cell r="I94">
            <v>0</v>
          </cell>
          <cell r="L94">
            <v>0</v>
          </cell>
          <cell r="Y94">
            <v>0</v>
          </cell>
        </row>
        <row r="95">
          <cell r="A95" t="str">
            <v>- Pub Agence</v>
          </cell>
          <cell r="B95" t="str">
            <v>623001 + 752500 + 651600</v>
          </cell>
          <cell r="D95">
            <v>-6.1256200000000005</v>
          </cell>
          <cell r="F95">
            <v>-0.48812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-1.25</v>
          </cell>
          <cell r="L95">
            <v>0</v>
          </cell>
          <cell r="M95">
            <v>-1.1500000000000004</v>
          </cell>
          <cell r="N95">
            <v>0</v>
          </cell>
          <cell r="O95">
            <v>-1.2375</v>
          </cell>
          <cell r="P95">
            <v>-1</v>
          </cell>
          <cell r="Q95">
            <v>-1</v>
          </cell>
          <cell r="T95">
            <v>-5.4969999999999999</v>
          </cell>
          <cell r="X95">
            <v>0</v>
          </cell>
          <cell r="Y95">
            <v>-5.4969999999999999</v>
          </cell>
          <cell r="AD95">
            <v>-5.4969999999999999</v>
          </cell>
        </row>
        <row r="96">
          <cell r="A96" t="str">
            <v>- Cadeaux clientèle</v>
          </cell>
          <cell r="B96">
            <v>623400</v>
          </cell>
          <cell r="D96">
            <v>-4.0979600000000005</v>
          </cell>
          <cell r="F96">
            <v>-4.9799999999999997E-2</v>
          </cell>
          <cell r="G96">
            <v>0</v>
          </cell>
          <cell r="H96">
            <v>0</v>
          </cell>
          <cell r="I96">
            <v>0.95183999999999991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Q96">
            <v>-5</v>
          </cell>
          <cell r="T96">
            <v>0.83023999999999998</v>
          </cell>
          <cell r="X96">
            <v>0</v>
          </cell>
          <cell r="Y96">
            <v>0.83023999999999998</v>
          </cell>
          <cell r="AD96">
            <v>0.83023999999999998</v>
          </cell>
        </row>
        <row r="97">
          <cell r="A97" t="str">
            <v>Sous-total Advert/Promo</v>
          </cell>
          <cell r="D97">
            <v>-10.223580000000002</v>
          </cell>
          <cell r="F97">
            <v>-0.53791999999999995</v>
          </cell>
          <cell r="G97">
            <v>0</v>
          </cell>
          <cell r="H97">
            <v>0</v>
          </cell>
          <cell r="I97">
            <v>0.95183999999999991</v>
          </cell>
          <cell r="J97">
            <v>0</v>
          </cell>
          <cell r="K97">
            <v>-1.25</v>
          </cell>
          <cell r="L97">
            <v>0</v>
          </cell>
          <cell r="M97">
            <v>-1.1500000000000004</v>
          </cell>
          <cell r="N97">
            <v>0</v>
          </cell>
          <cell r="O97">
            <v>-1.2375</v>
          </cell>
          <cell r="P97">
            <v>-1</v>
          </cell>
          <cell r="Q97">
            <v>-6</v>
          </cell>
          <cell r="T97">
            <v>-4.66676</v>
          </cell>
          <cell r="V97">
            <v>0</v>
          </cell>
          <cell r="W97">
            <v>0</v>
          </cell>
          <cell r="X97">
            <v>0</v>
          </cell>
          <cell r="Y97">
            <v>-4.66676</v>
          </cell>
          <cell r="Z97">
            <v>0</v>
          </cell>
          <cell r="AC97">
            <v>0</v>
          </cell>
          <cell r="AD97">
            <v>-4.66676</v>
          </cell>
        </row>
        <row r="98">
          <cell r="I98">
            <v>0</v>
          </cell>
          <cell r="L98">
            <v>0</v>
          </cell>
        </row>
        <row r="99">
          <cell r="A99" t="str">
            <v>Research</v>
          </cell>
          <cell r="I99">
            <v>0</v>
          </cell>
          <cell r="L99">
            <v>0</v>
          </cell>
        </row>
        <row r="100">
          <cell r="A100" t="str">
            <v>- Documentation</v>
          </cell>
          <cell r="B100" t="str">
            <v>618400/2 + 752205</v>
          </cell>
          <cell r="D100">
            <v>-276.63996000000003</v>
          </cell>
          <cell r="F100">
            <v>-22.916666666666668</v>
          </cell>
          <cell r="G100">
            <v>-22.916666666666668</v>
          </cell>
          <cell r="H100">
            <v>-23.082846666666661</v>
          </cell>
          <cell r="I100">
            <v>-23.083889999999997</v>
          </cell>
          <cell r="J100">
            <v>-23.080380000000005</v>
          </cell>
          <cell r="K100">
            <v>-23.083549999999988</v>
          </cell>
          <cell r="L100">
            <v>-23.083020000000005</v>
          </cell>
          <cell r="M100">
            <v>-23.090669999999989</v>
          </cell>
          <cell r="N100">
            <v>-23.052270000000021</v>
          </cell>
          <cell r="O100">
            <v>-23.083333333333332</v>
          </cell>
          <cell r="P100">
            <v>-23.083333333333332</v>
          </cell>
          <cell r="Q100">
            <v>-23.083333333333332</v>
          </cell>
          <cell r="T100">
            <v>-224.43984</v>
          </cell>
          <cell r="X100">
            <v>-29.1</v>
          </cell>
          <cell r="Y100">
            <v>-253.53984</v>
          </cell>
          <cell r="AD100">
            <v>-253.53984</v>
          </cell>
        </row>
        <row r="101">
          <cell r="A101" t="str">
            <v>- TEM</v>
          </cell>
          <cell r="B101">
            <v>607178</v>
          </cell>
          <cell r="D101">
            <v>-62.003239999999991</v>
          </cell>
          <cell r="F101">
            <v>-5.1669999999999998</v>
          </cell>
          <cell r="G101">
            <v>-5.1669999999999998</v>
          </cell>
          <cell r="H101">
            <v>-5.1669999999999998</v>
          </cell>
          <cell r="I101">
            <v>-5.1669999999999998</v>
          </cell>
          <cell r="J101">
            <v>-5.1670000000000016</v>
          </cell>
          <cell r="K101">
            <v>-5.166999999999998</v>
          </cell>
          <cell r="L101">
            <v>-5.166999999999998</v>
          </cell>
          <cell r="M101">
            <v>-5.1672399999999996</v>
          </cell>
          <cell r="N101">
            <v>-5.1670000000000016</v>
          </cell>
          <cell r="O101">
            <v>-5.166666666666667</v>
          </cell>
          <cell r="P101">
            <v>-5.166666666666667</v>
          </cell>
          <cell r="Q101">
            <v>-5.166666666666667</v>
          </cell>
          <cell r="R101" t="str">
            <v xml:space="preserve"> </v>
          </cell>
          <cell r="T101">
            <v>-55.923000000000002</v>
          </cell>
          <cell r="X101">
            <v>-9.3149999999999995</v>
          </cell>
          <cell r="Y101">
            <v>-65.238</v>
          </cell>
          <cell r="AD101">
            <v>-65.238</v>
          </cell>
        </row>
        <row r="102">
          <cell r="A102" t="str">
            <v>Sous-total Research</v>
          </cell>
          <cell r="D102">
            <v>-338.64320000000004</v>
          </cell>
          <cell r="F102">
            <v>-28.083666666666666</v>
          </cell>
          <cell r="G102">
            <v>-28.083666666666666</v>
          </cell>
          <cell r="H102">
            <v>-28.249846666666663</v>
          </cell>
          <cell r="I102">
            <v>-28.250889999999998</v>
          </cell>
          <cell r="J102">
            <v>-28.247380000000007</v>
          </cell>
          <cell r="K102">
            <v>-28.250549999999986</v>
          </cell>
          <cell r="L102">
            <v>-28.250020000000003</v>
          </cell>
          <cell r="M102">
            <v>-28.257909999999988</v>
          </cell>
          <cell r="N102">
            <v>-28.219270000000023</v>
          </cell>
          <cell r="O102">
            <v>-28.25</v>
          </cell>
          <cell r="P102">
            <v>-28.25</v>
          </cell>
          <cell r="Q102">
            <v>-28.25</v>
          </cell>
          <cell r="T102">
            <v>-280.36284000000001</v>
          </cell>
          <cell r="V102">
            <v>0</v>
          </cell>
          <cell r="W102">
            <v>0</v>
          </cell>
          <cell r="X102">
            <v>-38.414999999999999</v>
          </cell>
          <cell r="Y102">
            <v>-318.77783999999997</v>
          </cell>
          <cell r="Z102">
            <v>0</v>
          </cell>
          <cell r="AC102">
            <v>0</v>
          </cell>
          <cell r="AD102">
            <v>-318.77783999999997</v>
          </cell>
        </row>
        <row r="103">
          <cell r="I103">
            <v>0</v>
          </cell>
          <cell r="L103">
            <v>0</v>
          </cell>
        </row>
        <row r="104">
          <cell r="A104" t="str">
            <v>ITOS (Commercial Costs)</v>
          </cell>
          <cell r="Z104">
            <v>82.636654459635594</v>
          </cell>
          <cell r="AD104">
            <v>82.636654459635594</v>
          </cell>
        </row>
        <row r="106">
          <cell r="A106" t="str">
            <v>Total Commercial Costs</v>
          </cell>
          <cell r="D106">
            <v>-353.77537000000007</v>
          </cell>
          <cell r="F106">
            <v>-28.621586666666666</v>
          </cell>
          <cell r="G106">
            <v>-28.169216666666667</v>
          </cell>
          <cell r="H106">
            <v>-28.451756666666665</v>
          </cell>
          <cell r="I106">
            <v>-27.299049999999998</v>
          </cell>
          <cell r="J106">
            <v>-28.806600000000007</v>
          </cell>
          <cell r="K106">
            <v>-29.687299999999986</v>
          </cell>
          <cell r="L106">
            <v>-28.842550000000003</v>
          </cell>
          <cell r="M106">
            <v>-30.640219999999985</v>
          </cell>
          <cell r="N106">
            <v>-28.269590000000022</v>
          </cell>
          <cell r="O106">
            <v>-30.1875</v>
          </cell>
          <cell r="P106">
            <v>-29.95</v>
          </cell>
          <cell r="Q106">
            <v>-34.85</v>
          </cell>
          <cell r="T106">
            <v>-288.63011</v>
          </cell>
          <cell r="V106">
            <v>0</v>
          </cell>
          <cell r="W106">
            <v>0</v>
          </cell>
          <cell r="X106">
            <v>-38.414999999999999</v>
          </cell>
          <cell r="Y106">
            <v>-327.04510999999997</v>
          </cell>
          <cell r="Z106">
            <v>82.636654459635594</v>
          </cell>
          <cell r="AC106">
            <v>0</v>
          </cell>
          <cell r="AD106">
            <v>-244.40845554036437</v>
          </cell>
        </row>
        <row r="108">
          <cell r="A108" t="str">
            <v>Office Costs</v>
          </cell>
        </row>
        <row r="110">
          <cell r="A110" t="str">
            <v>Stationery</v>
          </cell>
        </row>
        <row r="111">
          <cell r="A111" t="str">
            <v xml:space="preserve">- Fourn Admin </v>
          </cell>
          <cell r="B111" t="str">
            <v>606400/2 +707170</v>
          </cell>
          <cell r="D111">
            <v>-2.1656899999999997</v>
          </cell>
          <cell r="F111">
            <v>-1.2499999999999983E-2</v>
          </cell>
          <cell r="G111">
            <v>1.0000000000001674E-4</v>
          </cell>
          <cell r="H111">
            <v>-0.10092000000000001</v>
          </cell>
          <cell r="I111">
            <v>9.4199999999999839E-3</v>
          </cell>
          <cell r="J111">
            <v>1.1102230246251565E-16</v>
          </cell>
          <cell r="K111">
            <v>-0.6617900000000001</v>
          </cell>
          <cell r="L111">
            <v>0</v>
          </cell>
          <cell r="M111">
            <v>0</v>
          </cell>
          <cell r="N111">
            <v>0</v>
          </cell>
          <cell r="O111">
            <v>-0.7</v>
          </cell>
          <cell r="P111">
            <v>0</v>
          </cell>
          <cell r="Q111">
            <v>-0.7</v>
          </cell>
          <cell r="T111">
            <v>-0.9141999999999999</v>
          </cell>
          <cell r="X111">
            <v>0</v>
          </cell>
          <cell r="Y111">
            <v>-0.9141999999999999</v>
          </cell>
          <cell r="AD111">
            <v>-0.9141999999999999</v>
          </cell>
        </row>
        <row r="112">
          <cell r="A112" t="str">
            <v>- Fourn Admin (Marbeuf - Papier + Sanitaires)</v>
          </cell>
          <cell r="B112" t="str">
            <v>606400/2</v>
          </cell>
          <cell r="D112">
            <v>-2.378000000000001</v>
          </cell>
          <cell r="F112">
            <v>-0.16700000000000001</v>
          </cell>
          <cell r="G112">
            <v>-0.16700000000000001</v>
          </cell>
          <cell r="H112">
            <v>-0.16699999999999998</v>
          </cell>
          <cell r="I112">
            <v>-0.16700000000000004</v>
          </cell>
          <cell r="J112">
            <v>-0.16700000000000004</v>
          </cell>
          <cell r="K112">
            <v>-0.16699999999999993</v>
          </cell>
          <cell r="L112">
            <v>-0.16700000000000004</v>
          </cell>
          <cell r="M112">
            <v>-0.16700000000000004</v>
          </cell>
          <cell r="N112">
            <v>-0.16700000000000004</v>
          </cell>
          <cell r="O112">
            <v>-0.29166666666666696</v>
          </cell>
          <cell r="P112">
            <v>-0.29166666666666696</v>
          </cell>
          <cell r="Q112">
            <v>-0.29166666666666696</v>
          </cell>
          <cell r="R112" t="str">
            <v xml:space="preserve"> </v>
          </cell>
          <cell r="T112">
            <v>-1.37225</v>
          </cell>
          <cell r="Y112">
            <v>-1.37225</v>
          </cell>
          <cell r="AC112">
            <v>0.82160717139012795</v>
          </cell>
          <cell r="AD112">
            <v>-0.55064282860987201</v>
          </cell>
        </row>
        <row r="113">
          <cell r="A113" t="str">
            <v>- Fourn Bureau</v>
          </cell>
          <cell r="B113" t="str">
            <v>606402/2</v>
          </cell>
          <cell r="D113">
            <v>-0.32699999999999996</v>
          </cell>
          <cell r="F113">
            <v>0</v>
          </cell>
          <cell r="G113">
            <v>0</v>
          </cell>
          <cell r="H113">
            <v>0</v>
          </cell>
          <cell r="I113">
            <v>1.173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-1.5</v>
          </cell>
          <cell r="T113">
            <v>1.173</v>
          </cell>
          <cell r="Y113">
            <v>1.173</v>
          </cell>
          <cell r="AC113">
            <v>0.29268292682926816</v>
          </cell>
          <cell r="AD113">
            <v>1.4656829268292682</v>
          </cell>
        </row>
        <row r="114">
          <cell r="A114" t="str">
            <v>Sous-total Stationery</v>
          </cell>
          <cell r="D114">
            <v>-4.8706900000000006</v>
          </cell>
          <cell r="F114">
            <v>-0.17949999999999999</v>
          </cell>
          <cell r="G114">
            <v>-0.16689999999999999</v>
          </cell>
          <cell r="H114">
            <v>-0.26791999999999999</v>
          </cell>
          <cell r="I114">
            <v>1.01542</v>
          </cell>
          <cell r="J114">
            <v>-0.16699999999999993</v>
          </cell>
          <cell r="K114">
            <v>-0.82879000000000003</v>
          </cell>
          <cell r="L114">
            <v>-0.16700000000000004</v>
          </cell>
          <cell r="M114">
            <v>-0.16700000000000004</v>
          </cell>
          <cell r="N114">
            <v>-0.16700000000000004</v>
          </cell>
          <cell r="O114">
            <v>-0.99166666666666692</v>
          </cell>
          <cell r="P114">
            <v>-0.29166666666666696</v>
          </cell>
          <cell r="Q114">
            <v>-2.4916666666666671</v>
          </cell>
          <cell r="T114">
            <v>-1.1134499999999998</v>
          </cell>
          <cell r="V114">
            <v>0</v>
          </cell>
          <cell r="W114">
            <v>0</v>
          </cell>
          <cell r="X114">
            <v>0</v>
          </cell>
          <cell r="Y114">
            <v>-1.1134499999999998</v>
          </cell>
          <cell r="Z114">
            <v>0</v>
          </cell>
          <cell r="AC114">
            <v>1.1142900982193962</v>
          </cell>
          <cell r="AD114">
            <v>8.4009821939634577E-4</v>
          </cell>
        </row>
        <row r="116">
          <cell r="A116" t="str">
            <v>Postage &amp; Couriers</v>
          </cell>
        </row>
        <row r="117">
          <cell r="A117" t="str">
            <v>- Coursiers</v>
          </cell>
          <cell r="B117">
            <v>624210</v>
          </cell>
          <cell r="D117">
            <v>-0.67608000000000013</v>
          </cell>
          <cell r="F117">
            <v>0</v>
          </cell>
          <cell r="G117">
            <v>-2.9059999999999999E-2</v>
          </cell>
          <cell r="H117">
            <v>-3.5279999999999992E-2</v>
          </cell>
          <cell r="I117">
            <v>0.43825999999999998</v>
          </cell>
          <cell r="J117">
            <v>0</v>
          </cell>
          <cell r="K117">
            <v>0</v>
          </cell>
          <cell r="L117">
            <v>0</v>
          </cell>
          <cell r="M117">
            <v>-0.8</v>
          </cell>
          <cell r="N117">
            <v>0</v>
          </cell>
          <cell r="O117">
            <v>-8.3333333333333329E-2</v>
          </cell>
          <cell r="P117">
            <v>-8.3333333333333329E-2</v>
          </cell>
          <cell r="Q117">
            <v>-8.3333333333333329E-2</v>
          </cell>
          <cell r="T117">
            <v>-0.44372</v>
          </cell>
          <cell r="Y117">
            <v>-0.44372</v>
          </cell>
          <cell r="AD117">
            <v>-0.44372</v>
          </cell>
        </row>
        <row r="118">
          <cell r="A118" t="str">
            <v>- Frais Postaux</v>
          </cell>
          <cell r="B118">
            <v>626000</v>
          </cell>
          <cell r="D118">
            <v>-0.60053000000000001</v>
          </cell>
          <cell r="F118">
            <v>-0.13</v>
          </cell>
          <cell r="G118">
            <v>-0.13179000000000002</v>
          </cell>
          <cell r="H118">
            <v>-0.14999999999999997</v>
          </cell>
          <cell r="I118">
            <v>0.42208999999999997</v>
          </cell>
          <cell r="J118">
            <v>-0.15063000000000001</v>
          </cell>
          <cell r="K118">
            <v>2.5760000000000005E-2</v>
          </cell>
          <cell r="L118">
            <v>-0.13</v>
          </cell>
          <cell r="M118">
            <v>-3.999999999999998E-2</v>
          </cell>
          <cell r="N118">
            <v>-1.596000000000003E-2</v>
          </cell>
          <cell r="O118">
            <v>-0.1</v>
          </cell>
          <cell r="P118">
            <v>-0.1</v>
          </cell>
          <cell r="Q118">
            <v>-0.1</v>
          </cell>
          <cell r="T118">
            <v>-0.53017000000000003</v>
          </cell>
          <cell r="X118">
            <v>0</v>
          </cell>
          <cell r="Y118">
            <v>-0.53017000000000003</v>
          </cell>
          <cell r="AD118">
            <v>-0.53017000000000003</v>
          </cell>
        </row>
        <row r="119">
          <cell r="A119" t="str">
            <v>Sous-total Postage &amp; Couriers</v>
          </cell>
          <cell r="D119">
            <v>-1.2766100000000002</v>
          </cell>
          <cell r="F119">
            <v>-0.13</v>
          </cell>
          <cell r="G119">
            <v>-0.16085000000000002</v>
          </cell>
          <cell r="H119">
            <v>-0.18527999999999994</v>
          </cell>
          <cell r="I119">
            <v>0.86034999999999995</v>
          </cell>
          <cell r="J119">
            <v>-0.15063000000000001</v>
          </cell>
          <cell r="K119">
            <v>2.5760000000000005E-2</v>
          </cell>
          <cell r="L119">
            <v>-0.13</v>
          </cell>
          <cell r="M119">
            <v>-0.84000000000000008</v>
          </cell>
          <cell r="N119">
            <v>-1.596000000000003E-2</v>
          </cell>
          <cell r="O119">
            <v>-0.18333333333333335</v>
          </cell>
          <cell r="P119">
            <v>-0.18333333333333335</v>
          </cell>
          <cell r="Q119">
            <v>-0.18333333333333335</v>
          </cell>
          <cell r="T119">
            <v>-0.97389000000000003</v>
          </cell>
          <cell r="V119">
            <v>0</v>
          </cell>
          <cell r="W119">
            <v>0</v>
          </cell>
          <cell r="X119">
            <v>0</v>
          </cell>
          <cell r="Y119">
            <v>-0.97389000000000003</v>
          </cell>
          <cell r="Z119">
            <v>0</v>
          </cell>
          <cell r="AC119">
            <v>0</v>
          </cell>
          <cell r="AD119">
            <v>-0.97389000000000003</v>
          </cell>
        </row>
        <row r="121">
          <cell r="A121" t="str">
            <v>Office Equipment Maintenance</v>
          </cell>
        </row>
        <row r="122">
          <cell r="A122" t="str">
            <v>Entretien reparation / maintenance locaux</v>
          </cell>
          <cell r="B122">
            <v>615600</v>
          </cell>
          <cell r="D122">
            <v>-1.673</v>
          </cell>
          <cell r="F122">
            <v>-0.58299999999999996</v>
          </cell>
          <cell r="G122">
            <v>-0.59000000000000008</v>
          </cell>
          <cell r="K122">
            <v>0</v>
          </cell>
          <cell r="N122">
            <v>0</v>
          </cell>
          <cell r="Q122">
            <v>-0.5</v>
          </cell>
          <cell r="T122">
            <v>-1.173</v>
          </cell>
          <cell r="Y122">
            <v>-1.173</v>
          </cell>
          <cell r="AD122">
            <v>-1.173</v>
          </cell>
        </row>
        <row r="123">
          <cell r="A123" t="str">
            <v>Transport divers</v>
          </cell>
          <cell r="B123">
            <v>624211</v>
          </cell>
          <cell r="D123">
            <v>0</v>
          </cell>
          <cell r="F123">
            <v>0</v>
          </cell>
          <cell r="G123">
            <v>0</v>
          </cell>
          <cell r="K123">
            <v>0</v>
          </cell>
          <cell r="N123">
            <v>0</v>
          </cell>
          <cell r="T123">
            <v>0</v>
          </cell>
          <cell r="Y123">
            <v>0</v>
          </cell>
          <cell r="AD123">
            <v>0</v>
          </cell>
        </row>
        <row r="124">
          <cell r="A124" t="str">
            <v>Sous-total Office Equipment Maintenance</v>
          </cell>
          <cell r="D124">
            <v>-1.673</v>
          </cell>
          <cell r="F124">
            <v>-0.58299999999999996</v>
          </cell>
          <cell r="G124">
            <v>-0.59000000000000008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-0.5</v>
          </cell>
          <cell r="T124">
            <v>-1.173</v>
          </cell>
          <cell r="V124">
            <v>0</v>
          </cell>
          <cell r="W124">
            <v>0</v>
          </cell>
          <cell r="X124">
            <v>0</v>
          </cell>
          <cell r="Y124">
            <v>-1.173</v>
          </cell>
          <cell r="Z124">
            <v>0</v>
          </cell>
          <cell r="AB124">
            <v>0</v>
          </cell>
          <cell r="AC124">
            <v>0</v>
          </cell>
          <cell r="AD124">
            <v>-1.173</v>
          </cell>
        </row>
        <row r="126">
          <cell r="A126" t="str">
            <v>Other Office Costs</v>
          </cell>
          <cell r="I126">
            <v>0</v>
          </cell>
          <cell r="L126">
            <v>0</v>
          </cell>
        </row>
        <row r="127">
          <cell r="A127" t="str">
            <v>- Documentation Générale</v>
          </cell>
          <cell r="B127">
            <v>618100</v>
          </cell>
          <cell r="D127">
            <v>-4.8308999999999989</v>
          </cell>
          <cell r="F127">
            <v>-6.9409999999999999E-2</v>
          </cell>
          <cell r="G127">
            <v>-6.6739999999999994E-2</v>
          </cell>
          <cell r="H127">
            <v>-6.5350000000000019E-2</v>
          </cell>
          <cell r="I127">
            <v>-0.73217999999999994</v>
          </cell>
          <cell r="J127">
            <v>-6.9410000000000083E-2</v>
          </cell>
          <cell r="K127">
            <v>-0.57006000000000001</v>
          </cell>
          <cell r="L127">
            <v>-0.23601000000000005</v>
          </cell>
          <cell r="M127">
            <v>-7.4259999999999993E-2</v>
          </cell>
          <cell r="N127">
            <v>-0.73686999999999969</v>
          </cell>
          <cell r="O127">
            <v>-0.73686999999999969</v>
          </cell>
          <cell r="P127">
            <v>-0.73686999999999969</v>
          </cell>
          <cell r="Q127">
            <v>-0.73686999999999969</v>
          </cell>
          <cell r="T127">
            <v>-3.2283900000000001</v>
          </cell>
          <cell r="Y127">
            <v>-3.2283900000000001</v>
          </cell>
          <cell r="AD127">
            <v>-3.2283900000000001</v>
          </cell>
        </row>
        <row r="128">
          <cell r="A128" t="str">
            <v>- CFE / CVAE (ex.  TP)</v>
          </cell>
          <cell r="B128">
            <v>635112</v>
          </cell>
          <cell r="D128">
            <v>-110.07800000000002</v>
          </cell>
          <cell r="F128">
            <v>-9.1666666666666661</v>
          </cell>
          <cell r="G128">
            <v>-9.1666666666666661</v>
          </cell>
          <cell r="H128">
            <v>-9.1666666666666679</v>
          </cell>
          <cell r="I128">
            <v>-9.1679999999999993</v>
          </cell>
          <cell r="J128">
            <v>-9.1670000000000016</v>
          </cell>
          <cell r="K128">
            <v>-9.1670000000000016</v>
          </cell>
          <cell r="L128">
            <v>-9.2419999999999973</v>
          </cell>
          <cell r="M128">
            <v>-9.1670000000000016</v>
          </cell>
          <cell r="N128">
            <v>-9.1670000000000016</v>
          </cell>
          <cell r="O128">
            <v>-9.1666666666666661</v>
          </cell>
          <cell r="P128">
            <v>-9.1666666666666661</v>
          </cell>
          <cell r="Q128">
            <v>-9.1666666666666661</v>
          </cell>
          <cell r="T128">
            <v>-101.40785</v>
          </cell>
          <cell r="U128">
            <v>-7.4999999999999997E-2</v>
          </cell>
          <cell r="V128">
            <v>0</v>
          </cell>
          <cell r="X128">
            <v>0</v>
          </cell>
          <cell r="Y128">
            <v>-101.48285</v>
          </cell>
          <cell r="AD128">
            <v>-101.48285</v>
          </cell>
        </row>
        <row r="129">
          <cell r="A129" t="str">
            <v>- TVTS</v>
          </cell>
          <cell r="B129">
            <v>635140</v>
          </cell>
          <cell r="D129">
            <v>-5.3040000000000003</v>
          </cell>
          <cell r="F129">
            <v>-0.442</v>
          </cell>
          <cell r="G129">
            <v>-0.442</v>
          </cell>
          <cell r="H129">
            <v>-0.44200000000000006</v>
          </cell>
          <cell r="I129">
            <v>-0.44199999999999995</v>
          </cell>
          <cell r="J129">
            <v>-0.44199999999999995</v>
          </cell>
          <cell r="K129">
            <v>-0.44200000000000017</v>
          </cell>
          <cell r="L129">
            <v>-0.44199999999999973</v>
          </cell>
          <cell r="M129">
            <v>-0.44200000000000017</v>
          </cell>
          <cell r="N129">
            <v>-0.44200000000000017</v>
          </cell>
          <cell r="O129">
            <v>-0.442</v>
          </cell>
          <cell r="P129">
            <v>-0.442</v>
          </cell>
          <cell r="Q129">
            <v>-0.442</v>
          </cell>
          <cell r="T129">
            <v>-4.8620000000000001</v>
          </cell>
          <cell r="X129">
            <v>0</v>
          </cell>
          <cell r="Y129">
            <v>-4.8620000000000001</v>
          </cell>
          <cell r="AD129">
            <v>-4.8620000000000001</v>
          </cell>
        </row>
        <row r="130">
          <cell r="A130" t="str">
            <v>- Autres Droits</v>
          </cell>
          <cell r="B130">
            <v>635800</v>
          </cell>
          <cell r="D130">
            <v>-0.11899999999999999</v>
          </cell>
          <cell r="F130">
            <v>0</v>
          </cell>
          <cell r="G130">
            <v>0</v>
          </cell>
          <cell r="H130">
            <v>0</v>
          </cell>
          <cell r="I130">
            <v>-0.26900000000000002</v>
          </cell>
          <cell r="J130">
            <v>0</v>
          </cell>
          <cell r="K130">
            <v>0</v>
          </cell>
          <cell r="L130">
            <v>0.15000000000000002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T130">
            <v>-6.9000000000000006E-2</v>
          </cell>
          <cell r="Y130">
            <v>-6.9000000000000006E-2</v>
          </cell>
          <cell r="AD130">
            <v>-6.9000000000000006E-2</v>
          </cell>
        </row>
        <row r="131">
          <cell r="A131" t="str">
            <v>- Organic</v>
          </cell>
          <cell r="B131">
            <v>637100</v>
          </cell>
          <cell r="D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T131">
            <v>0</v>
          </cell>
          <cell r="Y131">
            <v>0</v>
          </cell>
          <cell r="AD131">
            <v>0</v>
          </cell>
        </row>
        <row r="132">
          <cell r="A132" t="str">
            <v>- Autres charges Marbeuf (Mobilier / Capex)</v>
          </cell>
          <cell r="B132">
            <v>658201</v>
          </cell>
          <cell r="D132">
            <v>-4.371999999999999</v>
          </cell>
          <cell r="F132">
            <v>-0.33299999999999996</v>
          </cell>
          <cell r="G132">
            <v>-0.33299999999999996</v>
          </cell>
          <cell r="H132">
            <v>-0.33299999999999996</v>
          </cell>
          <cell r="I132">
            <v>-0.33299999999999996</v>
          </cell>
          <cell r="J132">
            <v>-0.33300000000000018</v>
          </cell>
          <cell r="K132">
            <v>-0.33299999999999996</v>
          </cell>
          <cell r="L132">
            <v>-0.33300000000000018</v>
          </cell>
          <cell r="M132">
            <v>-0.3329999999999993</v>
          </cell>
          <cell r="N132">
            <v>-0.33300000000000018</v>
          </cell>
          <cell r="O132">
            <v>-0.45833333333333298</v>
          </cell>
          <cell r="P132">
            <v>-0.45833333333333298</v>
          </cell>
          <cell r="Q132">
            <v>-0.45833333333333298</v>
          </cell>
          <cell r="T132">
            <v>-2.7426733333333333</v>
          </cell>
          <cell r="X132">
            <v>0</v>
          </cell>
          <cell r="Y132">
            <v>-2.7426733333333333</v>
          </cell>
          <cell r="AD132">
            <v>-2.7426733333333333</v>
          </cell>
        </row>
        <row r="133">
          <cell r="A133" t="str">
            <v>- Charges divers de gestion</v>
          </cell>
          <cell r="B133">
            <v>658000</v>
          </cell>
          <cell r="D133">
            <v>-7.8900000000000012E-3</v>
          </cell>
          <cell r="F133">
            <v>-1.2700000000000001E-3</v>
          </cell>
          <cell r="G133">
            <v>-2.5100000000000001E-3</v>
          </cell>
          <cell r="H133">
            <v>-8.8000000000000014E-4</v>
          </cell>
          <cell r="I133">
            <v>-1.0000000000000026E-4</v>
          </cell>
          <cell r="J133">
            <v>-1.9299999999999994E-3</v>
          </cell>
          <cell r="K133">
            <v>0</v>
          </cell>
          <cell r="L133">
            <v>0</v>
          </cell>
          <cell r="M133">
            <v>0</v>
          </cell>
          <cell r="N133">
            <v>-1.1999999999999997E-3</v>
          </cell>
          <cell r="T133">
            <v>-1.4590000000000001E-2</v>
          </cell>
          <cell r="U133">
            <v>-1.72E-3</v>
          </cell>
          <cell r="Y133">
            <v>-1.6310000000000002E-2</v>
          </cell>
          <cell r="AD133">
            <v>-1.6310000000000002E-2</v>
          </cell>
        </row>
        <row r="134">
          <cell r="A134" t="str">
            <v>- Dot Amort Mobilier (Marbeuf)</v>
          </cell>
          <cell r="B134">
            <v>681124</v>
          </cell>
          <cell r="D134">
            <v>-3.4271899999999995</v>
          </cell>
          <cell r="F134">
            <v>-0.2898</v>
          </cell>
          <cell r="G134">
            <v>-0.26177</v>
          </cell>
          <cell r="H134">
            <v>-0.28981999999999997</v>
          </cell>
          <cell r="I134">
            <v>-0.28044999999999998</v>
          </cell>
          <cell r="J134">
            <v>-0.28981000000000012</v>
          </cell>
          <cell r="K134">
            <v>-0.28045999999999993</v>
          </cell>
          <cell r="L134">
            <v>-0.28980000000000006</v>
          </cell>
          <cell r="M134">
            <v>-0.28981999999999974</v>
          </cell>
          <cell r="N134">
            <v>-0.28046000000000015</v>
          </cell>
          <cell r="O134">
            <v>-0.29166666666666669</v>
          </cell>
          <cell r="P134">
            <v>-0.29166666666666669</v>
          </cell>
          <cell r="Q134">
            <v>-0.29166666666666669</v>
          </cell>
          <cell r="T134">
            <v>-3.1224699999999999</v>
          </cell>
          <cell r="X134">
            <v>0</v>
          </cell>
          <cell r="Y134">
            <v>-3.1224699999999999</v>
          </cell>
          <cell r="AD134">
            <v>-3.1224699999999999</v>
          </cell>
        </row>
        <row r="135">
          <cell r="A135" t="str">
            <v>- Dot Logiciel (Marbeuf)</v>
          </cell>
          <cell r="D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Y135">
            <v>0</v>
          </cell>
          <cell r="AD135">
            <v>0</v>
          </cell>
        </row>
        <row r="136">
          <cell r="A136" t="str">
            <v>- Other</v>
          </cell>
          <cell r="D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Y136">
            <v>0</v>
          </cell>
          <cell r="AD136">
            <v>0</v>
          </cell>
        </row>
        <row r="137">
          <cell r="A137" t="str">
            <v>Sous-total Other Office Costs</v>
          </cell>
          <cell r="D137">
            <v>-128.13898000000003</v>
          </cell>
          <cell r="F137">
            <v>-10.302146666666665</v>
          </cell>
          <cell r="G137">
            <v>-10.272686666666665</v>
          </cell>
          <cell r="H137">
            <v>-10.29771666666667</v>
          </cell>
          <cell r="I137">
            <v>-11.224729999999999</v>
          </cell>
          <cell r="J137">
            <v>-10.303150000000002</v>
          </cell>
          <cell r="K137">
            <v>-10.792520000000001</v>
          </cell>
          <cell r="L137">
            <v>-10.392809999999997</v>
          </cell>
          <cell r="M137">
            <v>-10.306080000000001</v>
          </cell>
          <cell r="N137">
            <v>-10.960530000000002</v>
          </cell>
          <cell r="O137">
            <v>-11.095536666666664</v>
          </cell>
          <cell r="P137">
            <v>-11.095536666666664</v>
          </cell>
          <cell r="Q137">
            <v>-11.095536666666664</v>
          </cell>
          <cell r="T137">
            <v>-115.44697333333332</v>
          </cell>
          <cell r="V137">
            <v>0</v>
          </cell>
          <cell r="W137">
            <v>0</v>
          </cell>
          <cell r="X137">
            <v>0</v>
          </cell>
          <cell r="Y137">
            <v>-115.52369333333334</v>
          </cell>
          <cell r="Z137">
            <v>0</v>
          </cell>
          <cell r="AC137">
            <v>0</v>
          </cell>
          <cell r="AD137">
            <v>-115.52369333333334</v>
          </cell>
        </row>
        <row r="139">
          <cell r="A139" t="str">
            <v>ITOS (Office Costs)</v>
          </cell>
          <cell r="Z139">
            <v>19.30146313110944</v>
          </cell>
          <cell r="AD139">
            <v>19.30146313110944</v>
          </cell>
        </row>
        <row r="141">
          <cell r="A141" t="str">
            <v>Total Office Costs</v>
          </cell>
          <cell r="D141">
            <v>-135.95928000000004</v>
          </cell>
          <cell r="F141">
            <v>-11.194646666666666</v>
          </cell>
          <cell r="G141">
            <v>-11.190436666666665</v>
          </cell>
          <cell r="H141">
            <v>-10.75091666666667</v>
          </cell>
          <cell r="I141">
            <v>-9.3489599999999982</v>
          </cell>
          <cell r="J141">
            <v>-10.620780000000002</v>
          </cell>
          <cell r="K141">
            <v>-11.595550000000001</v>
          </cell>
          <cell r="L141">
            <v>-10.689809999999998</v>
          </cell>
          <cell r="M141">
            <v>-11.313080000000001</v>
          </cell>
          <cell r="N141">
            <v>-11.143490000000002</v>
          </cell>
          <cell r="O141">
            <v>-12.270536666666665</v>
          </cell>
          <cell r="P141">
            <v>-11.570536666666666</v>
          </cell>
          <cell r="Q141">
            <v>-14.270536666666665</v>
          </cell>
          <cell r="T141">
            <v>-118.70731333333332</v>
          </cell>
          <cell r="V141">
            <v>0</v>
          </cell>
          <cell r="W141">
            <v>0</v>
          </cell>
          <cell r="X141">
            <v>0</v>
          </cell>
          <cell r="Y141">
            <v>-118.78403333333334</v>
          </cell>
          <cell r="Z141">
            <v>19.30146313110944</v>
          </cell>
          <cell r="AB141">
            <v>0</v>
          </cell>
          <cell r="AC141">
            <v>1.1142900982193962</v>
          </cell>
          <cell r="AD141">
            <v>-98.368280104004498</v>
          </cell>
        </row>
        <row r="142">
          <cell r="I142">
            <v>0</v>
          </cell>
          <cell r="L142">
            <v>0</v>
          </cell>
        </row>
        <row r="143">
          <cell r="A143" t="str">
            <v>Communication &amp; IT Costs</v>
          </cell>
        </row>
        <row r="145">
          <cell r="A145" t="str">
            <v>Voice / Fax Communication</v>
          </cell>
          <cell r="B145">
            <v>626110</v>
          </cell>
          <cell r="D145">
            <v>-7.4082199999999991</v>
          </cell>
          <cell r="F145">
            <v>-0.7</v>
          </cell>
          <cell r="G145">
            <v>-1.2</v>
          </cell>
          <cell r="H145">
            <v>-0.70000000000000018</v>
          </cell>
          <cell r="I145">
            <v>0.63280000000000003</v>
          </cell>
          <cell r="J145">
            <v>-0.69999999999999973</v>
          </cell>
          <cell r="K145">
            <v>-0.75255999999999901</v>
          </cell>
          <cell r="L145">
            <v>-0.52223999999999959</v>
          </cell>
          <cell r="M145">
            <v>-0.70000000000000018</v>
          </cell>
          <cell r="N145">
            <v>-0.71621999999999986</v>
          </cell>
          <cell r="O145">
            <v>-0.7</v>
          </cell>
          <cell r="P145">
            <v>-0.7</v>
          </cell>
          <cell r="Q145">
            <v>-0.65</v>
          </cell>
          <cell r="T145">
            <v>-4.5538399999999992</v>
          </cell>
          <cell r="X145">
            <v>-1.4</v>
          </cell>
          <cell r="Y145">
            <v>-5.9538399999999996</v>
          </cell>
          <cell r="AD145">
            <v>-5.9538399999999996</v>
          </cell>
        </row>
        <row r="146">
          <cell r="A146" t="str">
            <v>Voice / Fax Communication (Marbeuf)</v>
          </cell>
          <cell r="B146">
            <v>626110</v>
          </cell>
          <cell r="D146">
            <v>-6.8789999999999996</v>
          </cell>
          <cell r="F146">
            <v>-0.54200000000000004</v>
          </cell>
          <cell r="G146">
            <v>-0.54200000000000004</v>
          </cell>
          <cell r="H146">
            <v>-0.54200000000000004</v>
          </cell>
          <cell r="I146">
            <v>-0.54200000000000004</v>
          </cell>
          <cell r="J146">
            <v>-0.54199999999999982</v>
          </cell>
          <cell r="K146">
            <v>-0.54200000000000026</v>
          </cell>
          <cell r="L146">
            <v>-0.54200000000000026</v>
          </cell>
          <cell r="M146">
            <v>-0.54199999999999982</v>
          </cell>
          <cell r="N146">
            <v>-0.54199999999999982</v>
          </cell>
          <cell r="O146">
            <v>-0.66700000000000004</v>
          </cell>
          <cell r="P146">
            <v>-0.66700000000000004</v>
          </cell>
          <cell r="Q146">
            <v>-0.66700000000000004</v>
          </cell>
          <cell r="R146" t="str">
            <v xml:space="preserve"> </v>
          </cell>
          <cell r="T146">
            <v>-4.6474299999999999</v>
          </cell>
          <cell r="X146">
            <v>0</v>
          </cell>
          <cell r="Y146">
            <v>-4.6474299999999999</v>
          </cell>
          <cell r="AC146">
            <v>0.35902901910506879</v>
          </cell>
          <cell r="AD146">
            <v>-4.2884009808949308</v>
          </cell>
        </row>
        <row r="147"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</row>
        <row r="148">
          <cell r="A148" t="str">
            <v>Data Communication (Internet)</v>
          </cell>
          <cell r="B148">
            <v>626400</v>
          </cell>
          <cell r="D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T148">
            <v>0</v>
          </cell>
          <cell r="Y148">
            <v>0</v>
          </cell>
          <cell r="AD148">
            <v>0</v>
          </cell>
        </row>
        <row r="149">
          <cell r="A149" t="str">
            <v>Data Communication (Internet - Marbeuf)</v>
          </cell>
          <cell r="B149">
            <v>626400</v>
          </cell>
          <cell r="D149">
            <v>-0.99733333333333329</v>
          </cell>
          <cell r="F149">
            <v>-8.3000000000000004E-2</v>
          </cell>
          <cell r="G149">
            <v>-8.3000000000000004E-2</v>
          </cell>
          <cell r="H149">
            <v>-8.299999999999999E-2</v>
          </cell>
          <cell r="I149">
            <v>-8.3000000000000018E-2</v>
          </cell>
          <cell r="J149">
            <v>-8.3000000000000018E-2</v>
          </cell>
          <cell r="K149">
            <v>-8.2999999999999963E-2</v>
          </cell>
          <cell r="L149">
            <v>-8.3000000000000074E-2</v>
          </cell>
          <cell r="M149">
            <v>-8.2999999999999963E-2</v>
          </cell>
          <cell r="N149">
            <v>-8.2999999999999963E-2</v>
          </cell>
          <cell r="O149">
            <v>-8.3333333333333329E-2</v>
          </cell>
          <cell r="P149">
            <v>-8.3333333333333329E-2</v>
          </cell>
          <cell r="Q149">
            <v>-8.3666666666666598E-2</v>
          </cell>
          <cell r="T149">
            <v>0</v>
          </cell>
          <cell r="X149">
            <v>0</v>
          </cell>
          <cell r="Y149">
            <v>0</v>
          </cell>
          <cell r="AD149">
            <v>0</v>
          </cell>
        </row>
        <row r="150">
          <cell r="I150">
            <v>0</v>
          </cell>
          <cell r="J150">
            <v>0</v>
          </cell>
          <cell r="K150">
            <v>0</v>
          </cell>
          <cell r="L150">
            <v>0</v>
          </cell>
        </row>
        <row r="151">
          <cell r="A151" t="str">
            <v>Other IT Costs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</row>
        <row r="152">
          <cell r="A152" t="str">
            <v>- Photocopies (Marbeuf)</v>
          </cell>
          <cell r="B152" t="str">
            <v>606403/2</v>
          </cell>
          <cell r="D152">
            <v>-1.5</v>
          </cell>
          <cell r="F152">
            <v>-0.1</v>
          </cell>
          <cell r="G152">
            <v>-0.1</v>
          </cell>
          <cell r="H152">
            <v>-0.10000000000000003</v>
          </cell>
          <cell r="I152">
            <v>-9.9999999999999978E-2</v>
          </cell>
          <cell r="J152">
            <v>-9.9999999999999978E-2</v>
          </cell>
          <cell r="K152">
            <v>-0.10000000000000009</v>
          </cell>
          <cell r="L152">
            <v>-9.9999999999999978E-2</v>
          </cell>
          <cell r="M152">
            <v>-9.9999999999999978E-2</v>
          </cell>
          <cell r="N152">
            <v>-9.9999999999999978E-2</v>
          </cell>
          <cell r="O152">
            <v>-0.2</v>
          </cell>
          <cell r="P152">
            <v>-0.2</v>
          </cell>
          <cell r="Q152">
            <v>-0.2</v>
          </cell>
          <cell r="T152">
            <v>-1.2908299999999999</v>
          </cell>
          <cell r="X152">
            <v>0</v>
          </cell>
          <cell r="Y152">
            <v>-1.2908299999999999</v>
          </cell>
          <cell r="AC152">
            <v>0.53854325227559041</v>
          </cell>
          <cell r="AD152">
            <v>-0.75228674772440951</v>
          </cell>
        </row>
        <row r="153">
          <cell r="A153" t="str">
            <v>- Fourn Informatique</v>
          </cell>
          <cell r="B153">
            <v>606420</v>
          </cell>
          <cell r="D153">
            <v>-2.4580000000000002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-1</v>
          </cell>
          <cell r="M153">
            <v>0</v>
          </cell>
          <cell r="N153">
            <v>-0.75800000000000001</v>
          </cell>
          <cell r="O153">
            <v>0</v>
          </cell>
          <cell r="P153">
            <v>0</v>
          </cell>
          <cell r="Q153">
            <v>-0.7</v>
          </cell>
          <cell r="T153">
            <v>-0.34300000000000003</v>
          </cell>
          <cell r="X153">
            <v>-1.5</v>
          </cell>
          <cell r="Y153">
            <v>-1.843</v>
          </cell>
          <cell r="AD153">
            <v>-1.843</v>
          </cell>
        </row>
        <row r="154">
          <cell r="A154" t="str">
            <v>- Location Photopieur (Marbeuf)</v>
          </cell>
          <cell r="B154" t="str">
            <v>613500/2</v>
          </cell>
          <cell r="D154">
            <v>-8.1959999999999997</v>
          </cell>
          <cell r="F154">
            <v>-0.63300000000000001</v>
          </cell>
          <cell r="G154">
            <v>-0.63300000000000001</v>
          </cell>
          <cell r="H154">
            <v>-0.63300000000000001</v>
          </cell>
          <cell r="I154">
            <v>-0.63300000000000001</v>
          </cell>
          <cell r="J154">
            <v>-0.63300000000000001</v>
          </cell>
          <cell r="K154">
            <v>-0.63300000000000001</v>
          </cell>
          <cell r="L154">
            <v>-0.63300000000000001</v>
          </cell>
          <cell r="M154">
            <v>-0.63300000000000001</v>
          </cell>
          <cell r="N154">
            <v>-0.63300000000000001</v>
          </cell>
          <cell r="O154">
            <v>-0.83299999999999996</v>
          </cell>
          <cell r="P154">
            <v>-0.83299999999999996</v>
          </cell>
          <cell r="Q154">
            <v>-0.83299999999999996</v>
          </cell>
          <cell r="T154">
            <v>-6.95</v>
          </cell>
          <cell r="X154">
            <v>0</v>
          </cell>
          <cell r="Y154">
            <v>-6.95</v>
          </cell>
          <cell r="AD154">
            <v>-6.95</v>
          </cell>
        </row>
        <row r="155">
          <cell r="A155" t="str">
            <v>- Autres charges Marbeuf (IT / Capex)</v>
          </cell>
          <cell r="B155">
            <v>658201</v>
          </cell>
          <cell r="D155">
            <v>-3.375</v>
          </cell>
          <cell r="F155">
            <v>-0.25</v>
          </cell>
          <cell r="G155">
            <v>-0.25</v>
          </cell>
          <cell r="H155">
            <v>-0.25</v>
          </cell>
          <cell r="I155">
            <v>-0.25</v>
          </cell>
          <cell r="J155">
            <v>-0.25</v>
          </cell>
          <cell r="K155">
            <v>-0.25</v>
          </cell>
          <cell r="L155">
            <v>-0.25</v>
          </cell>
          <cell r="M155">
            <v>-0.25</v>
          </cell>
          <cell r="N155">
            <v>-0.25</v>
          </cell>
          <cell r="O155">
            <v>-0.375</v>
          </cell>
          <cell r="P155">
            <v>-0.375</v>
          </cell>
          <cell r="Q155">
            <v>-0.375</v>
          </cell>
          <cell r="T155">
            <v>-0.91666666666666663</v>
          </cell>
          <cell r="X155">
            <v>0</v>
          </cell>
          <cell r="Y155">
            <v>-0.91666666666666663</v>
          </cell>
          <cell r="AD155">
            <v>-0.91666666666666663</v>
          </cell>
        </row>
        <row r="156">
          <cell r="A156" t="str">
            <v>- Dot Amort Immo Informatique</v>
          </cell>
          <cell r="B156">
            <v>681122</v>
          </cell>
          <cell r="D156">
            <v>-9.5029499999999985</v>
          </cell>
          <cell r="F156">
            <v>-0.92864000000000002</v>
          </cell>
          <cell r="G156">
            <v>-0.83873999999999993</v>
          </cell>
          <cell r="H156">
            <v>-0.92861000000000016</v>
          </cell>
          <cell r="I156">
            <v>-0.88379999999999992</v>
          </cell>
          <cell r="J156">
            <v>-0.82347999999999999</v>
          </cell>
          <cell r="K156">
            <v>-0.6020500000000002</v>
          </cell>
          <cell r="L156">
            <v>-0.62209999999999965</v>
          </cell>
          <cell r="M156">
            <v>-0.62209000000000003</v>
          </cell>
          <cell r="N156">
            <v>-0.60203999999999969</v>
          </cell>
          <cell r="O156">
            <v>-0.88379999999999992</v>
          </cell>
          <cell r="P156">
            <v>-0.88379999999999992</v>
          </cell>
          <cell r="Q156">
            <v>-0.88379999999999992</v>
          </cell>
          <cell r="T156">
            <v>-8.46373</v>
          </cell>
          <cell r="X156">
            <v>0</v>
          </cell>
          <cell r="Y156">
            <v>-8.46373</v>
          </cell>
          <cell r="AD156">
            <v>-8.46373</v>
          </cell>
        </row>
        <row r="157">
          <cell r="A157" t="str">
            <v>Sous-total other IT Costs</v>
          </cell>
          <cell r="D157">
            <v>-25.031949999999998</v>
          </cell>
          <cell r="F157">
            <v>-1.91164</v>
          </cell>
          <cell r="G157">
            <v>-1.8217399999999999</v>
          </cell>
          <cell r="H157">
            <v>-1.9116100000000003</v>
          </cell>
          <cell r="I157">
            <v>-1.8668</v>
          </cell>
          <cell r="J157">
            <v>-1.8064800000000001</v>
          </cell>
          <cell r="K157">
            <v>-1.5850500000000003</v>
          </cell>
          <cell r="L157">
            <v>-2.6050999999999997</v>
          </cell>
          <cell r="M157">
            <v>-1.6050900000000001</v>
          </cell>
          <cell r="N157">
            <v>-2.3430399999999998</v>
          </cell>
          <cell r="O157">
            <v>-2.2917999999999998</v>
          </cell>
          <cell r="P157">
            <v>-2.2917999999999998</v>
          </cell>
          <cell r="Q157">
            <v>-2.9917999999999996</v>
          </cell>
          <cell r="T157">
            <v>-17.964226666666669</v>
          </cell>
          <cell r="V157">
            <v>0</v>
          </cell>
          <cell r="W157">
            <v>0</v>
          </cell>
          <cell r="X157">
            <v>-1.5</v>
          </cell>
          <cell r="Y157">
            <v>-19.464226666666665</v>
          </cell>
          <cell r="Z157">
            <v>0</v>
          </cell>
          <cell r="AC157">
            <v>0.53854325227559041</v>
          </cell>
          <cell r="AD157">
            <v>-18.925683414391074</v>
          </cell>
        </row>
        <row r="159">
          <cell r="A159" t="str">
            <v>Outsourced Business</v>
          </cell>
          <cell r="I159">
            <v>0</v>
          </cell>
          <cell r="L159">
            <v>0</v>
          </cell>
        </row>
        <row r="160">
          <cell r="A160" t="str">
            <v>- Intervention Domino</v>
          </cell>
          <cell r="B160" t="str">
            <v>615625/2</v>
          </cell>
          <cell r="D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-2.6840000000000002</v>
          </cell>
          <cell r="N160">
            <v>2.6840000000000002</v>
          </cell>
          <cell r="O160">
            <v>0</v>
          </cell>
          <cell r="P160">
            <v>0</v>
          </cell>
          <cell r="Q160">
            <v>0</v>
          </cell>
          <cell r="T160">
            <v>0</v>
          </cell>
          <cell r="Y160">
            <v>0</v>
          </cell>
          <cell r="AD160">
            <v>0</v>
          </cell>
        </row>
        <row r="161">
          <cell r="A161" t="str">
            <v>- UK licenses (Facturé d'O&amp;M Paris)</v>
          </cell>
          <cell r="B161" t="str">
            <v>615625/2</v>
          </cell>
          <cell r="D161">
            <v>-21</v>
          </cell>
          <cell r="F161">
            <v>-1.75</v>
          </cell>
          <cell r="G161">
            <v>-1.75</v>
          </cell>
          <cell r="H161">
            <v>-1.75</v>
          </cell>
          <cell r="I161">
            <v>-1.75</v>
          </cell>
          <cell r="J161">
            <v>-1.75</v>
          </cell>
          <cell r="K161">
            <v>-1.75</v>
          </cell>
          <cell r="L161">
            <v>-1.75</v>
          </cell>
          <cell r="M161">
            <v>-1.75</v>
          </cell>
          <cell r="N161">
            <v>-1.75</v>
          </cell>
          <cell r="O161">
            <v>-1.75</v>
          </cell>
          <cell r="P161">
            <v>-1.75</v>
          </cell>
          <cell r="Q161">
            <v>-1.75</v>
          </cell>
          <cell r="T161">
            <v>-19.25</v>
          </cell>
          <cell r="Y161">
            <v>-19.25</v>
          </cell>
          <cell r="AD161">
            <v>-19.25</v>
          </cell>
        </row>
        <row r="162">
          <cell r="A162" t="str">
            <v>- Licence quantum</v>
          </cell>
          <cell r="B162" t="str">
            <v>615625/2</v>
          </cell>
          <cell r="D162">
            <v>-0.69700000000000006</v>
          </cell>
          <cell r="F162">
            <v>-5.8000000000000003E-2</v>
          </cell>
          <cell r="G162">
            <v>-5.8000000000000003E-2</v>
          </cell>
          <cell r="H162">
            <v>-5.800000000000001E-2</v>
          </cell>
          <cell r="I162">
            <v>-5.7999999999999996E-2</v>
          </cell>
          <cell r="J162">
            <v>-5.8000000000000024E-2</v>
          </cell>
          <cell r="K162">
            <v>-5.7999999999999996E-2</v>
          </cell>
          <cell r="L162">
            <v>-5.7999999999999996E-2</v>
          </cell>
          <cell r="M162">
            <v>-5.7999999999999996E-2</v>
          </cell>
          <cell r="N162">
            <v>-5.7999999999999996E-2</v>
          </cell>
          <cell r="O162">
            <v>-5.8333333333333327E-2</v>
          </cell>
          <cell r="P162">
            <v>-5.8333333333333327E-2</v>
          </cell>
          <cell r="Q162">
            <v>-5.8333333333333327E-2</v>
          </cell>
          <cell r="T162">
            <v>-0.63800000000000001</v>
          </cell>
          <cell r="Y162">
            <v>-0.63800000000000001</v>
          </cell>
          <cell r="AD162">
            <v>-0.63800000000000001</v>
          </cell>
        </row>
        <row r="163">
          <cell r="A163" t="str">
            <v>- PR AKA (Sauvegarde IBM)</v>
          </cell>
          <cell r="B163" t="str">
            <v>615625/2</v>
          </cell>
          <cell r="D163">
            <v>-6.6235700000000062</v>
          </cell>
          <cell r="G163">
            <v>-1.0660700000000005</v>
          </cell>
          <cell r="H163">
            <v>-0.67652999999999808</v>
          </cell>
          <cell r="I163">
            <v>-0.58087000000000311</v>
          </cell>
          <cell r="J163">
            <v>-0.60022999999999849</v>
          </cell>
          <cell r="K163">
            <v>-0.58086999999999911</v>
          </cell>
          <cell r="L163">
            <v>-0.56150000000000055</v>
          </cell>
          <cell r="M163">
            <v>0</v>
          </cell>
          <cell r="N163">
            <v>-1.0000000000000053</v>
          </cell>
          <cell r="O163">
            <v>-0.51916666666666667</v>
          </cell>
          <cell r="P163">
            <v>-0.51916666666666667</v>
          </cell>
          <cell r="Q163">
            <v>-0.51916666666666667</v>
          </cell>
          <cell r="T163">
            <v>-4.0660700000000034</v>
          </cell>
          <cell r="X163">
            <v>0</v>
          </cell>
          <cell r="Y163">
            <v>-4.0660700000000034</v>
          </cell>
          <cell r="AD163">
            <v>-4.0660700000000034</v>
          </cell>
        </row>
        <row r="164">
          <cell r="A164" t="str">
            <v>- Media Manager / MBS (Licence)</v>
          </cell>
          <cell r="B164" t="str">
            <v>615625/2</v>
          </cell>
          <cell r="D164">
            <v>-30</v>
          </cell>
          <cell r="F164">
            <v>-0.60023000000000015</v>
          </cell>
          <cell r="G164">
            <v>-4.3997700000000002</v>
          </cell>
          <cell r="H164">
            <v>-2.5</v>
          </cell>
          <cell r="I164">
            <v>-2.5</v>
          </cell>
          <cell r="J164">
            <v>-2.5</v>
          </cell>
          <cell r="K164">
            <v>-2.5</v>
          </cell>
          <cell r="L164">
            <v>-2.5</v>
          </cell>
          <cell r="M164">
            <v>-2.5</v>
          </cell>
          <cell r="N164">
            <v>-2.5</v>
          </cell>
          <cell r="O164">
            <v>-2.5</v>
          </cell>
          <cell r="P164">
            <v>-2.5</v>
          </cell>
          <cell r="Q164">
            <v>-2.5</v>
          </cell>
          <cell r="T164">
            <v>-27.5</v>
          </cell>
          <cell r="X164">
            <v>0</v>
          </cell>
          <cell r="Y164">
            <v>-27.5</v>
          </cell>
          <cell r="AD164">
            <v>-27.5</v>
          </cell>
        </row>
        <row r="165">
          <cell r="A165" t="str">
            <v>- Computer Equipment Maintenance (Marbeuf)</v>
          </cell>
          <cell r="B165" t="str">
            <v>615625/2</v>
          </cell>
          <cell r="D165">
            <v>-6.6750000000000016</v>
          </cell>
          <cell r="F165">
            <v>-2.5</v>
          </cell>
          <cell r="G165">
            <v>1.45</v>
          </cell>
          <cell r="H165">
            <v>-0.52500000000000013</v>
          </cell>
          <cell r="I165">
            <v>-0.52499999999999991</v>
          </cell>
          <cell r="J165">
            <v>-0.52499999999999991</v>
          </cell>
          <cell r="K165">
            <v>-0.52500000000000036</v>
          </cell>
          <cell r="L165">
            <v>-0.52499999999999991</v>
          </cell>
          <cell r="M165">
            <v>-0.52499999999999991</v>
          </cell>
          <cell r="N165">
            <v>-0.52500000000000036</v>
          </cell>
          <cell r="O165">
            <v>-0.65</v>
          </cell>
          <cell r="P165">
            <v>-0.65</v>
          </cell>
          <cell r="Q165">
            <v>-0.65</v>
          </cell>
          <cell r="T165">
            <v>-5.7323599999999999</v>
          </cell>
          <cell r="Y165">
            <v>-5.7323599999999999</v>
          </cell>
          <cell r="AD165">
            <v>-5.7323599999999999</v>
          </cell>
        </row>
        <row r="166">
          <cell r="A166" t="str">
            <v>- Entretien maint informatique</v>
          </cell>
          <cell r="B166">
            <v>615620</v>
          </cell>
          <cell r="F166">
            <v>-0.52500000000000002</v>
          </cell>
          <cell r="G166">
            <v>0.52500000000000002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T166">
            <v>-0.65</v>
          </cell>
          <cell r="Y166">
            <v>-0.65</v>
          </cell>
          <cell r="AD166">
            <v>-0.65</v>
          </cell>
        </row>
        <row r="167">
          <cell r="A167" t="str">
            <v>- Dot Immos Logiciels (Licence MBS)</v>
          </cell>
          <cell r="B167">
            <v>681202</v>
          </cell>
          <cell r="D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Y167">
            <v>0</v>
          </cell>
          <cell r="AD167">
            <v>0</v>
          </cell>
        </row>
        <row r="168">
          <cell r="A168" t="str">
            <v>- ADP Europe (Paie)</v>
          </cell>
          <cell r="B168">
            <v>615625</v>
          </cell>
          <cell r="D168">
            <v>-4.5</v>
          </cell>
          <cell r="F168">
            <v>-0.375</v>
          </cell>
          <cell r="G168">
            <v>-0.375</v>
          </cell>
          <cell r="H168">
            <v>-0.375</v>
          </cell>
          <cell r="I168">
            <v>-0.375</v>
          </cell>
          <cell r="J168">
            <v>-0.375</v>
          </cell>
          <cell r="K168">
            <v>-0.375</v>
          </cell>
          <cell r="L168">
            <v>-0.375</v>
          </cell>
          <cell r="M168">
            <v>-0.375</v>
          </cell>
          <cell r="N168">
            <v>-0.375</v>
          </cell>
          <cell r="O168">
            <v>-0.375</v>
          </cell>
          <cell r="P168">
            <v>-0.375</v>
          </cell>
          <cell r="Q168">
            <v>-0.375</v>
          </cell>
          <cell r="V168">
            <v>-4.125</v>
          </cell>
          <cell r="Y168">
            <v>-4.125</v>
          </cell>
          <cell r="AD168">
            <v>-4.125</v>
          </cell>
        </row>
        <row r="169">
          <cell r="A169" t="str">
            <v>- IBM (Coretech)</v>
          </cell>
          <cell r="B169">
            <v>622617</v>
          </cell>
          <cell r="D169">
            <v>-23.000000000000036</v>
          </cell>
          <cell r="F169">
            <v>-1.9166666666666667</v>
          </cell>
          <cell r="G169">
            <v>-1.9163333333333334</v>
          </cell>
          <cell r="H169">
            <v>-1.9163333333333341</v>
          </cell>
          <cell r="I169">
            <v>-1.9163333333333341</v>
          </cell>
          <cell r="J169">
            <v>-1.9176666666666815</v>
          </cell>
          <cell r="K169">
            <v>-1.9166666666666714</v>
          </cell>
          <cell r="L169">
            <v>-1.9166666666666696</v>
          </cell>
          <cell r="M169">
            <v>-1.9166666666666696</v>
          </cell>
          <cell r="N169">
            <v>-1.9166666666666714</v>
          </cell>
          <cell r="O169">
            <v>-1.9166666666666667</v>
          </cell>
          <cell r="P169">
            <v>-1.9166666666666667</v>
          </cell>
          <cell r="Q169">
            <v>-1.9166666666666667</v>
          </cell>
          <cell r="W169">
            <v>-27.242416666666706</v>
          </cell>
          <cell r="X169">
            <v>0</v>
          </cell>
          <cell r="Y169">
            <v>-27.242416666666706</v>
          </cell>
          <cell r="AD169">
            <v>-27.242416666666706</v>
          </cell>
        </row>
        <row r="170">
          <cell r="A170" t="str">
            <v>Sous-total Outsourced Business</v>
          </cell>
          <cell r="D170">
            <v>-92.495570000000043</v>
          </cell>
          <cell r="F170">
            <v>-7.724896666666667</v>
          </cell>
          <cell r="G170">
            <v>-7.5901733333333334</v>
          </cell>
          <cell r="H170">
            <v>-7.8008633333333322</v>
          </cell>
          <cell r="I170">
            <v>-7.705203333333337</v>
          </cell>
          <cell r="J170">
            <v>-7.7258966666666797</v>
          </cell>
          <cell r="K170">
            <v>-7.7055366666666707</v>
          </cell>
          <cell r="L170">
            <v>-7.6861666666666704</v>
          </cell>
          <cell r="M170">
            <v>-9.8086666666666691</v>
          </cell>
          <cell r="N170">
            <v>-5.4406666666666768</v>
          </cell>
          <cell r="O170">
            <v>-7.7691666666666679</v>
          </cell>
          <cell r="P170">
            <v>-7.7691666666666679</v>
          </cell>
          <cell r="Q170">
            <v>-7.7691666666666679</v>
          </cell>
          <cell r="T170">
            <v>-57.83643</v>
          </cell>
          <cell r="V170">
            <v>-4.125</v>
          </cell>
          <cell r="W170">
            <v>0</v>
          </cell>
          <cell r="X170">
            <v>0</v>
          </cell>
          <cell r="Y170">
            <v>-89.203846666666706</v>
          </cell>
          <cell r="Z170">
            <v>0</v>
          </cell>
          <cell r="AC170">
            <v>0</v>
          </cell>
          <cell r="AD170">
            <v>-89.203846666666706</v>
          </cell>
        </row>
        <row r="172">
          <cell r="A172" t="str">
            <v>ITOS (IT Costs)</v>
          </cell>
          <cell r="Z172">
            <v>19.106616420310839</v>
          </cell>
          <cell r="AD172">
            <v>19.106616420310839</v>
          </cell>
        </row>
        <row r="173">
          <cell r="A173" t="str">
            <v>ICO Recharge Facilities (MPLB)</v>
          </cell>
          <cell r="D173">
            <v>-18.699999999999996</v>
          </cell>
          <cell r="F173">
            <v>-1.5583333333333333</v>
          </cell>
          <cell r="G173">
            <v>-1.5583333333333333</v>
          </cell>
          <cell r="H173">
            <v>-1.5583333333333331</v>
          </cell>
          <cell r="I173">
            <v>-1.5583333333333333</v>
          </cell>
          <cell r="J173">
            <v>-1.5583333333333333</v>
          </cell>
          <cell r="K173">
            <v>-1.55833333333333</v>
          </cell>
          <cell r="L173">
            <v>-1.5583333333333333</v>
          </cell>
          <cell r="M173">
            <v>-1.55833333333333</v>
          </cell>
          <cell r="N173">
            <v>-1.5583333333333333</v>
          </cell>
          <cell r="O173">
            <v>-1.5583333333333333</v>
          </cell>
          <cell r="P173">
            <v>-1.5583333333333333</v>
          </cell>
          <cell r="Q173">
            <v>-1.5583333333333333</v>
          </cell>
          <cell r="W173">
            <v>-17.14166666666663</v>
          </cell>
          <cell r="Y173">
            <v>-17.14166666666663</v>
          </cell>
          <cell r="Z173">
            <v>0</v>
          </cell>
          <cell r="AD173">
            <v>-17.14166666666663</v>
          </cell>
        </row>
        <row r="174">
          <cell r="I174">
            <v>0</v>
          </cell>
          <cell r="L174">
            <v>0</v>
          </cell>
        </row>
        <row r="175">
          <cell r="A175" t="str">
            <v>Total IT &amp; communication Costs</v>
          </cell>
          <cell r="D175">
            <v>-151.51207333333338</v>
          </cell>
          <cell r="F175">
            <v>-12.519870000000001</v>
          </cell>
          <cell r="G175">
            <v>-12.795246666666667</v>
          </cell>
          <cell r="H175">
            <v>-12.595806666666665</v>
          </cell>
          <cell r="I175">
            <v>-11.122536666666671</v>
          </cell>
          <cell r="J175">
            <v>-12.415710000000013</v>
          </cell>
          <cell r="K175">
            <v>-12.22648</v>
          </cell>
          <cell r="L175">
            <v>-12.996840000000004</v>
          </cell>
          <cell r="M175">
            <v>-14.297089999999999</v>
          </cell>
          <cell r="N175">
            <v>-10.68326000000001</v>
          </cell>
          <cell r="O175">
            <v>-13.069633333333336</v>
          </cell>
          <cell r="P175">
            <v>-13.069633333333336</v>
          </cell>
          <cell r="Q175">
            <v>-13.719966666666668</v>
          </cell>
          <cell r="T175">
            <v>-85.001926666666662</v>
          </cell>
          <cell r="V175">
            <v>-4.125</v>
          </cell>
          <cell r="W175">
            <v>-17.14166666666663</v>
          </cell>
          <cell r="X175">
            <v>-2.9</v>
          </cell>
          <cell r="Y175">
            <v>-136.41101000000003</v>
          </cell>
          <cell r="Z175">
            <v>19.106616420310839</v>
          </cell>
          <cell r="AB175">
            <v>0</v>
          </cell>
          <cell r="AC175">
            <v>0.8975722713806592</v>
          </cell>
          <cell r="AD175">
            <v>-116.40682130830851</v>
          </cell>
        </row>
        <row r="176">
          <cell r="I176">
            <v>0</v>
          </cell>
          <cell r="L176">
            <v>0</v>
          </cell>
        </row>
        <row r="177">
          <cell r="A177" t="str">
            <v>Finance &amp; General</v>
          </cell>
        </row>
        <row r="178">
          <cell r="A178" t="str">
            <v>Assurance Locaux (Marbeuf)</v>
          </cell>
          <cell r="B178">
            <v>616010</v>
          </cell>
          <cell r="D178">
            <v>-4.875</v>
          </cell>
          <cell r="F178">
            <v>-0.375</v>
          </cell>
          <cell r="G178">
            <v>-0.375</v>
          </cell>
          <cell r="H178">
            <v>-0.375</v>
          </cell>
          <cell r="I178">
            <v>-0.375</v>
          </cell>
          <cell r="J178">
            <v>-0.375</v>
          </cell>
          <cell r="K178">
            <v>-0.375</v>
          </cell>
          <cell r="L178">
            <v>-0.375</v>
          </cell>
          <cell r="M178">
            <v>-0.375</v>
          </cell>
          <cell r="N178">
            <v>-0.375</v>
          </cell>
          <cell r="O178">
            <v>-0.5</v>
          </cell>
          <cell r="P178">
            <v>-0.5</v>
          </cell>
          <cell r="Q178">
            <v>-0.5</v>
          </cell>
          <cell r="T178">
            <v>0</v>
          </cell>
          <cell r="X178">
            <v>-4.375</v>
          </cell>
          <cell r="Y178">
            <v>-4.375</v>
          </cell>
          <cell r="AD178">
            <v>-4.375</v>
          </cell>
        </row>
        <row r="179">
          <cell r="A179" t="str">
            <v>Assurance Groupe</v>
          </cell>
          <cell r="B179">
            <v>616021</v>
          </cell>
          <cell r="D179">
            <v>-0.46600000000000003</v>
          </cell>
          <cell r="F179">
            <v>0</v>
          </cell>
          <cell r="G179">
            <v>0</v>
          </cell>
          <cell r="H179">
            <v>0</v>
          </cell>
          <cell r="I179">
            <v>-0.26600000000000001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-0.2</v>
          </cell>
          <cell r="T179">
            <v>-0.26600000000000001</v>
          </cell>
          <cell r="V179">
            <v>0</v>
          </cell>
          <cell r="Y179">
            <v>-0.26600000000000001</v>
          </cell>
          <cell r="AD179">
            <v>-0.26600000000000001</v>
          </cell>
        </row>
        <row r="180">
          <cell r="A180" t="str">
            <v>Audit Fees</v>
          </cell>
          <cell r="B180">
            <v>622600</v>
          </cell>
          <cell r="D180">
            <v>-5.1478699999999957</v>
          </cell>
          <cell r="F180">
            <v>-0.33333333333333331</v>
          </cell>
          <cell r="G180">
            <v>-0.33333333333333331</v>
          </cell>
          <cell r="H180">
            <v>-0.33333333333333337</v>
          </cell>
          <cell r="I180">
            <v>-0.33333333333333326</v>
          </cell>
          <cell r="J180">
            <v>-0.33333333333333171</v>
          </cell>
          <cell r="K180">
            <v>-0.33333333333333282</v>
          </cell>
          <cell r="L180">
            <v>-1.4812033333333328</v>
          </cell>
          <cell r="M180">
            <v>-0.33333333333333304</v>
          </cell>
          <cell r="N180">
            <v>-0.33333333333333304</v>
          </cell>
          <cell r="O180">
            <v>-0.33333333333333331</v>
          </cell>
          <cell r="P180">
            <v>-0.33333333333333331</v>
          </cell>
          <cell r="Q180">
            <v>-0.33333333333333331</v>
          </cell>
          <cell r="U180">
            <v>-1.1478699999999999</v>
          </cell>
          <cell r="V180">
            <v>-3.666666666666663</v>
          </cell>
          <cell r="Y180">
            <v>-4.8145366666666627</v>
          </cell>
          <cell r="AD180">
            <v>-4.8145366666666627</v>
          </cell>
        </row>
        <row r="181">
          <cell r="A181" t="str">
            <v>Cotisations (Udecam &amp; autres)</v>
          </cell>
          <cell r="B181" t="str">
            <v>618200 + 618250</v>
          </cell>
          <cell r="D181">
            <v>-7.4794</v>
          </cell>
          <cell r="F181">
            <v>-0.625</v>
          </cell>
          <cell r="G181">
            <v>-0.625</v>
          </cell>
          <cell r="H181">
            <v>-0.625</v>
          </cell>
          <cell r="I181">
            <v>-0.625</v>
          </cell>
          <cell r="J181">
            <v>-0.625</v>
          </cell>
          <cell r="K181">
            <v>-0.58379000000000003</v>
          </cell>
          <cell r="L181">
            <v>-0.63873999999999986</v>
          </cell>
          <cell r="M181">
            <v>-0.6387299999999998</v>
          </cell>
          <cell r="N181">
            <v>-0.61814000000000036</v>
          </cell>
          <cell r="O181">
            <v>-0.625</v>
          </cell>
          <cell r="P181">
            <v>-0.625</v>
          </cell>
          <cell r="Q181">
            <v>-0.625</v>
          </cell>
          <cell r="T181">
            <v>-6.8612599999999997</v>
          </cell>
          <cell r="X181">
            <v>0</v>
          </cell>
          <cell r="Y181">
            <v>-6.8612599999999997</v>
          </cell>
          <cell r="AD181">
            <v>-6.8612599999999997</v>
          </cell>
        </row>
        <row r="182">
          <cell r="A182" t="str">
            <v>Bank Charges</v>
          </cell>
          <cell r="B182">
            <v>627800</v>
          </cell>
          <cell r="D182">
            <v>-4.9530600000000007</v>
          </cell>
          <cell r="F182">
            <v>-0.24742</v>
          </cell>
          <cell r="G182">
            <v>-0.22962000000000002</v>
          </cell>
          <cell r="H182">
            <v>-0.35197999999999996</v>
          </cell>
          <cell r="I182">
            <v>-0.19162000000000001</v>
          </cell>
          <cell r="J182">
            <v>-0.10853000000000002</v>
          </cell>
          <cell r="K182">
            <v>-0.33892999999999995</v>
          </cell>
          <cell r="L182">
            <v>-0.6693300000000002</v>
          </cell>
          <cell r="M182">
            <v>-0.18512999999999957</v>
          </cell>
          <cell r="N182">
            <v>-0.53050000000000042</v>
          </cell>
          <cell r="O182">
            <v>-0.7</v>
          </cell>
          <cell r="P182">
            <v>-0.7</v>
          </cell>
          <cell r="Q182">
            <v>-0.7</v>
          </cell>
          <cell r="T182">
            <v>-2.8159800000000001</v>
          </cell>
          <cell r="U182">
            <v>-0.61558999999999997</v>
          </cell>
          <cell r="Y182">
            <v>-3.4315700000000002</v>
          </cell>
          <cell r="AD182">
            <v>-3.4315700000000002</v>
          </cell>
        </row>
        <row r="183">
          <cell r="A183" t="str">
            <v>Frais actes contentieux &amp; Amendes</v>
          </cell>
          <cell r="B183" t="str">
            <v>622700 + 671200</v>
          </cell>
          <cell r="D183">
            <v>-0.20399999999999999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-3.4000000000000002E-2</v>
          </cell>
          <cell r="L183">
            <v>-1.0000000000000009E-3</v>
          </cell>
          <cell r="M183">
            <v>0</v>
          </cell>
          <cell r="N183">
            <v>-0.16899999999999998</v>
          </cell>
          <cell r="O183">
            <v>0</v>
          </cell>
          <cell r="P183">
            <v>0</v>
          </cell>
          <cell r="Q183">
            <v>0</v>
          </cell>
          <cell r="T183">
            <v>-0.20399999999999999</v>
          </cell>
          <cell r="Y183">
            <v>-0.20399999999999999</v>
          </cell>
          <cell r="AD183">
            <v>-0.20399999999999999</v>
          </cell>
        </row>
        <row r="184">
          <cell r="A184" t="str">
            <v>Honoraires Juridiques</v>
          </cell>
          <cell r="B184">
            <v>622605</v>
          </cell>
          <cell r="D184">
            <v>-2.2999999999999998</v>
          </cell>
          <cell r="F184">
            <v>0</v>
          </cell>
          <cell r="G184">
            <v>0</v>
          </cell>
          <cell r="I184">
            <v>0</v>
          </cell>
          <cell r="J184">
            <v>-0.3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-0.5</v>
          </cell>
          <cell r="P184">
            <v>-0.5</v>
          </cell>
          <cell r="Q184">
            <v>-1</v>
          </cell>
          <cell r="T184">
            <v>-0.3</v>
          </cell>
          <cell r="X184">
            <v>-0.5</v>
          </cell>
          <cell r="Y184">
            <v>-0.8</v>
          </cell>
          <cell r="AD184">
            <v>-0.8</v>
          </cell>
        </row>
        <row r="185">
          <cell r="A185" t="str">
            <v>Gains de Change</v>
          </cell>
          <cell r="B185">
            <v>766000</v>
          </cell>
          <cell r="D185">
            <v>2.0534300000000005</v>
          </cell>
          <cell r="F185">
            <v>0</v>
          </cell>
          <cell r="G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1.2698</v>
          </cell>
          <cell r="N185">
            <v>0.78363000000000027</v>
          </cell>
          <cell r="T185">
            <v>2.0571700000000002</v>
          </cell>
          <cell r="Y185">
            <v>2.0571700000000002</v>
          </cell>
          <cell r="AD185">
            <v>2.0571700000000002</v>
          </cell>
        </row>
        <row r="186">
          <cell r="A186" t="str">
            <v>ITOS (Finance)</v>
          </cell>
          <cell r="D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Z186">
            <v>3.1857511003193082</v>
          </cell>
          <cell r="AD186">
            <v>3.1857511003193082</v>
          </cell>
        </row>
        <row r="187">
          <cell r="A187" t="str">
            <v>Total Finance &amp; General</v>
          </cell>
          <cell r="D187">
            <v>-23.371899999999997</v>
          </cell>
          <cell r="F187">
            <v>-1.5807533333333332</v>
          </cell>
          <cell r="G187">
            <v>-1.5629533333333332</v>
          </cell>
          <cell r="H187">
            <v>-1.6853133333333334</v>
          </cell>
          <cell r="I187">
            <v>-1.7909533333333334</v>
          </cell>
          <cell r="J187">
            <v>-1.7418633333333318</v>
          </cell>
          <cell r="K187">
            <v>-1.6650533333333328</v>
          </cell>
          <cell r="L187">
            <v>-3.1652733333333329</v>
          </cell>
          <cell r="M187">
            <v>-0.26239333333333237</v>
          </cell>
          <cell r="N187">
            <v>-1.2423433333333336</v>
          </cell>
          <cell r="O187">
            <v>-2.6583333333333332</v>
          </cell>
          <cell r="P187">
            <v>-2.6583333333333332</v>
          </cell>
          <cell r="Q187">
            <v>-3.3583333333333334</v>
          </cell>
          <cell r="T187">
            <v>-8.3900700000000015</v>
          </cell>
          <cell r="U187">
            <v>-1.7634599999999998</v>
          </cell>
          <cell r="V187">
            <v>-3.666666666666663</v>
          </cell>
          <cell r="W187">
            <v>0</v>
          </cell>
          <cell r="X187">
            <v>-4.875</v>
          </cell>
          <cell r="Y187">
            <v>-18.695196666666664</v>
          </cell>
          <cell r="Z187">
            <v>3.1857511003193082</v>
          </cell>
          <cell r="AB187">
            <v>0</v>
          </cell>
          <cell r="AC187">
            <v>0</v>
          </cell>
          <cell r="AD187">
            <v>-15.509445566347356</v>
          </cell>
        </row>
        <row r="189">
          <cell r="A189" t="str">
            <v>TOTAL OOP</v>
          </cell>
          <cell r="D189">
            <v>-1222.6466122303668</v>
          </cell>
          <cell r="F189">
            <v>-98.901176666666672</v>
          </cell>
          <cell r="G189">
            <v>-97.176683333333344</v>
          </cell>
          <cell r="H189">
            <v>-108.44304333333335</v>
          </cell>
          <cell r="I189">
            <v>-94.458740000000006</v>
          </cell>
          <cell r="J189">
            <v>-97.911683333333357</v>
          </cell>
          <cell r="K189">
            <v>-99.902559999999994</v>
          </cell>
          <cell r="L189">
            <v>-100.05</v>
          </cell>
          <cell r="M189">
            <v>-95.25033333333333</v>
          </cell>
          <cell r="N189">
            <v>-105.30033333333333</v>
          </cell>
          <cell r="O189">
            <v>-103.50033333333333</v>
          </cell>
          <cell r="P189">
            <v>-103.50033333333333</v>
          </cell>
          <cell r="Q189">
            <v>-114.95066666666665</v>
          </cell>
          <cell r="T189">
            <v>-857.16537000000005</v>
          </cell>
          <cell r="U189">
            <v>-1.7634599999999998</v>
          </cell>
          <cell r="V189">
            <v>-163.76530666666667</v>
          </cell>
          <cell r="W189">
            <v>-17.14166666666663</v>
          </cell>
          <cell r="X189">
            <v>-42.974059999999994</v>
          </cell>
          <cell r="Y189">
            <v>-1110.1289999999999</v>
          </cell>
          <cell r="Z189">
            <v>203.53805442896578</v>
          </cell>
          <cell r="AA189">
            <v>0</v>
          </cell>
          <cell r="AB189">
            <v>0</v>
          </cell>
          <cell r="AC189">
            <v>26.727309524071607</v>
          </cell>
          <cell r="AD189">
            <v>-879.86363604696248</v>
          </cell>
        </row>
        <row r="191">
          <cell r="A191" t="str">
            <v>GROUP OVERHEADS</v>
          </cell>
          <cell r="B191" t="str">
            <v>622640 + 648201</v>
          </cell>
          <cell r="D191">
            <v>-527.16</v>
          </cell>
          <cell r="F191">
            <v>-43.93</v>
          </cell>
          <cell r="G191">
            <v>-43.93</v>
          </cell>
          <cell r="H191">
            <v>-43.93</v>
          </cell>
          <cell r="I191">
            <v>-43.93</v>
          </cell>
          <cell r="J191">
            <v>-43.93</v>
          </cell>
          <cell r="K191">
            <v>-43.93</v>
          </cell>
          <cell r="L191">
            <v>-43.93</v>
          </cell>
          <cell r="M191">
            <v>-43.93</v>
          </cell>
          <cell r="N191">
            <v>-43.93</v>
          </cell>
          <cell r="O191">
            <v>-43.93</v>
          </cell>
          <cell r="P191">
            <v>-43.93</v>
          </cell>
          <cell r="Q191">
            <v>-43.93</v>
          </cell>
          <cell r="T191">
            <v>-56.71978</v>
          </cell>
          <cell r="V191">
            <v>0</v>
          </cell>
          <cell r="W191">
            <v>-426.45522000000005</v>
          </cell>
          <cell r="X191">
            <v>0</v>
          </cell>
          <cell r="Y191">
            <v>-483.17500000000007</v>
          </cell>
          <cell r="AD191">
            <v>-483.17500000000007</v>
          </cell>
        </row>
        <row r="194">
          <cell r="A194" t="str">
            <v>OPERATING PROFIT (OP)</v>
          </cell>
          <cell r="D194">
            <v>-359.80069780403448</v>
          </cell>
          <cell r="F194">
            <v>-50.582408355555607</v>
          </cell>
          <cell r="G194">
            <v>65.146156144444348</v>
          </cell>
          <cell r="H194">
            <v>-21.076041688888914</v>
          </cell>
          <cell r="I194">
            <v>112.01021581111067</v>
          </cell>
          <cell r="J194">
            <v>-77.649069077778023</v>
          </cell>
          <cell r="K194">
            <v>-172.02342449999981</v>
          </cell>
          <cell r="L194">
            <v>-115.16708999999994</v>
          </cell>
          <cell r="M194">
            <v>-89.130455333333401</v>
          </cell>
          <cell r="N194">
            <v>-10.77661333333338</v>
          </cell>
          <cell r="O194">
            <v>-49.498570888888857</v>
          </cell>
          <cell r="P194">
            <v>12.751429111111143</v>
          </cell>
          <cell r="Q194">
            <v>40.235899870777736</v>
          </cell>
          <cell r="T194">
            <v>192.82075633332943</v>
          </cell>
          <cell r="U194">
            <v>-1.7634599999999998</v>
          </cell>
          <cell r="V194">
            <v>-102.87329391666668</v>
          </cell>
          <cell r="W194">
            <v>-443.59688666666671</v>
          </cell>
          <cell r="X194">
            <v>-16.138059999999996</v>
          </cell>
          <cell r="Y194">
            <v>-398.87008091667064</v>
          </cell>
          <cell r="Z194">
            <v>739.16042464190843</v>
          </cell>
          <cell r="AA194">
            <v>22.2</v>
          </cell>
          <cell r="AB194">
            <v>0</v>
          </cell>
          <cell r="AC194">
            <v>27.442756678543152</v>
          </cell>
          <cell r="AD194">
            <v>389.93310040378094</v>
          </cell>
        </row>
        <row r="195">
          <cell r="D195">
            <v>-7.0368766742516409E-2</v>
          </cell>
          <cell r="F195">
            <v>-0.12919063127882574</v>
          </cell>
          <cell r="G195">
            <v>0.12721116376620994</v>
          </cell>
          <cell r="H195">
            <v>-4.8031842817424619E-2</v>
          </cell>
          <cell r="I195">
            <v>0.21222801721690066</v>
          </cell>
          <cell r="J195">
            <v>-0.2242338627661471</v>
          </cell>
          <cell r="K195">
            <v>-0.48331436723237597</v>
          </cell>
          <cell r="L195">
            <v>-0.35817456047322394</v>
          </cell>
          <cell r="M195">
            <v>-0.26711438200869064</v>
          </cell>
          <cell r="N195">
            <v>-2.7586344127207427E-2</v>
          </cell>
          <cell r="O195">
            <v>-0.12357575789293727</v>
          </cell>
          <cell r="P195">
            <v>2.7642232315098256E-2</v>
          </cell>
          <cell r="Q195">
            <v>6.357175030364233E-2</v>
          </cell>
          <cell r="T195">
            <v>4.306149571980343E-2</v>
          </cell>
          <cell r="V195" t="e">
            <v>#DIV/0!</v>
          </cell>
          <cell r="W195" t="e">
            <v>#DIV/0!</v>
          </cell>
          <cell r="X195" t="e">
            <v>#DIV/0!</v>
          </cell>
          <cell r="Y195">
            <v>-8.9077247744318536E-2</v>
          </cell>
          <cell r="AC195" t="e">
            <v>#DIV/0!</v>
          </cell>
          <cell r="AD195">
            <v>8.7081405826561015E-2</v>
          </cell>
        </row>
        <row r="197">
          <cell r="A197" t="str">
            <v>Interest Income</v>
          </cell>
          <cell r="T197">
            <v>1.8990800000000001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1.8990800000000001</v>
          </cell>
          <cell r="AD197">
            <v>1.8990800000000001</v>
          </cell>
        </row>
        <row r="198">
          <cell r="A198" t="str">
            <v>Interest Income</v>
          </cell>
          <cell r="B198">
            <v>768003</v>
          </cell>
          <cell r="F198">
            <v>-46.894470833333337</v>
          </cell>
          <cell r="T198">
            <v>1.8171200000000001</v>
          </cell>
          <cell r="AD198">
            <v>0</v>
          </cell>
        </row>
        <row r="199">
          <cell r="A199" t="str">
            <v>Other</v>
          </cell>
          <cell r="B199" t="str">
            <v xml:space="preserve">758000+786000 </v>
          </cell>
          <cell r="T199">
            <v>8.1960000000000005E-2</v>
          </cell>
          <cell r="AD199">
            <v>0</v>
          </cell>
        </row>
        <row r="201">
          <cell r="A201" t="str">
            <v>Other Interest Income</v>
          </cell>
          <cell r="T201">
            <v>-1.2369700000000001</v>
          </cell>
          <cell r="U201">
            <v>-1.2E-4</v>
          </cell>
          <cell r="V201">
            <v>0</v>
          </cell>
          <cell r="W201">
            <v>0</v>
          </cell>
          <cell r="X201">
            <v>0</v>
          </cell>
          <cell r="Y201">
            <v>-1.23709</v>
          </cell>
          <cell r="AD201">
            <v>-1.23709</v>
          </cell>
        </row>
        <row r="202">
          <cell r="A202" t="str">
            <v>Loss on FX</v>
          </cell>
          <cell r="B202">
            <v>666000</v>
          </cell>
          <cell r="T202">
            <v>-1.2376100000000001</v>
          </cell>
          <cell r="AD202">
            <v>0</v>
          </cell>
        </row>
        <row r="203">
          <cell r="A203" t="str">
            <v>Other</v>
          </cell>
          <cell r="B203" t="str">
            <v>658100 + 668000</v>
          </cell>
          <cell r="T203">
            <v>6.4000000000000005E-4</v>
          </cell>
          <cell r="U203">
            <v>-1.2E-4</v>
          </cell>
          <cell r="AD203">
            <v>0</v>
          </cell>
        </row>
        <row r="204">
          <cell r="AD204" t="str">
            <v xml:space="preserve"> </v>
          </cell>
        </row>
        <row r="205">
          <cell r="A205" t="str">
            <v>OP AFTER O/H AND OTHER INTERESTS</v>
          </cell>
          <cell r="T205">
            <v>193.48286633332941</v>
          </cell>
          <cell r="U205">
            <v>-1.7635799999999997</v>
          </cell>
          <cell r="V205">
            <v>-102.87329391666668</v>
          </cell>
          <cell r="W205">
            <v>-443.59688666666671</v>
          </cell>
          <cell r="X205">
            <v>-16.138059999999996</v>
          </cell>
          <cell r="Y205">
            <v>-398.20809091667064</v>
          </cell>
          <cell r="Z205">
            <v>739.16042464190843</v>
          </cell>
          <cell r="AC205">
            <v>27.442756678543152</v>
          </cell>
          <cell r="AD205">
            <v>368.39509040378096</v>
          </cell>
        </row>
        <row r="207">
          <cell r="A207" t="str">
            <v>OP BEFORE O/H AND AFTER INTEREST (LORETTE)</v>
          </cell>
          <cell r="T207">
            <v>193.48286633332941</v>
          </cell>
          <cell r="X207">
            <v>-16.138059999999996</v>
          </cell>
          <cell r="Y207">
            <v>0</v>
          </cell>
          <cell r="Z207">
            <v>0</v>
          </cell>
          <cell r="AC207">
            <v>0</v>
          </cell>
          <cell r="AD207">
            <v>0</v>
          </cell>
        </row>
        <row r="210">
          <cell r="A210" t="str">
            <v>Control Neo Section 2</v>
          </cell>
          <cell r="T210">
            <v>-1219.7175399999999</v>
          </cell>
          <cell r="V210" t="str">
            <v>ok</v>
          </cell>
          <cell r="AD210">
            <v>834.19209707044706</v>
          </cell>
        </row>
        <row r="211">
          <cell r="T211">
            <v>-1219.7175400000001</v>
          </cell>
          <cell r="W211">
            <v>-1788.6227200000001</v>
          </cell>
          <cell r="AD211">
            <v>0</v>
          </cell>
        </row>
        <row r="212">
          <cell r="A212" t="str">
            <v>A NE PAS OUBLIER A REPORTER EN CPTE CARTESIS 22968 (part IDR) 2499 Euros</v>
          </cell>
          <cell r="T212">
            <v>0</v>
          </cell>
          <cell r="AD212">
            <v>834.19209707044706</v>
          </cell>
        </row>
        <row r="213">
          <cell r="T213" t="str">
            <v xml:space="preserve"> </v>
          </cell>
        </row>
        <row r="214">
          <cell r="T214" t="str">
            <v>SOX</v>
          </cell>
        </row>
        <row r="215">
          <cell r="A215" t="str">
            <v>IDR  (681521)</v>
          </cell>
          <cell r="V215" t="str">
            <v>ok</v>
          </cell>
        </row>
        <row r="217">
          <cell r="F217">
            <v>-98.901176666666672</v>
          </cell>
          <cell r="G217">
            <v>-97.176683333333344</v>
          </cell>
          <cell r="H217">
            <v>-108.44304333333335</v>
          </cell>
          <cell r="I217">
            <v>-94.458740000000006</v>
          </cell>
          <cell r="J217">
            <v>-97.911683333333357</v>
          </cell>
          <cell r="K217">
            <v>-98.965803333333326</v>
          </cell>
          <cell r="L217">
            <v>-100.37159593000001</v>
          </cell>
          <cell r="M217">
            <v>-95.064327496666664</v>
          </cell>
          <cell r="N217">
            <v>-105.25700991333335</v>
          </cell>
          <cell r="O217">
            <v>-103.14793449666666</v>
          </cell>
          <cell r="P217">
            <v>-103.14793449666666</v>
          </cell>
          <cell r="Q217">
            <v>-114.96083394228333</v>
          </cell>
        </row>
        <row r="219"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0.93675666666666757</v>
          </cell>
          <cell r="L219">
            <v>-0.32159593000001507</v>
          </cell>
          <cell r="M219">
            <v>0.18600583666666637</v>
          </cell>
          <cell r="N219">
            <v>4.3323419999978796E-2</v>
          </cell>
          <cell r="O219">
            <v>0.35239883666666572</v>
          </cell>
          <cell r="P219">
            <v>0.35239883666666572</v>
          </cell>
          <cell r="Q219">
            <v>-1.0167275616680627E-2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C214"/>
  <sheetViews>
    <sheetView workbookViewId="0">
      <pane ySplit="1" topLeftCell="A198" activePane="bottomLeft" state="frozen"/>
      <selection activeCell="J28" sqref="J28"/>
      <selection pane="bottomLeft" activeCell="A214" sqref="A214"/>
    </sheetView>
  </sheetViews>
  <sheetFormatPr baseColWidth="10" defaultColWidth="9.140625" defaultRowHeight="15" x14ac:dyDescent="0.25"/>
  <cols>
    <col min="1" max="1" width="69.7109375" bestFit="1" customWidth="1"/>
    <col min="2" max="2" width="50.5703125" bestFit="1" customWidth="1"/>
    <col min="3" max="3" width="69.7109375" hidden="1" customWidth="1"/>
  </cols>
  <sheetData>
    <row r="1" spans="1:3" x14ac:dyDescent="0.25">
      <c r="A1" t="s">
        <v>459</v>
      </c>
      <c r="B1" t="s">
        <v>212</v>
      </c>
      <c r="C1" t="s">
        <v>459</v>
      </c>
    </row>
    <row r="6" spans="1:3" x14ac:dyDescent="0.25">
      <c r="A6" t="s">
        <v>1</v>
      </c>
      <c r="B6" t="s">
        <v>498</v>
      </c>
      <c r="C6" t="s">
        <v>1</v>
      </c>
    </row>
    <row r="8" spans="1:3" x14ac:dyDescent="0.25">
      <c r="A8" t="s">
        <v>2</v>
      </c>
      <c r="C8" t="s">
        <v>2</v>
      </c>
    </row>
    <row r="9" spans="1:3" x14ac:dyDescent="0.25">
      <c r="A9" t="s">
        <v>3</v>
      </c>
      <c r="B9" t="s">
        <v>499</v>
      </c>
      <c r="C9" t="s">
        <v>3</v>
      </c>
    </row>
    <row r="10" spans="1:3" x14ac:dyDescent="0.25">
      <c r="A10" t="s">
        <v>4</v>
      </c>
      <c r="B10" t="s">
        <v>500</v>
      </c>
      <c r="C10" t="s">
        <v>4</v>
      </c>
    </row>
    <row r="11" spans="1:3" x14ac:dyDescent="0.25">
      <c r="A11" t="s">
        <v>141</v>
      </c>
      <c r="B11" t="s">
        <v>501</v>
      </c>
      <c r="C11" t="s">
        <v>141</v>
      </c>
    </row>
    <row r="12" spans="1:3" x14ac:dyDescent="0.25">
      <c r="A12" t="s">
        <v>5</v>
      </c>
      <c r="B12" t="s">
        <v>499</v>
      </c>
      <c r="C12" t="s">
        <v>5</v>
      </c>
    </row>
    <row r="13" spans="1:3" x14ac:dyDescent="0.25">
      <c r="A13" t="s">
        <v>6</v>
      </c>
      <c r="B13" t="s">
        <v>500</v>
      </c>
      <c r="C13" t="s">
        <v>6</v>
      </c>
    </row>
    <row r="14" spans="1:3" x14ac:dyDescent="0.25">
      <c r="A14" t="s">
        <v>766</v>
      </c>
      <c r="B14" t="s">
        <v>499</v>
      </c>
      <c r="C14" t="s">
        <v>766</v>
      </c>
    </row>
    <row r="15" spans="1:3" x14ac:dyDescent="0.25">
      <c r="A15" t="s">
        <v>7</v>
      </c>
      <c r="B15" t="s">
        <v>500</v>
      </c>
      <c r="C15" t="s">
        <v>7</v>
      </c>
    </row>
    <row r="16" spans="1:3" x14ac:dyDescent="0.25">
      <c r="A16" t="s">
        <v>8</v>
      </c>
      <c r="B16" t="s">
        <v>500</v>
      </c>
      <c r="C16" t="s">
        <v>8</v>
      </c>
    </row>
    <row r="17" spans="1:3" x14ac:dyDescent="0.25">
      <c r="A17" t="s">
        <v>9</v>
      </c>
      <c r="B17" t="s">
        <v>500</v>
      </c>
      <c r="C17" t="s">
        <v>9</v>
      </c>
    </row>
    <row r="18" spans="1:3" x14ac:dyDescent="0.25">
      <c r="A18" t="s">
        <v>10</v>
      </c>
      <c r="C18" t="s">
        <v>10</v>
      </c>
    </row>
    <row r="19" spans="1:3" x14ac:dyDescent="0.25">
      <c r="A19" t="s">
        <v>11</v>
      </c>
      <c r="B19" t="s">
        <v>499</v>
      </c>
      <c r="C19" t="s">
        <v>11</v>
      </c>
    </row>
    <row r="20" spans="1:3" x14ac:dyDescent="0.25">
      <c r="A20" t="s">
        <v>12</v>
      </c>
      <c r="B20" t="s">
        <v>500</v>
      </c>
      <c r="C20" t="s">
        <v>12</v>
      </c>
    </row>
    <row r="21" spans="1:3" x14ac:dyDescent="0.25">
      <c r="A21" t="s">
        <v>13</v>
      </c>
      <c r="B21" t="s">
        <v>501</v>
      </c>
      <c r="C21" t="s">
        <v>13</v>
      </c>
    </row>
    <row r="22" spans="1:3" x14ac:dyDescent="0.25">
      <c r="A22" t="s">
        <v>809</v>
      </c>
      <c r="B22" t="s">
        <v>501</v>
      </c>
      <c r="C22" t="s">
        <v>14</v>
      </c>
    </row>
    <row r="23" spans="1:3" x14ac:dyDescent="0.25">
      <c r="A23" t="s">
        <v>15</v>
      </c>
      <c r="B23" t="s">
        <v>500</v>
      </c>
      <c r="C23" t="s">
        <v>15</v>
      </c>
    </row>
    <row r="24" spans="1:3" x14ac:dyDescent="0.25">
      <c r="A24" t="s">
        <v>810</v>
      </c>
      <c r="B24" t="s">
        <v>500</v>
      </c>
      <c r="C24" t="s">
        <v>16</v>
      </c>
    </row>
    <row r="25" spans="1:3" x14ac:dyDescent="0.25">
      <c r="A25" t="s">
        <v>17</v>
      </c>
      <c r="B25" t="s">
        <v>503</v>
      </c>
      <c r="C25" t="s">
        <v>17</v>
      </c>
    </row>
    <row r="26" spans="1:3" x14ac:dyDescent="0.25">
      <c r="A26" t="s">
        <v>18</v>
      </c>
      <c r="B26" t="s">
        <v>504</v>
      </c>
      <c r="C26" t="s">
        <v>18</v>
      </c>
    </row>
    <row r="27" spans="1:3" x14ac:dyDescent="0.25">
      <c r="A27" t="s">
        <v>19</v>
      </c>
      <c r="B27" t="s">
        <v>501</v>
      </c>
      <c r="C27" t="s">
        <v>19</v>
      </c>
    </row>
    <row r="28" spans="1:3" x14ac:dyDescent="0.25">
      <c r="A28" t="s">
        <v>20</v>
      </c>
      <c r="B28" t="s">
        <v>501</v>
      </c>
      <c r="C28" t="s">
        <v>20</v>
      </c>
    </row>
    <row r="29" spans="1:3" x14ac:dyDescent="0.25">
      <c r="A29" t="s">
        <v>21</v>
      </c>
      <c r="C29" t="s">
        <v>21</v>
      </c>
    </row>
    <row r="30" spans="1:3" x14ac:dyDescent="0.25">
      <c r="A30" t="s">
        <v>22</v>
      </c>
      <c r="C30" t="s">
        <v>22</v>
      </c>
    </row>
    <row r="31" spans="1:3" x14ac:dyDescent="0.25">
      <c r="A31" t="s">
        <v>23</v>
      </c>
      <c r="B31" t="s">
        <v>505</v>
      </c>
      <c r="C31" t="s">
        <v>23</v>
      </c>
    </row>
    <row r="32" spans="1:3" x14ac:dyDescent="0.25">
      <c r="A32" t="s">
        <v>24</v>
      </c>
      <c r="C32" t="s">
        <v>24</v>
      </c>
    </row>
    <row r="33" spans="1:3" x14ac:dyDescent="0.25">
      <c r="A33" t="s">
        <v>25</v>
      </c>
      <c r="C33" t="s">
        <v>25</v>
      </c>
    </row>
    <row r="34" spans="1:3" x14ac:dyDescent="0.25">
      <c r="A34" t="s">
        <v>26</v>
      </c>
      <c r="B34" t="s">
        <v>506</v>
      </c>
      <c r="C34" t="s">
        <v>26</v>
      </c>
    </row>
    <row r="35" spans="1:3" x14ac:dyDescent="0.25">
      <c r="A35" t="s">
        <v>27</v>
      </c>
      <c r="C35" t="s">
        <v>27</v>
      </c>
    </row>
    <row r="36" spans="1:3" x14ac:dyDescent="0.25">
      <c r="A36" t="s">
        <v>28</v>
      </c>
      <c r="C36" t="s">
        <v>28</v>
      </c>
    </row>
    <row r="37" spans="1:3" x14ac:dyDescent="0.25">
      <c r="A37" t="s">
        <v>29</v>
      </c>
      <c r="C37" t="s">
        <v>29</v>
      </c>
    </row>
    <row r="38" spans="1:3" x14ac:dyDescent="0.25">
      <c r="A38" t="s">
        <v>30</v>
      </c>
      <c r="C38" t="s">
        <v>30</v>
      </c>
    </row>
    <row r="39" spans="1:3" x14ac:dyDescent="0.25">
      <c r="A39" t="s">
        <v>31</v>
      </c>
      <c r="B39" t="s">
        <v>507</v>
      </c>
      <c r="C39" t="s">
        <v>31</v>
      </c>
    </row>
    <row r="40" spans="1:3" x14ac:dyDescent="0.25">
      <c r="A40" t="s">
        <v>32</v>
      </c>
      <c r="C40" t="s">
        <v>32</v>
      </c>
    </row>
    <row r="41" spans="1:3" x14ac:dyDescent="0.25">
      <c r="A41" t="s">
        <v>33</v>
      </c>
      <c r="B41" t="s">
        <v>32</v>
      </c>
      <c r="C41" t="s">
        <v>33</v>
      </c>
    </row>
    <row r="42" spans="1:3" x14ac:dyDescent="0.25">
      <c r="A42" t="s">
        <v>34</v>
      </c>
      <c r="B42" t="s">
        <v>32</v>
      </c>
      <c r="C42" t="s">
        <v>34</v>
      </c>
    </row>
    <row r="43" spans="1:3" x14ac:dyDescent="0.25">
      <c r="A43" s="334"/>
    </row>
    <row r="44" spans="1:3" x14ac:dyDescent="0.25">
      <c r="A44" t="s">
        <v>35</v>
      </c>
      <c r="C44" t="s">
        <v>35</v>
      </c>
    </row>
    <row r="46" spans="1:3" x14ac:dyDescent="0.25">
      <c r="A46" t="s">
        <v>36</v>
      </c>
      <c r="C46" t="s">
        <v>36</v>
      </c>
    </row>
    <row r="47" spans="1:3" x14ac:dyDescent="0.25">
      <c r="A47" t="s">
        <v>161</v>
      </c>
      <c r="B47" t="s">
        <v>508</v>
      </c>
      <c r="C47" t="s">
        <v>161</v>
      </c>
    </row>
    <row r="48" spans="1:3" x14ac:dyDescent="0.25">
      <c r="A48" t="s">
        <v>37</v>
      </c>
      <c r="B48" t="s">
        <v>508</v>
      </c>
      <c r="C48" t="s">
        <v>37</v>
      </c>
    </row>
    <row r="49" spans="1:3" x14ac:dyDescent="0.25">
      <c r="A49" t="s">
        <v>38</v>
      </c>
      <c r="B49" t="s">
        <v>508</v>
      </c>
      <c r="C49" t="s">
        <v>38</v>
      </c>
    </row>
    <row r="50" spans="1:3" x14ac:dyDescent="0.25">
      <c r="A50" t="s">
        <v>39</v>
      </c>
      <c r="B50" t="s">
        <v>509</v>
      </c>
      <c r="C50" t="s">
        <v>39</v>
      </c>
    </row>
    <row r="51" spans="1:3" x14ac:dyDescent="0.25">
      <c r="A51" t="s">
        <v>40</v>
      </c>
      <c r="B51" t="s">
        <v>509</v>
      </c>
      <c r="C51" t="s">
        <v>40</v>
      </c>
    </row>
    <row r="52" spans="1:3" x14ac:dyDescent="0.25">
      <c r="A52" t="s">
        <v>41</v>
      </c>
      <c r="B52" t="s">
        <v>508</v>
      </c>
      <c r="C52" t="s">
        <v>41</v>
      </c>
    </row>
    <row r="53" spans="1:3" x14ac:dyDescent="0.25">
      <c r="A53" t="s">
        <v>41</v>
      </c>
      <c r="B53" t="s">
        <v>508</v>
      </c>
    </row>
    <row r="56" spans="1:3" x14ac:dyDescent="0.25">
      <c r="A56" t="s">
        <v>43</v>
      </c>
      <c r="C56" t="s">
        <v>43</v>
      </c>
    </row>
    <row r="57" spans="1:3" x14ac:dyDescent="0.25">
      <c r="A57" t="s">
        <v>44</v>
      </c>
      <c r="C57" t="s">
        <v>44</v>
      </c>
    </row>
    <row r="58" spans="1:3" x14ac:dyDescent="0.25">
      <c r="A58" t="s">
        <v>45</v>
      </c>
      <c r="B58" t="s">
        <v>511</v>
      </c>
      <c r="C58" t="s">
        <v>45</v>
      </c>
    </row>
    <row r="59" spans="1:3" x14ac:dyDescent="0.25">
      <c r="A59" t="s">
        <v>46</v>
      </c>
      <c r="B59" t="s">
        <v>510</v>
      </c>
      <c r="C59" t="s">
        <v>46</v>
      </c>
    </row>
    <row r="60" spans="1:3" x14ac:dyDescent="0.25">
      <c r="A60" t="s">
        <v>47</v>
      </c>
      <c r="B60" t="s">
        <v>510</v>
      </c>
      <c r="C60" t="s">
        <v>47</v>
      </c>
    </row>
    <row r="61" spans="1:3" x14ac:dyDescent="0.25">
      <c r="A61" t="s">
        <v>48</v>
      </c>
      <c r="B61" t="s">
        <v>510</v>
      </c>
      <c r="C61" t="s">
        <v>48</v>
      </c>
    </row>
    <row r="62" spans="1:3" x14ac:dyDescent="0.25">
      <c r="A62" t="s">
        <v>49</v>
      </c>
      <c r="B62" t="s">
        <v>510</v>
      </c>
      <c r="C62" t="s">
        <v>49</v>
      </c>
    </row>
    <row r="63" spans="1:3" x14ac:dyDescent="0.25">
      <c r="A63" t="s">
        <v>50</v>
      </c>
      <c r="B63" t="s">
        <v>510</v>
      </c>
      <c r="C63" t="s">
        <v>50</v>
      </c>
    </row>
    <row r="64" spans="1:3" x14ac:dyDescent="0.25">
      <c r="A64" t="s">
        <v>163</v>
      </c>
      <c r="B64" t="s">
        <v>510</v>
      </c>
      <c r="C64" t="s">
        <v>163</v>
      </c>
    </row>
    <row r="65" spans="1:3" x14ac:dyDescent="0.25">
      <c r="A65" t="s">
        <v>51</v>
      </c>
      <c r="B65" t="s">
        <v>510</v>
      </c>
      <c r="C65" t="s">
        <v>51</v>
      </c>
    </row>
    <row r="66" spans="1:3" x14ac:dyDescent="0.25">
      <c r="A66" t="s">
        <v>52</v>
      </c>
      <c r="B66" t="s">
        <v>510</v>
      </c>
      <c r="C66" t="s">
        <v>52</v>
      </c>
    </row>
    <row r="67" spans="1:3" x14ac:dyDescent="0.25">
      <c r="A67" t="s">
        <v>53</v>
      </c>
      <c r="B67" t="s">
        <v>510</v>
      </c>
      <c r="C67" t="s">
        <v>53</v>
      </c>
    </row>
    <row r="68" spans="1:3" x14ac:dyDescent="0.25">
      <c r="A68" t="s">
        <v>54</v>
      </c>
      <c r="C68" t="s">
        <v>54</v>
      </c>
    </row>
    <row r="70" spans="1:3" x14ac:dyDescent="0.25">
      <c r="A70" t="s">
        <v>55</v>
      </c>
      <c r="C70" t="s">
        <v>55</v>
      </c>
    </row>
    <row r="71" spans="1:3" x14ac:dyDescent="0.25">
      <c r="A71" t="s">
        <v>785</v>
      </c>
      <c r="B71" t="s">
        <v>513</v>
      </c>
      <c r="C71" t="s">
        <v>785</v>
      </c>
    </row>
    <row r="72" spans="1:3" x14ac:dyDescent="0.25">
      <c r="A72" t="s">
        <v>751</v>
      </c>
      <c r="B72" t="s">
        <v>512</v>
      </c>
      <c r="C72" t="s">
        <v>56</v>
      </c>
    </row>
    <row r="73" spans="1:3" x14ac:dyDescent="0.25">
      <c r="A73" t="s">
        <v>804</v>
      </c>
      <c r="B73" t="s">
        <v>512</v>
      </c>
      <c r="C73" t="s">
        <v>162</v>
      </c>
    </row>
    <row r="74" spans="1:3" x14ac:dyDescent="0.25">
      <c r="A74" t="s">
        <v>805</v>
      </c>
      <c r="B74" t="s">
        <v>512</v>
      </c>
      <c r="C74" t="s">
        <v>787</v>
      </c>
    </row>
    <row r="75" spans="1:3" x14ac:dyDescent="0.25">
      <c r="A75" t="s">
        <v>166</v>
      </c>
      <c r="C75" t="s">
        <v>166</v>
      </c>
    </row>
    <row r="77" spans="1:3" x14ac:dyDescent="0.25">
      <c r="A77" t="s">
        <v>57</v>
      </c>
      <c r="C77" t="s">
        <v>57</v>
      </c>
    </row>
    <row r="79" spans="1:3" x14ac:dyDescent="0.25">
      <c r="A79" t="s">
        <v>58</v>
      </c>
      <c r="C79" t="s">
        <v>58</v>
      </c>
    </row>
    <row r="80" spans="1:3" x14ac:dyDescent="0.25">
      <c r="A80" t="s">
        <v>59</v>
      </c>
      <c r="C80" t="s">
        <v>59</v>
      </c>
    </row>
    <row r="81" spans="1:3" x14ac:dyDescent="0.25">
      <c r="A81" t="s">
        <v>60</v>
      </c>
      <c r="B81" t="s">
        <v>514</v>
      </c>
      <c r="C81" t="s">
        <v>60</v>
      </c>
    </row>
    <row r="82" spans="1:3" x14ac:dyDescent="0.25">
      <c r="A82" t="s">
        <v>61</v>
      </c>
      <c r="B82" t="s">
        <v>514</v>
      </c>
      <c r="C82" t="s">
        <v>61</v>
      </c>
    </row>
    <row r="83" spans="1:3" x14ac:dyDescent="0.25">
      <c r="A83" t="s">
        <v>788</v>
      </c>
      <c r="B83" t="s">
        <v>514</v>
      </c>
      <c r="C83" t="s">
        <v>788</v>
      </c>
    </row>
    <row r="84" spans="1:3" x14ac:dyDescent="0.25">
      <c r="A84" t="s">
        <v>63</v>
      </c>
      <c r="C84" t="s">
        <v>63</v>
      </c>
    </row>
    <row r="86" spans="1:3" x14ac:dyDescent="0.25">
      <c r="A86" t="s">
        <v>64</v>
      </c>
      <c r="C86" t="s">
        <v>64</v>
      </c>
    </row>
    <row r="87" spans="1:3" x14ac:dyDescent="0.25">
      <c r="A87" t="s">
        <v>65</v>
      </c>
      <c r="B87" t="s">
        <v>515</v>
      </c>
      <c r="C87" t="s">
        <v>65</v>
      </c>
    </row>
    <row r="88" spans="1:3" x14ac:dyDescent="0.25">
      <c r="A88" t="s">
        <v>66</v>
      </c>
      <c r="B88" t="s">
        <v>515</v>
      </c>
      <c r="C88" t="s">
        <v>66</v>
      </c>
    </row>
    <row r="89" spans="1:3" x14ac:dyDescent="0.25">
      <c r="A89" t="s">
        <v>67</v>
      </c>
      <c r="C89" t="s">
        <v>67</v>
      </c>
    </row>
    <row r="91" spans="1:3" x14ac:dyDescent="0.25">
      <c r="A91" t="s">
        <v>68</v>
      </c>
      <c r="C91" t="s">
        <v>68</v>
      </c>
    </row>
    <row r="92" spans="1:3" x14ac:dyDescent="0.25">
      <c r="A92" t="s">
        <v>164</v>
      </c>
      <c r="B92" t="s">
        <v>516</v>
      </c>
      <c r="C92" t="s">
        <v>164</v>
      </c>
    </row>
    <row r="93" spans="1:3" x14ac:dyDescent="0.25">
      <c r="A93" t="s">
        <v>165</v>
      </c>
      <c r="B93" t="s">
        <v>517</v>
      </c>
      <c r="C93" t="s">
        <v>165</v>
      </c>
    </row>
    <row r="94" spans="1:3" x14ac:dyDescent="0.25">
      <c r="A94" t="s">
        <v>69</v>
      </c>
      <c r="C94" t="s">
        <v>69</v>
      </c>
    </row>
    <row r="96" spans="1:3" x14ac:dyDescent="0.25">
      <c r="A96" t="s">
        <v>70</v>
      </c>
      <c r="C96" t="s">
        <v>70</v>
      </c>
    </row>
    <row r="98" spans="1:3" x14ac:dyDescent="0.25">
      <c r="A98" t="s">
        <v>71</v>
      </c>
      <c r="C98" t="s">
        <v>71</v>
      </c>
    </row>
    <row r="100" spans="1:3" x14ac:dyDescent="0.25">
      <c r="A100" t="s">
        <v>72</v>
      </c>
      <c r="C100" t="s">
        <v>72</v>
      </c>
    </row>
    <row r="102" spans="1:3" x14ac:dyDescent="0.25">
      <c r="A102" t="s">
        <v>73</v>
      </c>
      <c r="C102" t="s">
        <v>73</v>
      </c>
    </row>
    <row r="103" spans="1:3" x14ac:dyDescent="0.25">
      <c r="A103" t="s">
        <v>74</v>
      </c>
      <c r="B103" t="s">
        <v>518</v>
      </c>
      <c r="C103" t="s">
        <v>74</v>
      </c>
    </row>
    <row r="104" spans="1:3" x14ac:dyDescent="0.25">
      <c r="A104" t="s">
        <v>75</v>
      </c>
      <c r="B104" t="s">
        <v>518</v>
      </c>
      <c r="C104" t="s">
        <v>75</v>
      </c>
    </row>
    <row r="105" spans="1:3" x14ac:dyDescent="0.25">
      <c r="A105" t="s">
        <v>76</v>
      </c>
      <c r="B105" t="s">
        <v>518</v>
      </c>
      <c r="C105" t="s">
        <v>76</v>
      </c>
    </row>
    <row r="106" spans="1:3" x14ac:dyDescent="0.25">
      <c r="A106" t="s">
        <v>77</v>
      </c>
      <c r="C106" t="s">
        <v>77</v>
      </c>
    </row>
    <row r="108" spans="1:3" x14ac:dyDescent="0.25">
      <c r="A108" t="s">
        <v>78</v>
      </c>
      <c r="C108" t="s">
        <v>78</v>
      </c>
    </row>
    <row r="109" spans="1:3" x14ac:dyDescent="0.25">
      <c r="A109" t="s">
        <v>79</v>
      </c>
      <c r="B109" t="s">
        <v>519</v>
      </c>
      <c r="C109" t="s">
        <v>79</v>
      </c>
    </row>
    <row r="110" spans="1:3" x14ac:dyDescent="0.25">
      <c r="A110" t="s">
        <v>80</v>
      </c>
      <c r="B110" t="s">
        <v>519</v>
      </c>
      <c r="C110" t="s">
        <v>80</v>
      </c>
    </row>
    <row r="111" spans="1:3" x14ac:dyDescent="0.25">
      <c r="A111" t="s">
        <v>81</v>
      </c>
      <c r="C111" t="s">
        <v>81</v>
      </c>
    </row>
    <row r="113" spans="1:3" x14ac:dyDescent="0.25">
      <c r="A113" t="s">
        <v>82</v>
      </c>
      <c r="C113" t="s">
        <v>82</v>
      </c>
    </row>
    <row r="114" spans="1:3" x14ac:dyDescent="0.25">
      <c r="A114" t="s">
        <v>83</v>
      </c>
      <c r="B114" t="s">
        <v>520</v>
      </c>
      <c r="C114" t="s">
        <v>83</v>
      </c>
    </row>
    <row r="115" spans="1:3" x14ac:dyDescent="0.25">
      <c r="A115" t="s">
        <v>84</v>
      </c>
      <c r="B115" t="s">
        <v>520</v>
      </c>
      <c r="C115" t="s">
        <v>84</v>
      </c>
    </row>
    <row r="116" spans="1:3" x14ac:dyDescent="0.25">
      <c r="A116" t="s">
        <v>85</v>
      </c>
      <c r="B116" t="s">
        <v>520</v>
      </c>
      <c r="C116" t="s">
        <v>85</v>
      </c>
    </row>
    <row r="117" spans="1:3" x14ac:dyDescent="0.25">
      <c r="A117" t="s">
        <v>712</v>
      </c>
      <c r="B117" t="s">
        <v>520</v>
      </c>
      <c r="C117" t="s">
        <v>712</v>
      </c>
    </row>
    <row r="118" spans="1:3" x14ac:dyDescent="0.25">
      <c r="A118" t="s">
        <v>86</v>
      </c>
      <c r="B118" t="s">
        <v>520</v>
      </c>
      <c r="C118" t="s">
        <v>86</v>
      </c>
    </row>
    <row r="119" spans="1:3" x14ac:dyDescent="0.25">
      <c r="A119" t="s">
        <v>87</v>
      </c>
      <c r="B119" t="s">
        <v>520</v>
      </c>
      <c r="C119" t="s">
        <v>87</v>
      </c>
    </row>
    <row r="120" spans="1:3" x14ac:dyDescent="0.25">
      <c r="A120" t="s">
        <v>88</v>
      </c>
      <c r="B120" t="s">
        <v>520</v>
      </c>
      <c r="C120" t="s">
        <v>88</v>
      </c>
    </row>
    <row r="121" spans="1:3" x14ac:dyDescent="0.25">
      <c r="A121" t="s">
        <v>89</v>
      </c>
      <c r="B121" t="s">
        <v>520</v>
      </c>
      <c r="C121" t="s">
        <v>89</v>
      </c>
    </row>
    <row r="122" spans="1:3" x14ac:dyDescent="0.25">
      <c r="A122" t="s">
        <v>90</v>
      </c>
      <c r="B122" t="s">
        <v>520</v>
      </c>
      <c r="C122" t="s">
        <v>90</v>
      </c>
    </row>
    <row r="123" spans="1:3" x14ac:dyDescent="0.25">
      <c r="A123" t="s">
        <v>53</v>
      </c>
      <c r="B123" t="s">
        <v>520</v>
      </c>
      <c r="C123" t="s">
        <v>53</v>
      </c>
    </row>
    <row r="124" spans="1:3" x14ac:dyDescent="0.25">
      <c r="A124" t="s">
        <v>91</v>
      </c>
      <c r="C124" t="s">
        <v>91</v>
      </c>
    </row>
    <row r="126" spans="1:3" x14ac:dyDescent="0.25">
      <c r="A126" t="s">
        <v>92</v>
      </c>
      <c r="C126" t="s">
        <v>92</v>
      </c>
    </row>
    <row r="128" spans="1:3" x14ac:dyDescent="0.25">
      <c r="A128" t="s">
        <v>93</v>
      </c>
      <c r="B128" t="s">
        <v>521</v>
      </c>
      <c r="C128" t="s">
        <v>93</v>
      </c>
    </row>
    <row r="129" spans="1:3" x14ac:dyDescent="0.25">
      <c r="A129" t="s">
        <v>94</v>
      </c>
      <c r="B129" t="s">
        <v>521</v>
      </c>
      <c r="C129" t="s">
        <v>94</v>
      </c>
    </row>
    <row r="131" spans="1:3" x14ac:dyDescent="0.25">
      <c r="A131" t="s">
        <v>95</v>
      </c>
      <c r="B131" t="s">
        <v>524</v>
      </c>
      <c r="C131" t="s">
        <v>95</v>
      </c>
    </row>
    <row r="132" spans="1:3" x14ac:dyDescent="0.25">
      <c r="A132" t="s">
        <v>96</v>
      </c>
      <c r="B132" t="s">
        <v>524</v>
      </c>
      <c r="C132" t="s">
        <v>96</v>
      </c>
    </row>
    <row r="133" spans="1:3" x14ac:dyDescent="0.25">
      <c r="A133" t="s">
        <v>755</v>
      </c>
      <c r="B133" t="s">
        <v>522</v>
      </c>
    </row>
    <row r="134" spans="1:3" x14ac:dyDescent="0.25">
      <c r="A134" t="s">
        <v>97</v>
      </c>
      <c r="C134" t="s">
        <v>97</v>
      </c>
    </row>
    <row r="135" spans="1:3" x14ac:dyDescent="0.25">
      <c r="A135" t="s">
        <v>167</v>
      </c>
      <c r="C135" t="s">
        <v>167</v>
      </c>
    </row>
    <row r="136" spans="1:3" x14ac:dyDescent="0.25">
      <c r="A136" t="s">
        <v>98</v>
      </c>
      <c r="B136" t="s">
        <v>522</v>
      </c>
      <c r="C136" t="s">
        <v>98</v>
      </c>
    </row>
    <row r="137" spans="1:3" x14ac:dyDescent="0.25">
      <c r="A137" t="s">
        <v>99</v>
      </c>
      <c r="B137" t="s">
        <v>525</v>
      </c>
      <c r="C137" t="s">
        <v>99</v>
      </c>
    </row>
    <row r="138" spans="1:3" x14ac:dyDescent="0.25">
      <c r="A138" t="s">
        <v>100</v>
      </c>
      <c r="B138" t="s">
        <v>522</v>
      </c>
      <c r="C138" t="s">
        <v>100</v>
      </c>
    </row>
    <row r="139" spans="1:3" x14ac:dyDescent="0.25">
      <c r="A139" t="s">
        <v>101</v>
      </c>
      <c r="B139" t="s">
        <v>522</v>
      </c>
      <c r="C139" t="s">
        <v>101</v>
      </c>
    </row>
    <row r="140" spans="1:3" x14ac:dyDescent="0.25">
      <c r="A140" t="s">
        <v>102</v>
      </c>
      <c r="B140" t="s">
        <v>522</v>
      </c>
      <c r="C140" t="s">
        <v>102</v>
      </c>
    </row>
    <row r="141" spans="1:3" x14ac:dyDescent="0.25">
      <c r="A141" t="s">
        <v>103</v>
      </c>
      <c r="B141" t="s">
        <v>522</v>
      </c>
      <c r="C141" t="s">
        <v>103</v>
      </c>
    </row>
    <row r="142" spans="1:3" x14ac:dyDescent="0.25">
      <c r="A142" t="s">
        <v>104</v>
      </c>
      <c r="B142" t="s">
        <v>522</v>
      </c>
      <c r="C142" t="s">
        <v>104</v>
      </c>
    </row>
    <row r="143" spans="1:3" x14ac:dyDescent="0.25">
      <c r="A143" t="s">
        <v>105</v>
      </c>
      <c r="B143" t="s">
        <v>645</v>
      </c>
      <c r="C143" t="s">
        <v>105</v>
      </c>
    </row>
    <row r="144" spans="1:3" x14ac:dyDescent="0.25">
      <c r="A144" t="s">
        <v>799</v>
      </c>
      <c r="B144" t="s">
        <v>522</v>
      </c>
      <c r="C144" t="s">
        <v>799</v>
      </c>
    </row>
    <row r="145" spans="1:3" x14ac:dyDescent="0.25">
      <c r="A145" t="s">
        <v>106</v>
      </c>
      <c r="C145" t="s">
        <v>106</v>
      </c>
    </row>
    <row r="147" spans="1:3" x14ac:dyDescent="0.25">
      <c r="A147" t="s">
        <v>107</v>
      </c>
      <c r="B147" t="s">
        <v>518</v>
      </c>
      <c r="C147" t="s">
        <v>107</v>
      </c>
    </row>
    <row r="148" spans="1:3" x14ac:dyDescent="0.25">
      <c r="A148" t="s">
        <v>108</v>
      </c>
      <c r="B148" t="s">
        <v>523</v>
      </c>
      <c r="C148" t="s">
        <v>108</v>
      </c>
    </row>
    <row r="149" spans="1:3" x14ac:dyDescent="0.25">
      <c r="A149" t="s">
        <v>109</v>
      </c>
      <c r="B149" t="s">
        <v>518</v>
      </c>
      <c r="C149" t="s">
        <v>109</v>
      </c>
    </row>
    <row r="150" spans="1:3" x14ac:dyDescent="0.25">
      <c r="A150" t="s">
        <v>110</v>
      </c>
      <c r="B150" t="s">
        <v>520</v>
      </c>
      <c r="C150" t="s">
        <v>110</v>
      </c>
    </row>
    <row r="151" spans="1:3" x14ac:dyDescent="0.25">
      <c r="A151" t="s">
        <v>111</v>
      </c>
      <c r="B151" t="s">
        <v>520</v>
      </c>
      <c r="C151" t="s">
        <v>111</v>
      </c>
    </row>
    <row r="152" spans="1:3" x14ac:dyDescent="0.25">
      <c r="A152" t="s">
        <v>112</v>
      </c>
      <c r="C152" t="s">
        <v>112</v>
      </c>
    </row>
    <row r="155" spans="1:3" x14ac:dyDescent="0.25">
      <c r="A155" t="s">
        <v>113</v>
      </c>
      <c r="B155" t="s">
        <v>730</v>
      </c>
      <c r="C155" t="s">
        <v>113</v>
      </c>
    </row>
    <row r="157" spans="1:3" x14ac:dyDescent="0.25">
      <c r="A157" t="s">
        <v>114</v>
      </c>
      <c r="C157" t="s">
        <v>114</v>
      </c>
    </row>
    <row r="160" spans="1:3" x14ac:dyDescent="0.25">
      <c r="A160" t="s">
        <v>115</v>
      </c>
      <c r="C160" t="s">
        <v>115</v>
      </c>
    </row>
    <row r="161" spans="1:3" x14ac:dyDescent="0.25">
      <c r="A161" t="s">
        <v>116</v>
      </c>
      <c r="B161" t="s">
        <v>526</v>
      </c>
      <c r="C161" t="s">
        <v>116</v>
      </c>
    </row>
    <row r="162" spans="1:3" x14ac:dyDescent="0.25">
      <c r="A162" t="s">
        <v>117</v>
      </c>
      <c r="B162" t="s">
        <v>526</v>
      </c>
      <c r="C162" t="s">
        <v>117</v>
      </c>
    </row>
    <row r="163" spans="1:3" x14ac:dyDescent="0.25">
      <c r="A163" t="s">
        <v>118</v>
      </c>
      <c r="B163" t="s">
        <v>527</v>
      </c>
      <c r="C163" t="s">
        <v>118</v>
      </c>
    </row>
    <row r="164" spans="1:3" x14ac:dyDescent="0.25">
      <c r="A164" t="s">
        <v>119</v>
      </c>
      <c r="B164" t="s">
        <v>528</v>
      </c>
      <c r="C164" t="s">
        <v>119</v>
      </c>
    </row>
    <row r="165" spans="1:3" x14ac:dyDescent="0.25">
      <c r="A165" t="s">
        <v>120</v>
      </c>
      <c r="B165" t="s">
        <v>529</v>
      </c>
      <c r="C165" t="s">
        <v>120</v>
      </c>
    </row>
    <row r="166" spans="1:3" x14ac:dyDescent="0.25">
      <c r="A166" t="s">
        <v>121</v>
      </c>
      <c r="B166" t="s">
        <v>528</v>
      </c>
      <c r="C166" t="s">
        <v>121</v>
      </c>
    </row>
    <row r="167" spans="1:3" x14ac:dyDescent="0.25">
      <c r="A167" t="s">
        <v>122</v>
      </c>
      <c r="C167" t="s">
        <v>122</v>
      </c>
    </row>
    <row r="169" spans="1:3" x14ac:dyDescent="0.25">
      <c r="A169" t="s">
        <v>123</v>
      </c>
      <c r="C169" t="s">
        <v>123</v>
      </c>
    </row>
    <row r="171" spans="1:3" x14ac:dyDescent="0.25">
      <c r="A171" t="s">
        <v>124</v>
      </c>
      <c r="B171" t="s">
        <v>530</v>
      </c>
      <c r="C171" t="s">
        <v>124</v>
      </c>
    </row>
    <row r="173" spans="1:3" x14ac:dyDescent="0.25">
      <c r="A173" t="s">
        <v>125</v>
      </c>
      <c r="C173" t="s">
        <v>125</v>
      </c>
    </row>
    <row r="175" spans="1:3" x14ac:dyDescent="0.25">
      <c r="A175" t="s">
        <v>772</v>
      </c>
      <c r="B175" t="s">
        <v>532</v>
      </c>
    </row>
    <row r="176" spans="1:3" x14ac:dyDescent="0.25">
      <c r="A176" t="s">
        <v>126</v>
      </c>
      <c r="B176" t="s">
        <v>532</v>
      </c>
      <c r="C176" t="s">
        <v>126</v>
      </c>
    </row>
    <row r="177" spans="1:3" x14ac:dyDescent="0.25">
      <c r="A177" t="s">
        <v>126</v>
      </c>
      <c r="C177" t="s">
        <v>126</v>
      </c>
    </row>
    <row r="178" spans="1:3" x14ac:dyDescent="0.25">
      <c r="A178" t="s">
        <v>127</v>
      </c>
      <c r="C178" t="s">
        <v>127</v>
      </c>
    </row>
    <row r="180" spans="1:3" x14ac:dyDescent="0.25">
      <c r="A180" t="s">
        <v>128</v>
      </c>
      <c r="B180" t="s">
        <v>532</v>
      </c>
      <c r="C180" t="s">
        <v>128</v>
      </c>
    </row>
    <row r="181" spans="1:3" x14ac:dyDescent="0.25">
      <c r="A181" t="s">
        <v>129</v>
      </c>
      <c r="B181" t="s">
        <v>532</v>
      </c>
      <c r="C181" t="s">
        <v>129</v>
      </c>
    </row>
    <row r="182" spans="1:3" x14ac:dyDescent="0.25">
      <c r="A182" t="s">
        <v>127</v>
      </c>
      <c r="C182" t="s">
        <v>127</v>
      </c>
    </row>
    <row r="184" spans="1:3" x14ac:dyDescent="0.25">
      <c r="A184" t="s">
        <v>130</v>
      </c>
      <c r="C184" t="s">
        <v>130</v>
      </c>
    </row>
    <row r="186" spans="1:3" x14ac:dyDescent="0.25">
      <c r="A186" t="s">
        <v>131</v>
      </c>
      <c r="C186" t="s">
        <v>131</v>
      </c>
    </row>
    <row r="189" spans="1:3" x14ac:dyDescent="0.25">
      <c r="A189" t="s">
        <v>132</v>
      </c>
      <c r="C189" t="s">
        <v>132</v>
      </c>
    </row>
    <row r="191" spans="1:3" x14ac:dyDescent="0.25">
      <c r="A191" t="s">
        <v>133</v>
      </c>
      <c r="C191" t="s">
        <v>133</v>
      </c>
    </row>
    <row r="194" spans="1:3" x14ac:dyDescent="0.25">
      <c r="A194" t="s">
        <v>753</v>
      </c>
      <c r="B194" t="s">
        <v>516</v>
      </c>
      <c r="C194" t="str">
        <f>A194</f>
        <v>- Documentation</v>
      </c>
    </row>
    <row r="195" spans="1:3" x14ac:dyDescent="0.25">
      <c r="A195" t="s">
        <v>754</v>
      </c>
      <c r="B195" t="s">
        <v>517</v>
      </c>
      <c r="C195" t="str">
        <f>A195</f>
        <v>- TEM</v>
      </c>
    </row>
    <row r="196" spans="1:3" x14ac:dyDescent="0.25">
      <c r="A196" t="s">
        <v>751</v>
      </c>
      <c r="B196" t="s">
        <v>512</v>
      </c>
      <c r="C196" t="str">
        <f>A196</f>
        <v>- Receptions</v>
      </c>
    </row>
    <row r="197" spans="1:3" x14ac:dyDescent="0.25">
      <c r="A197" t="s">
        <v>749</v>
      </c>
      <c r="B197" t="s">
        <v>510</v>
      </c>
      <c r="C197" t="str">
        <f>A197</f>
        <v>- Fête agence (Œuvre Sociale) / Neo</v>
      </c>
    </row>
    <row r="198" spans="1:3" x14ac:dyDescent="0.25">
      <c r="A198" t="s">
        <v>721</v>
      </c>
      <c r="B198" t="s">
        <v>528</v>
      </c>
      <c r="C198" t="str">
        <f t="shared" ref="C198:C201" si="0">A198</f>
        <v>Frais actes contentieux</v>
      </c>
    </row>
    <row r="199" spans="1:3" x14ac:dyDescent="0.25">
      <c r="A199" t="s">
        <v>756</v>
      </c>
      <c r="B199" t="s">
        <v>528</v>
      </c>
      <c r="C199" t="str">
        <f t="shared" si="0"/>
        <v>Frais actes contentieux &amp; Amendes</v>
      </c>
    </row>
    <row r="200" spans="1:3" x14ac:dyDescent="0.25">
      <c r="A200" t="s">
        <v>745</v>
      </c>
      <c r="B200" t="s">
        <v>500</v>
      </c>
      <c r="C200" t="str">
        <f t="shared" si="0"/>
        <v>CICE</v>
      </c>
    </row>
    <row r="201" spans="1:3" x14ac:dyDescent="0.25">
      <c r="A201" t="s">
        <v>748</v>
      </c>
      <c r="B201" t="s">
        <v>508</v>
      </c>
      <c r="C201" t="str">
        <f t="shared" si="0"/>
        <v>Rent (Marbeuf)</v>
      </c>
    </row>
    <row r="203" spans="1:3" x14ac:dyDescent="0.25">
      <c r="A203" t="s">
        <v>767</v>
      </c>
      <c r="B203" t="s">
        <v>520</v>
      </c>
      <c r="C203" t="s">
        <v>767</v>
      </c>
    </row>
    <row r="204" spans="1:3" x14ac:dyDescent="0.25">
      <c r="A204" t="s">
        <v>778</v>
      </c>
      <c r="B204" t="s">
        <v>520</v>
      </c>
      <c r="C204" t="s">
        <v>778</v>
      </c>
    </row>
    <row r="206" spans="1:3" x14ac:dyDescent="0.25">
      <c r="A206" s="283" t="s">
        <v>595</v>
      </c>
      <c r="B206" t="s">
        <v>509</v>
      </c>
    </row>
    <row r="207" spans="1:3" x14ac:dyDescent="0.25">
      <c r="A207" s="283" t="s">
        <v>747</v>
      </c>
      <c r="B207" t="s">
        <v>816</v>
      </c>
    </row>
    <row r="208" spans="1:3" x14ac:dyDescent="0.25">
      <c r="A208" s="283" t="s">
        <v>70</v>
      </c>
      <c r="B208" t="s">
        <v>517</v>
      </c>
    </row>
    <row r="209" spans="1:2" x14ac:dyDescent="0.25">
      <c r="A209" s="283" t="s">
        <v>811</v>
      </c>
      <c r="B209" t="s">
        <v>520</v>
      </c>
    </row>
    <row r="210" spans="1:2" x14ac:dyDescent="0.25">
      <c r="A210" s="283" t="s">
        <v>520</v>
      </c>
      <c r="B210" t="s">
        <v>520</v>
      </c>
    </row>
    <row r="211" spans="1:2" x14ac:dyDescent="0.25">
      <c r="A211" s="283" t="s">
        <v>127</v>
      </c>
      <c r="B211" t="s">
        <v>528</v>
      </c>
    </row>
    <row r="212" spans="1:2" x14ac:dyDescent="0.25">
      <c r="A212" s="352" t="s">
        <v>818</v>
      </c>
      <c r="B212" t="s">
        <v>505</v>
      </c>
    </row>
    <row r="213" spans="1:2" x14ac:dyDescent="0.25">
      <c r="A213" s="457" t="s">
        <v>819</v>
      </c>
      <c r="B213" t="s">
        <v>517</v>
      </c>
    </row>
    <row r="214" spans="1:2" x14ac:dyDescent="0.25">
      <c r="A214" s="449" t="s">
        <v>820</v>
      </c>
      <c r="B214" t="s">
        <v>528</v>
      </c>
    </row>
  </sheetData>
  <autoFilter ref="B1:C19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E276"/>
  <sheetViews>
    <sheetView topLeftCell="A196" workbookViewId="0">
      <selection activeCell="E205" sqref="E205"/>
    </sheetView>
  </sheetViews>
  <sheetFormatPr baseColWidth="10" defaultColWidth="9.140625" defaultRowHeight="15" x14ac:dyDescent="0.25"/>
  <cols>
    <col min="1" max="1" width="38" customWidth="1"/>
  </cols>
  <sheetData>
    <row r="1" spans="1:5" x14ac:dyDescent="0.25">
      <c r="A1" t="s">
        <v>701</v>
      </c>
      <c r="B1" t="s">
        <v>242</v>
      </c>
      <c r="C1" t="s">
        <v>702</v>
      </c>
      <c r="D1" t="s">
        <v>700</v>
      </c>
      <c r="E1" t="s">
        <v>701</v>
      </c>
    </row>
    <row r="2" spans="1:5" x14ac:dyDescent="0.25">
      <c r="A2" t="s">
        <v>169</v>
      </c>
      <c r="B2" t="s">
        <v>244</v>
      </c>
      <c r="D2" t="s">
        <v>172</v>
      </c>
      <c r="E2" t="s">
        <v>169</v>
      </c>
    </row>
    <row r="3" spans="1:5" x14ac:dyDescent="0.25">
      <c r="A3" t="s">
        <v>498</v>
      </c>
      <c r="B3" t="s">
        <v>245</v>
      </c>
      <c r="D3" t="s">
        <v>172</v>
      </c>
      <c r="E3" t="s">
        <v>498</v>
      </c>
    </row>
    <row r="4" spans="1:5" x14ac:dyDescent="0.25">
      <c r="A4" t="s">
        <v>535</v>
      </c>
      <c r="B4" t="s">
        <v>246</v>
      </c>
      <c r="D4" t="s">
        <v>172</v>
      </c>
      <c r="E4" t="s">
        <v>535</v>
      </c>
    </row>
    <row r="5" spans="1:5" x14ac:dyDescent="0.25">
      <c r="A5" t="s">
        <v>536</v>
      </c>
      <c r="B5" t="s">
        <v>247</v>
      </c>
      <c r="D5" t="s">
        <v>172</v>
      </c>
      <c r="E5" t="s">
        <v>536</v>
      </c>
    </row>
    <row r="6" spans="1:5" x14ac:dyDescent="0.25">
      <c r="A6" t="s">
        <v>537</v>
      </c>
      <c r="B6" t="s">
        <v>248</v>
      </c>
      <c r="D6" t="s">
        <v>172</v>
      </c>
      <c r="E6" t="s">
        <v>537</v>
      </c>
    </row>
    <row r="8" spans="1:5" x14ac:dyDescent="0.25">
      <c r="A8" t="s">
        <v>538</v>
      </c>
      <c r="B8" t="s">
        <v>249</v>
      </c>
      <c r="D8" t="s">
        <v>250</v>
      </c>
      <c r="E8" t="s">
        <v>538</v>
      </c>
    </row>
    <row r="10" spans="1:5" x14ac:dyDescent="0.25">
      <c r="A10" t="s">
        <v>539</v>
      </c>
      <c r="B10" t="s">
        <v>251</v>
      </c>
      <c r="D10" t="s">
        <v>172</v>
      </c>
      <c r="E10" t="s">
        <v>539</v>
      </c>
    </row>
    <row r="11" spans="1:5" x14ac:dyDescent="0.25">
      <c r="A11" t="s">
        <v>540</v>
      </c>
      <c r="B11" t="s">
        <v>252</v>
      </c>
      <c r="D11" t="s">
        <v>172</v>
      </c>
      <c r="E11" t="s">
        <v>540</v>
      </c>
    </row>
    <row r="12" spans="1:5" x14ac:dyDescent="0.25">
      <c r="A12" t="s">
        <v>541</v>
      </c>
      <c r="B12" t="s">
        <v>253</v>
      </c>
      <c r="D12" t="s">
        <v>172</v>
      </c>
      <c r="E12" t="s">
        <v>541</v>
      </c>
    </row>
    <row r="13" spans="1:5" x14ac:dyDescent="0.25">
      <c r="A13" t="s">
        <v>542</v>
      </c>
      <c r="B13" t="s">
        <v>254</v>
      </c>
      <c r="D13" t="s">
        <v>172</v>
      </c>
      <c r="E13" t="s">
        <v>542</v>
      </c>
    </row>
    <row r="14" spans="1:5" x14ac:dyDescent="0.25">
      <c r="A14" t="s">
        <v>543</v>
      </c>
      <c r="B14" t="s">
        <v>255</v>
      </c>
      <c r="D14" t="s">
        <v>172</v>
      </c>
      <c r="E14" t="s">
        <v>543</v>
      </c>
    </row>
    <row r="16" spans="1:5" x14ac:dyDescent="0.25">
      <c r="A16" t="s">
        <v>544</v>
      </c>
      <c r="B16" t="s">
        <v>256</v>
      </c>
      <c r="D16" t="s">
        <v>250</v>
      </c>
      <c r="E16" t="s">
        <v>544</v>
      </c>
    </row>
    <row r="17" spans="1:5" x14ac:dyDescent="0.25">
      <c r="D17" t="s">
        <v>250</v>
      </c>
    </row>
    <row r="18" spans="1:5" x14ac:dyDescent="0.25">
      <c r="A18" t="s">
        <v>545</v>
      </c>
      <c r="B18" t="s">
        <v>257</v>
      </c>
      <c r="D18" t="s">
        <v>172</v>
      </c>
      <c r="E18" t="s">
        <v>545</v>
      </c>
    </row>
    <row r="19" spans="1:5" x14ac:dyDescent="0.25">
      <c r="A19" t="s">
        <v>545</v>
      </c>
      <c r="B19" t="s">
        <v>258</v>
      </c>
      <c r="D19" t="s">
        <v>172</v>
      </c>
      <c r="E19" t="s">
        <v>545</v>
      </c>
    </row>
    <row r="20" spans="1:5" x14ac:dyDescent="0.25">
      <c r="A20" t="s">
        <v>546</v>
      </c>
      <c r="B20" t="s">
        <v>259</v>
      </c>
      <c r="D20" t="s">
        <v>172</v>
      </c>
      <c r="E20" t="s">
        <v>546</v>
      </c>
    </row>
    <row r="21" spans="1:5" x14ac:dyDescent="0.25">
      <c r="A21" t="s">
        <v>547</v>
      </c>
      <c r="B21" t="s">
        <v>260</v>
      </c>
      <c r="D21" t="s">
        <v>172</v>
      </c>
      <c r="E21" t="s">
        <v>547</v>
      </c>
    </row>
    <row r="22" spans="1:5" x14ac:dyDescent="0.25">
      <c r="A22" t="s">
        <v>548</v>
      </c>
      <c r="B22" t="s">
        <v>261</v>
      </c>
      <c r="D22" t="s">
        <v>172</v>
      </c>
      <c r="E22" t="s">
        <v>548</v>
      </c>
    </row>
    <row r="23" spans="1:5" x14ac:dyDescent="0.25">
      <c r="A23" t="s">
        <v>549</v>
      </c>
      <c r="B23" t="s">
        <v>262</v>
      </c>
      <c r="D23" t="s">
        <v>172</v>
      </c>
      <c r="E23" t="s">
        <v>549</v>
      </c>
    </row>
    <row r="24" spans="1:5" x14ac:dyDescent="0.25">
      <c r="A24" t="s">
        <v>550</v>
      </c>
      <c r="B24" t="s">
        <v>263</v>
      </c>
      <c r="D24" t="s">
        <v>172</v>
      </c>
      <c r="E24" t="s">
        <v>550</v>
      </c>
    </row>
    <row r="25" spans="1:5" x14ac:dyDescent="0.25">
      <c r="A25" t="s">
        <v>551</v>
      </c>
      <c r="B25" t="s">
        <v>264</v>
      </c>
      <c r="D25" t="s">
        <v>172</v>
      </c>
      <c r="E25" t="s">
        <v>551</v>
      </c>
    </row>
    <row r="26" spans="1:5" x14ac:dyDescent="0.25">
      <c r="A26" t="s">
        <v>552</v>
      </c>
      <c r="B26" t="s">
        <v>265</v>
      </c>
      <c r="D26" t="s">
        <v>172</v>
      </c>
      <c r="E26" t="s">
        <v>552</v>
      </c>
    </row>
    <row r="27" spans="1:5" x14ac:dyDescent="0.25">
      <c r="A27" t="s">
        <v>553</v>
      </c>
      <c r="B27" t="s">
        <v>266</v>
      </c>
      <c r="D27" t="s">
        <v>172</v>
      </c>
      <c r="E27" t="s">
        <v>553</v>
      </c>
    </row>
    <row r="28" spans="1:5" x14ac:dyDescent="0.25">
      <c r="A28" t="s">
        <v>554</v>
      </c>
      <c r="B28" t="s">
        <v>267</v>
      </c>
      <c r="D28" t="s">
        <v>172</v>
      </c>
      <c r="E28" t="s">
        <v>554</v>
      </c>
    </row>
    <row r="29" spans="1:5" x14ac:dyDescent="0.25">
      <c r="A29" t="s">
        <v>555</v>
      </c>
      <c r="B29" t="s">
        <v>268</v>
      </c>
      <c r="D29" t="s">
        <v>172</v>
      </c>
      <c r="E29" t="s">
        <v>555</v>
      </c>
    </row>
    <row r="31" spans="1:5" x14ac:dyDescent="0.25">
      <c r="A31" t="s">
        <v>556</v>
      </c>
      <c r="B31" t="s">
        <v>269</v>
      </c>
      <c r="D31" t="s">
        <v>250</v>
      </c>
      <c r="E31" t="s">
        <v>556</v>
      </c>
    </row>
    <row r="33" spans="1:5" x14ac:dyDescent="0.25">
      <c r="A33" t="s">
        <v>557</v>
      </c>
      <c r="B33" t="s">
        <v>270</v>
      </c>
      <c r="D33" t="s">
        <v>250</v>
      </c>
      <c r="E33" t="s">
        <v>557</v>
      </c>
    </row>
    <row r="35" spans="1:5" x14ac:dyDescent="0.25">
      <c r="A35" t="s">
        <v>499</v>
      </c>
      <c r="B35" t="s">
        <v>271</v>
      </c>
      <c r="D35" t="s">
        <v>172</v>
      </c>
      <c r="E35" t="s">
        <v>499</v>
      </c>
    </row>
    <row r="36" spans="1:5" x14ac:dyDescent="0.25">
      <c r="A36" t="s">
        <v>500</v>
      </c>
      <c r="B36" t="s">
        <v>272</v>
      </c>
      <c r="D36" t="s">
        <v>172</v>
      </c>
      <c r="E36" t="s">
        <v>500</v>
      </c>
    </row>
    <row r="37" spans="1:5" x14ac:dyDescent="0.25">
      <c r="A37" t="s">
        <v>558</v>
      </c>
      <c r="B37" t="s">
        <v>273</v>
      </c>
      <c r="D37" t="s">
        <v>172</v>
      </c>
      <c r="E37" t="s">
        <v>558</v>
      </c>
    </row>
    <row r="38" spans="1:5" x14ac:dyDescent="0.25">
      <c r="A38" t="s">
        <v>503</v>
      </c>
      <c r="B38" t="s">
        <v>274</v>
      </c>
      <c r="D38" t="s">
        <v>172</v>
      </c>
      <c r="E38" t="s">
        <v>503</v>
      </c>
    </row>
    <row r="39" spans="1:5" x14ac:dyDescent="0.25">
      <c r="A39" t="s">
        <v>507</v>
      </c>
      <c r="B39" t="s">
        <v>275</v>
      </c>
      <c r="D39" t="s">
        <v>172</v>
      </c>
      <c r="E39" t="s">
        <v>507</v>
      </c>
    </row>
    <row r="40" spans="1:5" x14ac:dyDescent="0.25">
      <c r="A40" t="s">
        <v>559</v>
      </c>
      <c r="B40" t="s">
        <v>276</v>
      </c>
      <c r="D40" t="s">
        <v>172</v>
      </c>
      <c r="E40" t="s">
        <v>559</v>
      </c>
    </row>
    <row r="41" spans="1:5" x14ac:dyDescent="0.25">
      <c r="A41" t="s">
        <v>502</v>
      </c>
      <c r="B41" t="s">
        <v>277</v>
      </c>
      <c r="D41" t="s">
        <v>172</v>
      </c>
      <c r="E41" t="s">
        <v>502</v>
      </c>
    </row>
    <row r="42" spans="1:5" x14ac:dyDescent="0.25">
      <c r="A42" t="s">
        <v>502</v>
      </c>
      <c r="B42" t="s">
        <v>277</v>
      </c>
      <c r="C42" t="s">
        <v>278</v>
      </c>
      <c r="D42" t="s">
        <v>279</v>
      </c>
      <c r="E42" t="s">
        <v>502</v>
      </c>
    </row>
    <row r="43" spans="1:5" x14ac:dyDescent="0.25">
      <c r="A43" t="s">
        <v>504</v>
      </c>
      <c r="B43" t="s">
        <v>280</v>
      </c>
      <c r="D43" t="s">
        <v>172</v>
      </c>
      <c r="E43" t="s">
        <v>504</v>
      </c>
    </row>
    <row r="44" spans="1:5" x14ac:dyDescent="0.25">
      <c r="A44" t="s">
        <v>560</v>
      </c>
      <c r="B44" t="s">
        <v>281</v>
      </c>
      <c r="D44" t="s">
        <v>172</v>
      </c>
      <c r="E44" t="s">
        <v>560</v>
      </c>
    </row>
    <row r="45" spans="1:5" x14ac:dyDescent="0.25">
      <c r="A45" t="s">
        <v>561</v>
      </c>
      <c r="B45" t="s">
        <v>282</v>
      </c>
      <c r="D45" t="s">
        <v>172</v>
      </c>
      <c r="E45" t="s">
        <v>561</v>
      </c>
    </row>
    <row r="46" spans="1:5" x14ac:dyDescent="0.25">
      <c r="A46" t="s">
        <v>562</v>
      </c>
      <c r="B46" t="s">
        <v>283</v>
      </c>
      <c r="D46" t="s">
        <v>172</v>
      </c>
      <c r="E46" t="s">
        <v>562</v>
      </c>
    </row>
    <row r="47" spans="1:5" x14ac:dyDescent="0.25">
      <c r="A47" t="s">
        <v>563</v>
      </c>
      <c r="B47" t="s">
        <v>284</v>
      </c>
      <c r="D47" t="s">
        <v>172</v>
      </c>
      <c r="E47" t="s">
        <v>563</v>
      </c>
    </row>
    <row r="48" spans="1:5" x14ac:dyDescent="0.25">
      <c r="A48" t="s">
        <v>564</v>
      </c>
      <c r="B48" t="s">
        <v>285</v>
      </c>
      <c r="D48" t="s">
        <v>172</v>
      </c>
      <c r="E48" t="s">
        <v>564</v>
      </c>
    </row>
    <row r="49" spans="1:5" x14ac:dyDescent="0.25">
      <c r="A49" t="s">
        <v>565</v>
      </c>
      <c r="B49" t="s">
        <v>286</v>
      </c>
      <c r="D49" t="s">
        <v>172</v>
      </c>
      <c r="E49" t="s">
        <v>565</v>
      </c>
    </row>
    <row r="50" spans="1:5" x14ac:dyDescent="0.25">
      <c r="A50" t="s">
        <v>566</v>
      </c>
      <c r="B50" t="s">
        <v>287</v>
      </c>
      <c r="D50" t="s">
        <v>172</v>
      </c>
      <c r="E50" t="s">
        <v>566</v>
      </c>
    </row>
    <row r="51" spans="1:5" x14ac:dyDescent="0.25">
      <c r="A51" t="s">
        <v>567</v>
      </c>
      <c r="B51" t="s">
        <v>288</v>
      </c>
      <c r="D51" t="s">
        <v>172</v>
      </c>
      <c r="E51" t="s">
        <v>567</v>
      </c>
    </row>
    <row r="52" spans="1:5" x14ac:dyDescent="0.25">
      <c r="A52" t="s">
        <v>568</v>
      </c>
      <c r="B52" t="s">
        <v>289</v>
      </c>
      <c r="D52" t="s">
        <v>172</v>
      </c>
      <c r="E52" t="s">
        <v>568</v>
      </c>
    </row>
    <row r="53" spans="1:5" x14ac:dyDescent="0.25">
      <c r="A53" t="s">
        <v>569</v>
      </c>
      <c r="B53" t="s">
        <v>290</v>
      </c>
      <c r="D53" t="s">
        <v>172</v>
      </c>
      <c r="E53" t="s">
        <v>569</v>
      </c>
    </row>
    <row r="54" spans="1:5" x14ac:dyDescent="0.25">
      <c r="A54" t="s">
        <v>506</v>
      </c>
      <c r="B54" t="s">
        <v>291</v>
      </c>
      <c r="D54" t="s">
        <v>172</v>
      </c>
      <c r="E54" t="s">
        <v>506</v>
      </c>
    </row>
    <row r="55" spans="1:5" x14ac:dyDescent="0.25">
      <c r="A55" t="s">
        <v>570</v>
      </c>
      <c r="B55" t="s">
        <v>292</v>
      </c>
      <c r="D55" t="s">
        <v>172</v>
      </c>
      <c r="E55" t="s">
        <v>570</v>
      </c>
    </row>
    <row r="56" spans="1:5" x14ac:dyDescent="0.25">
      <c r="A56" t="s">
        <v>571</v>
      </c>
      <c r="B56" t="s">
        <v>294</v>
      </c>
      <c r="D56" t="s">
        <v>250</v>
      </c>
      <c r="E56" t="s">
        <v>571</v>
      </c>
    </row>
    <row r="57" spans="1:5" x14ac:dyDescent="0.25">
      <c r="A57" t="s">
        <v>501</v>
      </c>
      <c r="B57" t="s">
        <v>294</v>
      </c>
      <c r="C57" t="s">
        <v>295</v>
      </c>
      <c r="D57" t="s">
        <v>172</v>
      </c>
      <c r="E57" t="s">
        <v>501</v>
      </c>
    </row>
    <row r="58" spans="1:5" x14ac:dyDescent="0.25">
      <c r="A58" t="s">
        <v>572</v>
      </c>
      <c r="B58" t="s">
        <v>294</v>
      </c>
      <c r="C58" t="s">
        <v>295</v>
      </c>
      <c r="D58" t="s">
        <v>196</v>
      </c>
      <c r="E58" t="s">
        <v>572</v>
      </c>
    </row>
    <row r="59" spans="1:5" x14ac:dyDescent="0.25">
      <c r="A59" t="s">
        <v>573</v>
      </c>
      <c r="B59" t="s">
        <v>294</v>
      </c>
      <c r="C59" t="s">
        <v>295</v>
      </c>
      <c r="D59" t="s">
        <v>296</v>
      </c>
      <c r="E59" t="s">
        <v>573</v>
      </c>
    </row>
    <row r="60" spans="1:5" x14ac:dyDescent="0.25">
      <c r="A60" t="s">
        <v>574</v>
      </c>
      <c r="B60" t="s">
        <v>297</v>
      </c>
      <c r="D60" t="s">
        <v>250</v>
      </c>
      <c r="E60" t="s">
        <v>574</v>
      </c>
    </row>
    <row r="61" spans="1:5" x14ac:dyDescent="0.25">
      <c r="A61" t="s">
        <v>575</v>
      </c>
      <c r="B61" t="s">
        <v>297</v>
      </c>
      <c r="C61" t="s">
        <v>298</v>
      </c>
      <c r="D61" t="s">
        <v>172</v>
      </c>
      <c r="E61" t="s">
        <v>575</v>
      </c>
    </row>
    <row r="62" spans="1:5" x14ac:dyDescent="0.25">
      <c r="A62" t="s">
        <v>575</v>
      </c>
      <c r="B62" t="s">
        <v>297</v>
      </c>
      <c r="C62" t="s">
        <v>299</v>
      </c>
      <c r="D62" t="s">
        <v>172</v>
      </c>
      <c r="E62" t="s">
        <v>575</v>
      </c>
    </row>
    <row r="63" spans="1:5" x14ac:dyDescent="0.25">
      <c r="A63" t="s">
        <v>576</v>
      </c>
      <c r="B63" t="s">
        <v>300</v>
      </c>
      <c r="D63" t="s">
        <v>172</v>
      </c>
      <c r="E63" t="s">
        <v>576</v>
      </c>
    </row>
    <row r="64" spans="1:5" x14ac:dyDescent="0.25">
      <c r="A64" t="s">
        <v>577</v>
      </c>
      <c r="B64" t="s">
        <v>301</v>
      </c>
      <c r="D64" t="s">
        <v>172</v>
      </c>
      <c r="E64" t="s">
        <v>577</v>
      </c>
    </row>
    <row r="65" spans="1:5" x14ac:dyDescent="0.25">
      <c r="A65" t="s">
        <v>578</v>
      </c>
      <c r="B65" t="s">
        <v>302</v>
      </c>
      <c r="D65" t="s">
        <v>172</v>
      </c>
      <c r="E65" t="s">
        <v>578</v>
      </c>
    </row>
    <row r="66" spans="1:5" x14ac:dyDescent="0.25">
      <c r="A66" t="s">
        <v>32</v>
      </c>
      <c r="B66" t="s">
        <v>303</v>
      </c>
      <c r="D66" t="s">
        <v>172</v>
      </c>
      <c r="E66" t="s">
        <v>32</v>
      </c>
    </row>
    <row r="67" spans="1:5" x14ac:dyDescent="0.25">
      <c r="A67" t="s">
        <v>505</v>
      </c>
      <c r="B67" t="s">
        <v>304</v>
      </c>
      <c r="D67" t="s">
        <v>172</v>
      </c>
      <c r="E67" t="s">
        <v>505</v>
      </c>
    </row>
    <row r="69" spans="1:5" x14ac:dyDescent="0.25">
      <c r="A69" t="s">
        <v>35</v>
      </c>
      <c r="B69" t="s">
        <v>305</v>
      </c>
      <c r="D69" t="s">
        <v>250</v>
      </c>
      <c r="E69" t="s">
        <v>35</v>
      </c>
    </row>
    <row r="70" spans="1:5" x14ac:dyDescent="0.25">
      <c r="A70" t="s">
        <v>306</v>
      </c>
      <c r="E70" t="s">
        <v>306</v>
      </c>
    </row>
    <row r="72" spans="1:5" x14ac:dyDescent="0.25">
      <c r="A72" t="s">
        <v>579</v>
      </c>
      <c r="B72" t="s">
        <v>307</v>
      </c>
      <c r="D72" t="s">
        <v>172</v>
      </c>
      <c r="E72" t="s">
        <v>579</v>
      </c>
    </row>
    <row r="73" spans="1:5" x14ac:dyDescent="0.25">
      <c r="A73" t="s">
        <v>580</v>
      </c>
      <c r="B73" t="s">
        <v>308</v>
      </c>
      <c r="D73" t="s">
        <v>172</v>
      </c>
      <c r="E73" t="s">
        <v>580</v>
      </c>
    </row>
    <row r="74" spans="1:5" x14ac:dyDescent="0.25">
      <c r="A74" t="s">
        <v>581</v>
      </c>
      <c r="B74" t="s">
        <v>309</v>
      </c>
      <c r="D74" t="s">
        <v>172</v>
      </c>
      <c r="E74" t="s">
        <v>581</v>
      </c>
    </row>
    <row r="75" spans="1:5" x14ac:dyDescent="0.25">
      <c r="A75" t="s">
        <v>582</v>
      </c>
      <c r="B75" t="s">
        <v>310</v>
      </c>
      <c r="D75" t="s">
        <v>172</v>
      </c>
      <c r="E75" t="s">
        <v>582</v>
      </c>
    </row>
    <row r="76" spans="1:5" x14ac:dyDescent="0.25">
      <c r="A76" t="s">
        <v>583</v>
      </c>
      <c r="B76" t="s">
        <v>311</v>
      </c>
      <c r="D76" t="s">
        <v>172</v>
      </c>
      <c r="E76" t="s">
        <v>583</v>
      </c>
    </row>
    <row r="77" spans="1:5" x14ac:dyDescent="0.25">
      <c r="A77" t="s">
        <v>584</v>
      </c>
      <c r="B77" t="s">
        <v>312</v>
      </c>
      <c r="D77" t="s">
        <v>172</v>
      </c>
      <c r="E77" t="s">
        <v>584</v>
      </c>
    </row>
    <row r="78" spans="1:5" x14ac:dyDescent="0.25">
      <c r="A78" t="s">
        <v>585</v>
      </c>
      <c r="B78" t="s">
        <v>313</v>
      </c>
      <c r="D78" t="s">
        <v>172</v>
      </c>
      <c r="E78" t="s">
        <v>585</v>
      </c>
    </row>
    <row r="79" spans="1:5" x14ac:dyDescent="0.25">
      <c r="A79" t="s">
        <v>586</v>
      </c>
      <c r="B79" t="s">
        <v>314</v>
      </c>
      <c r="D79" t="s">
        <v>172</v>
      </c>
      <c r="E79" t="s">
        <v>586</v>
      </c>
    </row>
    <row r="80" spans="1:5" x14ac:dyDescent="0.25">
      <c r="A80" t="s">
        <v>587</v>
      </c>
      <c r="B80" t="s">
        <v>315</v>
      </c>
      <c r="D80" t="s">
        <v>172</v>
      </c>
      <c r="E80" t="s">
        <v>587</v>
      </c>
    </row>
    <row r="81" spans="1:5" x14ac:dyDescent="0.25">
      <c r="A81" t="s">
        <v>588</v>
      </c>
      <c r="B81" t="s">
        <v>316</v>
      </c>
      <c r="C81" t="s">
        <v>295</v>
      </c>
      <c r="D81" t="s">
        <v>250</v>
      </c>
      <c r="E81" t="s">
        <v>588</v>
      </c>
    </row>
    <row r="82" spans="1:5" x14ac:dyDescent="0.25">
      <c r="A82" t="s">
        <v>589</v>
      </c>
      <c r="B82" t="s">
        <v>316</v>
      </c>
      <c r="C82" t="s">
        <v>295</v>
      </c>
      <c r="D82" t="s">
        <v>172</v>
      </c>
      <c r="E82" t="s">
        <v>589</v>
      </c>
    </row>
    <row r="83" spans="1:5" x14ac:dyDescent="0.25">
      <c r="A83" t="s">
        <v>508</v>
      </c>
      <c r="B83" t="s">
        <v>316</v>
      </c>
      <c r="C83" t="s">
        <v>201</v>
      </c>
      <c r="D83" t="s">
        <v>172</v>
      </c>
      <c r="E83" t="s">
        <v>508</v>
      </c>
    </row>
    <row r="84" spans="1:5" x14ac:dyDescent="0.25">
      <c r="A84" t="s">
        <v>590</v>
      </c>
      <c r="B84" t="s">
        <v>316</v>
      </c>
      <c r="C84" t="s">
        <v>295</v>
      </c>
      <c r="D84" t="s">
        <v>196</v>
      </c>
      <c r="E84" t="s">
        <v>590</v>
      </c>
    </row>
    <row r="85" spans="1:5" x14ac:dyDescent="0.25">
      <c r="A85" t="s">
        <v>591</v>
      </c>
      <c r="B85" t="s">
        <v>316</v>
      </c>
      <c r="C85" t="s">
        <v>295</v>
      </c>
      <c r="D85" t="s">
        <v>296</v>
      </c>
      <c r="E85" t="s">
        <v>591</v>
      </c>
    </row>
    <row r="86" spans="1:5" x14ac:dyDescent="0.25">
      <c r="A86" t="s">
        <v>592</v>
      </c>
      <c r="B86" t="s">
        <v>317</v>
      </c>
      <c r="D86" t="s">
        <v>172</v>
      </c>
      <c r="E86" t="s">
        <v>592</v>
      </c>
    </row>
    <row r="87" spans="1:5" x14ac:dyDescent="0.25">
      <c r="A87" t="s">
        <v>593</v>
      </c>
      <c r="B87" t="s">
        <v>318</v>
      </c>
      <c r="D87" t="s">
        <v>172</v>
      </c>
      <c r="E87" t="s">
        <v>593</v>
      </c>
    </row>
    <row r="88" spans="1:5" x14ac:dyDescent="0.25">
      <c r="A88" t="s">
        <v>594</v>
      </c>
      <c r="B88" t="s">
        <v>319</v>
      </c>
      <c r="D88" t="s">
        <v>172</v>
      </c>
      <c r="E88" t="s">
        <v>594</v>
      </c>
    </row>
    <row r="89" spans="1:5" x14ac:dyDescent="0.25">
      <c r="A89" t="s">
        <v>595</v>
      </c>
      <c r="B89" t="s">
        <v>320</v>
      </c>
      <c r="D89" t="s">
        <v>172</v>
      </c>
      <c r="E89" t="s">
        <v>595</v>
      </c>
    </row>
    <row r="90" spans="1:5" x14ac:dyDescent="0.25">
      <c r="A90" t="s">
        <v>596</v>
      </c>
      <c r="B90" t="s">
        <v>321</v>
      </c>
      <c r="D90" t="s">
        <v>172</v>
      </c>
      <c r="E90" t="s">
        <v>596</v>
      </c>
    </row>
    <row r="91" spans="1:5" x14ac:dyDescent="0.25">
      <c r="A91" t="s">
        <v>509</v>
      </c>
      <c r="B91" t="s">
        <v>322</v>
      </c>
      <c r="D91" t="s">
        <v>172</v>
      </c>
      <c r="E91" t="s">
        <v>509</v>
      </c>
    </row>
    <row r="93" spans="1:5" x14ac:dyDescent="0.25">
      <c r="A93" t="s">
        <v>597</v>
      </c>
      <c r="B93" t="s">
        <v>323</v>
      </c>
      <c r="D93" t="s">
        <v>250</v>
      </c>
      <c r="E93" t="s">
        <v>597</v>
      </c>
    </row>
    <row r="95" spans="1:5" x14ac:dyDescent="0.25">
      <c r="A95" t="s">
        <v>513</v>
      </c>
      <c r="B95" t="s">
        <v>324</v>
      </c>
      <c r="D95" t="s">
        <v>172</v>
      </c>
      <c r="E95" t="s">
        <v>513</v>
      </c>
    </row>
    <row r="96" spans="1:5" x14ac:dyDescent="0.25">
      <c r="A96" t="s">
        <v>598</v>
      </c>
      <c r="B96" t="s">
        <v>325</v>
      </c>
      <c r="D96" t="s">
        <v>172</v>
      </c>
      <c r="E96" t="s">
        <v>598</v>
      </c>
    </row>
    <row r="97" spans="1:5" x14ac:dyDescent="0.25">
      <c r="A97" t="s">
        <v>512</v>
      </c>
      <c r="B97" t="s">
        <v>326</v>
      </c>
      <c r="D97" t="s">
        <v>172</v>
      </c>
      <c r="E97" t="s">
        <v>512</v>
      </c>
    </row>
    <row r="98" spans="1:5" x14ac:dyDescent="0.25">
      <c r="A98" t="s">
        <v>599</v>
      </c>
      <c r="B98" t="s">
        <v>327</v>
      </c>
      <c r="D98" t="s">
        <v>172</v>
      </c>
      <c r="E98" t="s">
        <v>599</v>
      </c>
    </row>
    <row r="99" spans="1:5" x14ac:dyDescent="0.25">
      <c r="A99" t="s">
        <v>600</v>
      </c>
      <c r="B99" t="s">
        <v>328</v>
      </c>
      <c r="D99" t="s">
        <v>172</v>
      </c>
      <c r="E99" t="s">
        <v>600</v>
      </c>
    </row>
    <row r="100" spans="1:5" x14ac:dyDescent="0.25">
      <c r="A100" t="s">
        <v>511</v>
      </c>
      <c r="B100" t="s">
        <v>329</v>
      </c>
      <c r="D100" t="s">
        <v>172</v>
      </c>
      <c r="E100" t="s">
        <v>511</v>
      </c>
    </row>
    <row r="101" spans="1:5" x14ac:dyDescent="0.25">
      <c r="A101" t="s">
        <v>510</v>
      </c>
      <c r="B101" t="s">
        <v>330</v>
      </c>
      <c r="D101" t="s">
        <v>172</v>
      </c>
      <c r="E101" t="s">
        <v>510</v>
      </c>
    </row>
    <row r="102" spans="1:5" x14ac:dyDescent="0.25">
      <c r="A102" t="s">
        <v>601</v>
      </c>
      <c r="B102" t="s">
        <v>331</v>
      </c>
      <c r="D102" t="s">
        <v>172</v>
      </c>
      <c r="E102" t="s">
        <v>601</v>
      </c>
    </row>
    <row r="103" spans="1:5" x14ac:dyDescent="0.25">
      <c r="A103" t="s">
        <v>602</v>
      </c>
      <c r="B103" t="s">
        <v>332</v>
      </c>
      <c r="D103" t="s">
        <v>172</v>
      </c>
      <c r="E103" t="s">
        <v>602</v>
      </c>
    </row>
    <row r="104" spans="1:5" x14ac:dyDescent="0.25">
      <c r="A104" t="s">
        <v>603</v>
      </c>
      <c r="B104" t="s">
        <v>333</v>
      </c>
      <c r="D104" t="s">
        <v>172</v>
      </c>
      <c r="E104" t="s">
        <v>603</v>
      </c>
    </row>
    <row r="105" spans="1:5" x14ac:dyDescent="0.25">
      <c r="A105" t="s">
        <v>604</v>
      </c>
      <c r="B105" t="s">
        <v>334</v>
      </c>
      <c r="D105" t="s">
        <v>172</v>
      </c>
      <c r="E105" t="s">
        <v>604</v>
      </c>
    </row>
    <row r="106" spans="1:5" x14ac:dyDescent="0.25">
      <c r="A106" t="s">
        <v>605</v>
      </c>
      <c r="B106" t="s">
        <v>335</v>
      </c>
      <c r="D106" t="s">
        <v>172</v>
      </c>
      <c r="E106" t="s">
        <v>605</v>
      </c>
    </row>
    <row r="108" spans="1:5" x14ac:dyDescent="0.25">
      <c r="A108" t="s">
        <v>606</v>
      </c>
      <c r="B108" t="s">
        <v>336</v>
      </c>
      <c r="D108" t="s">
        <v>250</v>
      </c>
      <c r="E108" t="s">
        <v>606</v>
      </c>
    </row>
    <row r="110" spans="1:5" x14ac:dyDescent="0.25">
      <c r="A110" t="s">
        <v>514</v>
      </c>
      <c r="B110" t="s">
        <v>337</v>
      </c>
      <c r="D110" t="s">
        <v>172</v>
      </c>
      <c r="E110" t="s">
        <v>514</v>
      </c>
    </row>
    <row r="111" spans="1:5" x14ac:dyDescent="0.25">
      <c r="A111" t="s">
        <v>516</v>
      </c>
      <c r="B111" t="s">
        <v>338</v>
      </c>
      <c r="D111" t="s">
        <v>172</v>
      </c>
      <c r="E111" t="s">
        <v>516</v>
      </c>
    </row>
    <row r="112" spans="1:5" x14ac:dyDescent="0.25">
      <c r="A112" t="s">
        <v>515</v>
      </c>
      <c r="B112" t="s">
        <v>339</v>
      </c>
      <c r="D112" t="s">
        <v>172</v>
      </c>
      <c r="E112" t="s">
        <v>515</v>
      </c>
    </row>
    <row r="113" spans="1:5" x14ac:dyDescent="0.25">
      <c r="A113" t="s">
        <v>607</v>
      </c>
      <c r="B113" t="s">
        <v>340</v>
      </c>
      <c r="D113" t="s">
        <v>172</v>
      </c>
      <c r="E113" t="s">
        <v>607</v>
      </c>
    </row>
    <row r="114" spans="1:5" x14ac:dyDescent="0.25">
      <c r="A114" t="s">
        <v>608</v>
      </c>
      <c r="B114" t="s">
        <v>341</v>
      </c>
      <c r="D114" t="s">
        <v>172</v>
      </c>
      <c r="E114" t="s">
        <v>608</v>
      </c>
    </row>
    <row r="115" spans="1:5" x14ac:dyDescent="0.25">
      <c r="A115" t="s">
        <v>609</v>
      </c>
      <c r="B115" t="s">
        <v>342</v>
      </c>
      <c r="D115" t="s">
        <v>172</v>
      </c>
      <c r="E115" t="s">
        <v>609</v>
      </c>
    </row>
    <row r="116" spans="1:5" x14ac:dyDescent="0.25">
      <c r="A116" t="s">
        <v>610</v>
      </c>
      <c r="B116" t="s">
        <v>343</v>
      </c>
      <c r="D116" t="s">
        <v>172</v>
      </c>
      <c r="E116" t="s">
        <v>610</v>
      </c>
    </row>
    <row r="117" spans="1:5" x14ac:dyDescent="0.25">
      <c r="A117" t="s">
        <v>611</v>
      </c>
      <c r="B117" t="s">
        <v>344</v>
      </c>
      <c r="D117" t="s">
        <v>172</v>
      </c>
      <c r="E117" t="s">
        <v>611</v>
      </c>
    </row>
    <row r="118" spans="1:5" x14ac:dyDescent="0.25">
      <c r="A118" t="s">
        <v>612</v>
      </c>
      <c r="B118" t="s">
        <v>345</v>
      </c>
      <c r="D118" t="s">
        <v>172</v>
      </c>
      <c r="E118" t="s">
        <v>612</v>
      </c>
    </row>
    <row r="119" spans="1:5" x14ac:dyDescent="0.25">
      <c r="A119" t="s">
        <v>613</v>
      </c>
      <c r="B119" t="s">
        <v>346</v>
      </c>
      <c r="D119" t="s">
        <v>172</v>
      </c>
      <c r="E119" t="s">
        <v>613</v>
      </c>
    </row>
    <row r="120" spans="1:5" x14ac:dyDescent="0.25">
      <c r="A120" t="s">
        <v>614</v>
      </c>
      <c r="B120" t="s">
        <v>347</v>
      </c>
      <c r="D120" t="s">
        <v>172</v>
      </c>
      <c r="E120" t="s">
        <v>614</v>
      </c>
    </row>
    <row r="121" spans="1:5" x14ac:dyDescent="0.25">
      <c r="A121" t="s">
        <v>615</v>
      </c>
      <c r="B121" t="s">
        <v>348</v>
      </c>
      <c r="D121" t="s">
        <v>172</v>
      </c>
      <c r="E121" t="s">
        <v>615</v>
      </c>
    </row>
    <row r="122" spans="1:5" x14ac:dyDescent="0.25">
      <c r="A122" t="s">
        <v>616</v>
      </c>
      <c r="B122" t="s">
        <v>349</v>
      </c>
      <c r="D122" t="s">
        <v>172</v>
      </c>
      <c r="E122" t="s">
        <v>616</v>
      </c>
    </row>
    <row r="123" spans="1:5" x14ac:dyDescent="0.25">
      <c r="A123" t="s">
        <v>617</v>
      </c>
      <c r="B123" t="s">
        <v>350</v>
      </c>
      <c r="D123" t="s">
        <v>172</v>
      </c>
      <c r="E123" t="s">
        <v>617</v>
      </c>
    </row>
    <row r="124" spans="1:5" x14ac:dyDescent="0.25">
      <c r="A124" t="s">
        <v>618</v>
      </c>
      <c r="B124" t="s">
        <v>351</v>
      </c>
      <c r="D124" t="s">
        <v>172</v>
      </c>
      <c r="E124" t="s">
        <v>618</v>
      </c>
    </row>
    <row r="125" spans="1:5" x14ac:dyDescent="0.25">
      <c r="A125" t="s">
        <v>619</v>
      </c>
      <c r="B125" t="s">
        <v>352</v>
      </c>
      <c r="D125" t="s">
        <v>172</v>
      </c>
      <c r="E125" t="s">
        <v>619</v>
      </c>
    </row>
    <row r="126" spans="1:5" x14ac:dyDescent="0.25">
      <c r="A126" t="s">
        <v>620</v>
      </c>
      <c r="B126" t="s">
        <v>353</v>
      </c>
      <c r="C126" t="s">
        <v>354</v>
      </c>
      <c r="D126" t="s">
        <v>172</v>
      </c>
      <c r="E126" t="s">
        <v>620</v>
      </c>
    </row>
    <row r="127" spans="1:5" x14ac:dyDescent="0.25">
      <c r="A127" t="s">
        <v>621</v>
      </c>
      <c r="B127" t="s">
        <v>355</v>
      </c>
      <c r="D127" t="s">
        <v>172</v>
      </c>
      <c r="E127" t="s">
        <v>621</v>
      </c>
    </row>
    <row r="128" spans="1:5" x14ac:dyDescent="0.25">
      <c r="A128" t="s">
        <v>622</v>
      </c>
      <c r="B128" t="s">
        <v>356</v>
      </c>
      <c r="D128" t="s">
        <v>172</v>
      </c>
      <c r="E128" t="s">
        <v>622</v>
      </c>
    </row>
    <row r="129" spans="1:5" x14ac:dyDescent="0.25">
      <c r="A129" t="s">
        <v>517</v>
      </c>
      <c r="B129" t="s">
        <v>357</v>
      </c>
      <c r="D129" t="s">
        <v>172</v>
      </c>
      <c r="E129" t="s">
        <v>517</v>
      </c>
    </row>
    <row r="131" spans="1:5" x14ac:dyDescent="0.25">
      <c r="A131" t="s">
        <v>623</v>
      </c>
      <c r="B131" t="s">
        <v>358</v>
      </c>
      <c r="D131" t="s">
        <v>250</v>
      </c>
      <c r="E131" t="s">
        <v>623</v>
      </c>
    </row>
    <row r="133" spans="1:5" x14ac:dyDescent="0.25">
      <c r="A133" t="s">
        <v>624</v>
      </c>
      <c r="B133" t="s">
        <v>359</v>
      </c>
      <c r="D133" t="s">
        <v>250</v>
      </c>
      <c r="E133" t="s">
        <v>624</v>
      </c>
    </row>
    <row r="134" spans="1:5" x14ac:dyDescent="0.25">
      <c r="A134" t="s">
        <v>518</v>
      </c>
      <c r="B134" t="s">
        <v>359</v>
      </c>
      <c r="D134" t="s">
        <v>172</v>
      </c>
      <c r="E134" t="s">
        <v>518</v>
      </c>
    </row>
    <row r="135" spans="1:5" x14ac:dyDescent="0.25">
      <c r="A135" t="s">
        <v>625</v>
      </c>
      <c r="B135" t="s">
        <v>359</v>
      </c>
      <c r="D135" t="s">
        <v>196</v>
      </c>
      <c r="E135" t="s">
        <v>625</v>
      </c>
    </row>
    <row r="136" spans="1:5" x14ac:dyDescent="0.25">
      <c r="A136" t="s">
        <v>626</v>
      </c>
      <c r="B136" t="s">
        <v>360</v>
      </c>
      <c r="D136" t="s">
        <v>172</v>
      </c>
      <c r="E136" t="s">
        <v>626</v>
      </c>
    </row>
    <row r="137" spans="1:5" x14ac:dyDescent="0.25">
      <c r="A137" t="s">
        <v>627</v>
      </c>
      <c r="B137" t="s">
        <v>361</v>
      </c>
      <c r="D137" t="s">
        <v>172</v>
      </c>
      <c r="E137" t="s">
        <v>627</v>
      </c>
    </row>
    <row r="138" spans="1:5" x14ac:dyDescent="0.25">
      <c r="A138" t="s">
        <v>628</v>
      </c>
      <c r="B138" t="s">
        <v>362</v>
      </c>
      <c r="D138" t="s">
        <v>172</v>
      </c>
      <c r="E138" t="s">
        <v>628</v>
      </c>
    </row>
    <row r="139" spans="1:5" x14ac:dyDescent="0.25">
      <c r="A139" t="s">
        <v>629</v>
      </c>
      <c r="B139" t="s">
        <v>363</v>
      </c>
      <c r="D139" t="s">
        <v>172</v>
      </c>
      <c r="E139" t="s">
        <v>629</v>
      </c>
    </row>
    <row r="140" spans="1:5" x14ac:dyDescent="0.25">
      <c r="A140" t="s">
        <v>519</v>
      </c>
      <c r="B140" t="s">
        <v>364</v>
      </c>
      <c r="D140" t="s">
        <v>172</v>
      </c>
      <c r="E140" t="s">
        <v>519</v>
      </c>
    </row>
    <row r="141" spans="1:5" x14ac:dyDescent="0.25">
      <c r="A141" t="s">
        <v>630</v>
      </c>
      <c r="B141" t="s">
        <v>365</v>
      </c>
      <c r="D141" t="s">
        <v>172</v>
      </c>
      <c r="E141" t="s">
        <v>630</v>
      </c>
    </row>
    <row r="142" spans="1:5" x14ac:dyDescent="0.25">
      <c r="A142" t="s">
        <v>631</v>
      </c>
      <c r="B142" t="s">
        <v>366</v>
      </c>
      <c r="D142" t="s">
        <v>250</v>
      </c>
      <c r="E142" t="s">
        <v>631</v>
      </c>
    </row>
    <row r="143" spans="1:5" x14ac:dyDescent="0.25">
      <c r="A143" t="s">
        <v>520</v>
      </c>
      <c r="B143" t="s">
        <v>366</v>
      </c>
      <c r="D143" t="s">
        <v>172</v>
      </c>
      <c r="E143" t="s">
        <v>520</v>
      </c>
    </row>
    <row r="144" spans="1:5" x14ac:dyDescent="0.25">
      <c r="A144" t="s">
        <v>632</v>
      </c>
      <c r="B144" t="s">
        <v>366</v>
      </c>
      <c r="D144" t="s">
        <v>196</v>
      </c>
      <c r="E144" t="s">
        <v>632</v>
      </c>
    </row>
    <row r="145" spans="1:5" x14ac:dyDescent="0.25">
      <c r="A145" t="s">
        <v>523</v>
      </c>
      <c r="B145" t="s">
        <v>367</v>
      </c>
      <c r="D145" t="s">
        <v>196</v>
      </c>
      <c r="E145" t="s">
        <v>523</v>
      </c>
    </row>
    <row r="146" spans="1:5" x14ac:dyDescent="0.25">
      <c r="A146" t="s">
        <v>633</v>
      </c>
      <c r="B146" t="s">
        <v>368</v>
      </c>
      <c r="D146" t="s">
        <v>196</v>
      </c>
      <c r="E146" t="s">
        <v>633</v>
      </c>
    </row>
    <row r="147" spans="1:5" x14ac:dyDescent="0.25">
      <c r="A147" t="s">
        <v>634</v>
      </c>
      <c r="B147" t="s">
        <v>369</v>
      </c>
      <c r="D147" t="s">
        <v>172</v>
      </c>
      <c r="E147" t="s">
        <v>634</v>
      </c>
    </row>
    <row r="148" spans="1:5" x14ac:dyDescent="0.25">
      <c r="A148" t="s">
        <v>635</v>
      </c>
      <c r="B148" t="s">
        <v>370</v>
      </c>
      <c r="D148" t="s">
        <v>172</v>
      </c>
      <c r="E148" t="s">
        <v>635</v>
      </c>
    </row>
    <row r="149" spans="1:5" x14ac:dyDescent="0.25">
      <c r="A149" t="s">
        <v>636</v>
      </c>
      <c r="B149" t="s">
        <v>371</v>
      </c>
      <c r="D149" t="s">
        <v>250</v>
      </c>
      <c r="E149" t="s">
        <v>636</v>
      </c>
    </row>
    <row r="150" spans="1:5" x14ac:dyDescent="0.25">
      <c r="A150" t="s">
        <v>525</v>
      </c>
      <c r="B150" t="s">
        <v>371</v>
      </c>
      <c r="D150" t="s">
        <v>196</v>
      </c>
      <c r="E150" t="s">
        <v>525</v>
      </c>
    </row>
    <row r="151" spans="1:5" x14ac:dyDescent="0.25">
      <c r="A151" t="s">
        <v>637</v>
      </c>
      <c r="B151" t="s">
        <v>371</v>
      </c>
      <c r="D151" t="s">
        <v>296</v>
      </c>
      <c r="E151" t="s">
        <v>637</v>
      </c>
    </row>
    <row r="152" spans="1:5" x14ac:dyDescent="0.25">
      <c r="A152" t="s">
        <v>521</v>
      </c>
      <c r="B152" t="s">
        <v>372</v>
      </c>
      <c r="D152" t="s">
        <v>196</v>
      </c>
      <c r="E152" t="s">
        <v>521</v>
      </c>
    </row>
    <row r="153" spans="1:5" x14ac:dyDescent="0.25">
      <c r="A153" t="s">
        <v>638</v>
      </c>
      <c r="B153" t="s">
        <v>373</v>
      </c>
      <c r="D153" t="s">
        <v>250</v>
      </c>
      <c r="E153" t="s">
        <v>638</v>
      </c>
    </row>
    <row r="154" spans="1:5" x14ac:dyDescent="0.25">
      <c r="A154" t="s">
        <v>524</v>
      </c>
      <c r="B154" t="s">
        <v>373</v>
      </c>
      <c r="D154" t="s">
        <v>196</v>
      </c>
      <c r="E154" t="s">
        <v>524</v>
      </c>
    </row>
    <row r="155" spans="1:5" x14ac:dyDescent="0.25">
      <c r="A155" t="s">
        <v>639</v>
      </c>
      <c r="B155" t="s">
        <v>373</v>
      </c>
      <c r="D155" t="s">
        <v>296</v>
      </c>
      <c r="E155" t="s">
        <v>639</v>
      </c>
    </row>
    <row r="156" spans="1:5" x14ac:dyDescent="0.25">
      <c r="A156" t="s">
        <v>640</v>
      </c>
      <c r="B156" t="s">
        <v>374</v>
      </c>
      <c r="D156" t="s">
        <v>250</v>
      </c>
      <c r="E156" t="s">
        <v>640</v>
      </c>
    </row>
    <row r="157" spans="1:5" x14ac:dyDescent="0.25">
      <c r="A157" t="s">
        <v>522</v>
      </c>
      <c r="B157" t="s">
        <v>374</v>
      </c>
      <c r="D157" t="s">
        <v>196</v>
      </c>
      <c r="E157" t="s">
        <v>522</v>
      </c>
    </row>
    <row r="158" spans="1:5" x14ac:dyDescent="0.25">
      <c r="A158" t="s">
        <v>641</v>
      </c>
      <c r="B158" t="s">
        <v>374</v>
      </c>
      <c r="D158" t="s">
        <v>296</v>
      </c>
      <c r="E158" t="s">
        <v>641</v>
      </c>
    </row>
    <row r="159" spans="1:5" x14ac:dyDescent="0.25">
      <c r="A159" t="s">
        <v>642</v>
      </c>
      <c r="B159" t="s">
        <v>375</v>
      </c>
      <c r="D159" t="s">
        <v>172</v>
      </c>
      <c r="E159" t="s">
        <v>642</v>
      </c>
    </row>
    <row r="160" spans="1:5" x14ac:dyDescent="0.25">
      <c r="A160" t="s">
        <v>643</v>
      </c>
      <c r="B160" t="s">
        <v>376</v>
      </c>
      <c r="D160" t="s">
        <v>172</v>
      </c>
      <c r="E160" t="s">
        <v>643</v>
      </c>
    </row>
    <row r="161" spans="1:5" x14ac:dyDescent="0.25">
      <c r="A161" t="s">
        <v>644</v>
      </c>
      <c r="B161" t="s">
        <v>377</v>
      </c>
      <c r="D161" t="s">
        <v>172</v>
      </c>
      <c r="E161" t="s">
        <v>644</v>
      </c>
    </row>
    <row r="162" spans="1:5" x14ac:dyDescent="0.25">
      <c r="A162" t="s">
        <v>645</v>
      </c>
      <c r="B162" t="s">
        <v>378</v>
      </c>
      <c r="C162" t="s">
        <v>379</v>
      </c>
      <c r="D162" t="s">
        <v>296</v>
      </c>
      <c r="E162" t="s">
        <v>645</v>
      </c>
    </row>
    <row r="163" spans="1:5" x14ac:dyDescent="0.25">
      <c r="A163" t="s">
        <v>646</v>
      </c>
      <c r="B163" t="s">
        <v>380</v>
      </c>
      <c r="D163" t="s">
        <v>172</v>
      </c>
      <c r="E163" t="s">
        <v>646</v>
      </c>
    </row>
    <row r="164" spans="1:5" x14ac:dyDescent="0.25">
      <c r="A164" t="s">
        <v>647</v>
      </c>
      <c r="B164" t="s">
        <v>381</v>
      </c>
      <c r="D164" t="s">
        <v>172</v>
      </c>
      <c r="E164" t="s">
        <v>647</v>
      </c>
    </row>
    <row r="165" spans="1:5" x14ac:dyDescent="0.25">
      <c r="A165" t="s">
        <v>648</v>
      </c>
      <c r="B165" t="s">
        <v>382</v>
      </c>
      <c r="C165" t="s">
        <v>383</v>
      </c>
      <c r="D165" t="s">
        <v>196</v>
      </c>
      <c r="E165" t="s">
        <v>648</v>
      </c>
    </row>
    <row r="167" spans="1:5" x14ac:dyDescent="0.25">
      <c r="A167" t="s">
        <v>649</v>
      </c>
      <c r="B167" t="s">
        <v>384</v>
      </c>
      <c r="D167" t="s">
        <v>250</v>
      </c>
      <c r="E167" t="s">
        <v>649</v>
      </c>
    </row>
    <row r="169" spans="1:5" x14ac:dyDescent="0.25">
      <c r="A169" t="s">
        <v>527</v>
      </c>
      <c r="B169" t="s">
        <v>385</v>
      </c>
      <c r="C169" t="s">
        <v>386</v>
      </c>
      <c r="D169" t="s">
        <v>172</v>
      </c>
      <c r="E169" t="s">
        <v>527</v>
      </c>
    </row>
    <row r="170" spans="1:5" x14ac:dyDescent="0.25">
      <c r="A170" t="s">
        <v>650</v>
      </c>
      <c r="B170" t="s">
        <v>387</v>
      </c>
      <c r="D170" t="s">
        <v>172</v>
      </c>
      <c r="E170" t="s">
        <v>650</v>
      </c>
    </row>
    <row r="171" spans="1:5" x14ac:dyDescent="0.25">
      <c r="A171" t="s">
        <v>651</v>
      </c>
      <c r="B171" t="s">
        <v>388</v>
      </c>
      <c r="D171" t="s">
        <v>172</v>
      </c>
      <c r="E171" t="s">
        <v>651</v>
      </c>
    </row>
    <row r="172" spans="1:5" x14ac:dyDescent="0.25">
      <c r="A172" t="s">
        <v>652</v>
      </c>
      <c r="B172" t="s">
        <v>389</v>
      </c>
      <c r="D172" t="s">
        <v>172</v>
      </c>
      <c r="E172" t="s">
        <v>652</v>
      </c>
    </row>
    <row r="173" spans="1:5" x14ac:dyDescent="0.25">
      <c r="A173" t="s">
        <v>652</v>
      </c>
      <c r="B173" t="s">
        <v>390</v>
      </c>
      <c r="C173" t="s">
        <v>391</v>
      </c>
      <c r="D173" t="s">
        <v>172</v>
      </c>
      <c r="E173" t="s">
        <v>652</v>
      </c>
    </row>
    <row r="174" spans="1:5" x14ac:dyDescent="0.25">
      <c r="A174" t="s">
        <v>652</v>
      </c>
      <c r="B174" t="s">
        <v>392</v>
      </c>
      <c r="D174" t="s">
        <v>172</v>
      </c>
      <c r="E174" t="s">
        <v>652</v>
      </c>
    </row>
    <row r="175" spans="1:5" x14ac:dyDescent="0.25">
      <c r="A175" t="s">
        <v>526</v>
      </c>
      <c r="B175" t="s">
        <v>393</v>
      </c>
      <c r="D175" t="s">
        <v>172</v>
      </c>
      <c r="E175" t="s">
        <v>526</v>
      </c>
    </row>
    <row r="176" spans="1:5" x14ac:dyDescent="0.25">
      <c r="A176" t="s">
        <v>529</v>
      </c>
      <c r="B176" t="s">
        <v>394</v>
      </c>
      <c r="D176" t="s">
        <v>172</v>
      </c>
      <c r="E176" t="s">
        <v>529</v>
      </c>
    </row>
    <row r="177" spans="1:5" x14ac:dyDescent="0.25">
      <c r="A177" t="s">
        <v>653</v>
      </c>
      <c r="B177" t="s">
        <v>395</v>
      </c>
      <c r="D177" t="s">
        <v>172</v>
      </c>
      <c r="E177" t="s">
        <v>653</v>
      </c>
    </row>
    <row r="178" spans="1:5" x14ac:dyDescent="0.25">
      <c r="A178" t="s">
        <v>654</v>
      </c>
      <c r="B178" t="s">
        <v>396</v>
      </c>
      <c r="D178" t="s">
        <v>172</v>
      </c>
      <c r="E178" t="s">
        <v>654</v>
      </c>
    </row>
    <row r="179" spans="1:5" x14ac:dyDescent="0.25">
      <c r="A179" t="s">
        <v>655</v>
      </c>
      <c r="B179" t="s">
        <v>397</v>
      </c>
      <c r="D179" t="s">
        <v>172</v>
      </c>
      <c r="E179" t="s">
        <v>655</v>
      </c>
    </row>
    <row r="180" spans="1:5" x14ac:dyDescent="0.25">
      <c r="A180" t="s">
        <v>656</v>
      </c>
      <c r="B180" t="s">
        <v>398</v>
      </c>
      <c r="D180" t="s">
        <v>172</v>
      </c>
      <c r="E180" t="s">
        <v>656</v>
      </c>
    </row>
    <row r="181" spans="1:5" x14ac:dyDescent="0.25">
      <c r="A181" t="s">
        <v>528</v>
      </c>
      <c r="B181" t="s">
        <v>399</v>
      </c>
      <c r="D181" t="s">
        <v>172</v>
      </c>
      <c r="E181" t="s">
        <v>528</v>
      </c>
    </row>
    <row r="182" spans="1:5" x14ac:dyDescent="0.25">
      <c r="A182" t="s">
        <v>400</v>
      </c>
      <c r="D182" t="s">
        <v>172</v>
      </c>
      <c r="E182" t="s">
        <v>400</v>
      </c>
    </row>
    <row r="183" spans="1:5" x14ac:dyDescent="0.25">
      <c r="A183" t="s">
        <v>775</v>
      </c>
      <c r="B183" t="s">
        <v>774</v>
      </c>
      <c r="D183" t="s">
        <v>172</v>
      </c>
      <c r="E183" t="s">
        <v>773</v>
      </c>
    </row>
    <row r="185" spans="1:5" x14ac:dyDescent="0.25">
      <c r="A185" t="s">
        <v>657</v>
      </c>
      <c r="B185" t="s">
        <v>401</v>
      </c>
      <c r="E185" t="s">
        <v>657</v>
      </c>
    </row>
    <row r="187" spans="1:5" x14ac:dyDescent="0.25">
      <c r="A187" t="s">
        <v>658</v>
      </c>
      <c r="B187" t="s">
        <v>402</v>
      </c>
      <c r="C187" t="s">
        <v>403</v>
      </c>
      <c r="D187" t="s">
        <v>172</v>
      </c>
      <c r="E187" t="s">
        <v>658</v>
      </c>
    </row>
    <row r="188" spans="1:5" x14ac:dyDescent="0.25">
      <c r="A188" t="s">
        <v>659</v>
      </c>
      <c r="B188" t="s">
        <v>404</v>
      </c>
      <c r="D188" t="s">
        <v>250</v>
      </c>
      <c r="E188" t="s">
        <v>659</v>
      </c>
    </row>
    <row r="189" spans="1:5" x14ac:dyDescent="0.25">
      <c r="A189" t="s">
        <v>660</v>
      </c>
      <c r="B189" t="s">
        <v>404</v>
      </c>
      <c r="C189" t="s">
        <v>295</v>
      </c>
      <c r="D189" t="s">
        <v>172</v>
      </c>
      <c r="E189" t="s">
        <v>660</v>
      </c>
    </row>
    <row r="190" spans="1:5" x14ac:dyDescent="0.25">
      <c r="A190" t="s">
        <v>530</v>
      </c>
      <c r="B190" t="s">
        <v>404</v>
      </c>
      <c r="C190" t="s">
        <v>201</v>
      </c>
      <c r="D190" t="s">
        <v>172</v>
      </c>
      <c r="E190" t="s">
        <v>530</v>
      </c>
    </row>
    <row r="191" spans="1:5" x14ac:dyDescent="0.25">
      <c r="A191" t="s">
        <v>661</v>
      </c>
      <c r="B191" t="s">
        <v>404</v>
      </c>
      <c r="C191" t="s">
        <v>295</v>
      </c>
      <c r="D191" t="s">
        <v>196</v>
      </c>
      <c r="E191" t="s">
        <v>661</v>
      </c>
    </row>
    <row r="192" spans="1:5" x14ac:dyDescent="0.25">
      <c r="A192" t="s">
        <v>662</v>
      </c>
      <c r="B192" t="s">
        <v>405</v>
      </c>
      <c r="C192" t="s">
        <v>406</v>
      </c>
      <c r="D192" t="s">
        <v>172</v>
      </c>
      <c r="E192" t="s">
        <v>662</v>
      </c>
    </row>
    <row r="193" spans="1:5" x14ac:dyDescent="0.25">
      <c r="A193" t="s">
        <v>663</v>
      </c>
      <c r="B193" t="s">
        <v>407</v>
      </c>
      <c r="C193" t="s">
        <v>383</v>
      </c>
      <c r="D193" t="s">
        <v>172</v>
      </c>
      <c r="E193" t="s">
        <v>663</v>
      </c>
    </row>
    <row r="194" spans="1:5" x14ac:dyDescent="0.25">
      <c r="A194" t="s">
        <v>664</v>
      </c>
      <c r="B194" t="s">
        <v>408</v>
      </c>
      <c r="D194" t="s">
        <v>172</v>
      </c>
      <c r="E194" t="s">
        <v>664</v>
      </c>
    </row>
    <row r="195" spans="1:5" x14ac:dyDescent="0.25">
      <c r="A195" t="s">
        <v>665</v>
      </c>
      <c r="B195" t="s">
        <v>409</v>
      </c>
      <c r="C195" t="s">
        <v>410</v>
      </c>
      <c r="D195" t="s">
        <v>172</v>
      </c>
      <c r="E195" t="s">
        <v>665</v>
      </c>
    </row>
    <row r="196" spans="1:5" x14ac:dyDescent="0.25">
      <c r="A196" t="s">
        <v>665</v>
      </c>
      <c r="B196" t="s">
        <v>409</v>
      </c>
      <c r="C196" t="s">
        <v>411</v>
      </c>
      <c r="D196" t="s">
        <v>172</v>
      </c>
      <c r="E196" t="s">
        <v>665</v>
      </c>
    </row>
    <row r="197" spans="1:5" x14ac:dyDescent="0.25">
      <c r="A197" t="s">
        <v>666</v>
      </c>
      <c r="B197" t="s">
        <v>412</v>
      </c>
      <c r="C197" t="s">
        <v>406</v>
      </c>
      <c r="D197" t="s">
        <v>172</v>
      </c>
      <c r="E197" t="s">
        <v>666</v>
      </c>
    </row>
    <row r="199" spans="1:5" x14ac:dyDescent="0.25">
      <c r="A199" t="s">
        <v>667</v>
      </c>
      <c r="B199" t="s">
        <v>413</v>
      </c>
      <c r="D199" t="s">
        <v>250</v>
      </c>
      <c r="E199" t="s">
        <v>667</v>
      </c>
    </row>
    <row r="201" spans="1:5" x14ac:dyDescent="0.25">
      <c r="A201" t="s">
        <v>668</v>
      </c>
      <c r="B201" t="s">
        <v>414</v>
      </c>
      <c r="D201" t="s">
        <v>250</v>
      </c>
      <c r="E201" t="s">
        <v>668</v>
      </c>
    </row>
    <row r="202" spans="1:5" x14ac:dyDescent="0.25">
      <c r="A202" t="s">
        <v>415</v>
      </c>
      <c r="E202" t="s">
        <v>415</v>
      </c>
    </row>
    <row r="203" spans="1:5" x14ac:dyDescent="0.25">
      <c r="A203" t="s">
        <v>669</v>
      </c>
      <c r="B203" t="s">
        <v>416</v>
      </c>
      <c r="D203" t="s">
        <v>250</v>
      </c>
      <c r="E203" t="s">
        <v>669</v>
      </c>
    </row>
    <row r="204" spans="1:5" x14ac:dyDescent="0.25">
      <c r="A204" t="s">
        <v>417</v>
      </c>
      <c r="E204" t="s">
        <v>417</v>
      </c>
    </row>
    <row r="206" spans="1:5" x14ac:dyDescent="0.25">
      <c r="A206" t="s">
        <v>670</v>
      </c>
      <c r="B206" t="s">
        <v>418</v>
      </c>
      <c r="D206" t="s">
        <v>172</v>
      </c>
      <c r="E206" t="s">
        <v>670</v>
      </c>
    </row>
    <row r="207" spans="1:5" x14ac:dyDescent="0.25">
      <c r="A207" t="s">
        <v>671</v>
      </c>
      <c r="B207" t="s">
        <v>419</v>
      </c>
      <c r="D207" t="s">
        <v>172</v>
      </c>
      <c r="E207" t="s">
        <v>671</v>
      </c>
    </row>
    <row r="208" spans="1:5" x14ac:dyDescent="0.25">
      <c r="A208" t="s">
        <v>532</v>
      </c>
      <c r="B208" t="s">
        <v>420</v>
      </c>
      <c r="D208" t="s">
        <v>172</v>
      </c>
      <c r="E208" t="s">
        <v>532</v>
      </c>
    </row>
    <row r="209" spans="1:5" x14ac:dyDescent="0.25">
      <c r="A209" t="s">
        <v>672</v>
      </c>
      <c r="B209" t="s">
        <v>421</v>
      </c>
      <c r="D209" t="s">
        <v>172</v>
      </c>
      <c r="E209" t="s">
        <v>672</v>
      </c>
    </row>
    <row r="210" spans="1:5" x14ac:dyDescent="0.25">
      <c r="A210" t="s">
        <v>673</v>
      </c>
      <c r="B210" t="s">
        <v>422</v>
      </c>
      <c r="D210" t="s">
        <v>172</v>
      </c>
      <c r="E210" t="s">
        <v>673</v>
      </c>
    </row>
    <row r="211" spans="1:5" x14ac:dyDescent="0.25">
      <c r="A211" t="s">
        <v>674</v>
      </c>
      <c r="B211" t="s">
        <v>423</v>
      </c>
      <c r="D211" t="s">
        <v>172</v>
      </c>
      <c r="E211" t="s">
        <v>674</v>
      </c>
    </row>
    <row r="213" spans="1:5" x14ac:dyDescent="0.25">
      <c r="A213" t="s">
        <v>675</v>
      </c>
      <c r="B213" t="s">
        <v>424</v>
      </c>
      <c r="D213" t="s">
        <v>250</v>
      </c>
      <c r="E213" t="s">
        <v>675</v>
      </c>
    </row>
    <row r="215" spans="1:5" x14ac:dyDescent="0.25">
      <c r="A215" t="s">
        <v>676</v>
      </c>
      <c r="B215" t="s">
        <v>425</v>
      </c>
      <c r="D215" t="s">
        <v>250</v>
      </c>
      <c r="E215" t="s">
        <v>676</v>
      </c>
    </row>
    <row r="217" spans="1:5" x14ac:dyDescent="0.25">
      <c r="A217" t="s">
        <v>677</v>
      </c>
      <c r="B217" t="s">
        <v>426</v>
      </c>
      <c r="D217" t="s">
        <v>172</v>
      </c>
      <c r="E217" t="s">
        <v>677</v>
      </c>
    </row>
    <row r="218" spans="1:5" x14ac:dyDescent="0.25">
      <c r="A218" t="s">
        <v>678</v>
      </c>
      <c r="B218" t="s">
        <v>427</v>
      </c>
      <c r="D218" t="s">
        <v>172</v>
      </c>
      <c r="E218" t="s">
        <v>678</v>
      </c>
    </row>
    <row r="219" spans="1:5" x14ac:dyDescent="0.25">
      <c r="A219" t="s">
        <v>679</v>
      </c>
      <c r="B219" t="s">
        <v>428</v>
      </c>
      <c r="D219" t="s">
        <v>172</v>
      </c>
      <c r="E219" t="s">
        <v>679</v>
      </c>
    </row>
    <row r="221" spans="1:5" x14ac:dyDescent="0.25">
      <c r="A221" t="s">
        <v>680</v>
      </c>
      <c r="B221" t="s">
        <v>429</v>
      </c>
      <c r="D221" t="s">
        <v>250</v>
      </c>
      <c r="E221" t="s">
        <v>680</v>
      </c>
    </row>
    <row r="223" spans="1:5" x14ac:dyDescent="0.25">
      <c r="A223" t="s">
        <v>681</v>
      </c>
      <c r="B223" t="s">
        <v>430</v>
      </c>
      <c r="D223" t="s">
        <v>250</v>
      </c>
      <c r="E223" t="s">
        <v>681</v>
      </c>
    </row>
    <row r="225" spans="1:5" x14ac:dyDescent="0.25">
      <c r="A225" t="s">
        <v>682</v>
      </c>
      <c r="B225" t="s">
        <v>431</v>
      </c>
      <c r="D225" t="s">
        <v>172</v>
      </c>
      <c r="E225" t="s">
        <v>682</v>
      </c>
    </row>
    <row r="226" spans="1:5" x14ac:dyDescent="0.25">
      <c r="A226" t="s">
        <v>683</v>
      </c>
      <c r="B226" t="s">
        <v>432</v>
      </c>
      <c r="D226" t="s">
        <v>172</v>
      </c>
      <c r="E226" t="s">
        <v>683</v>
      </c>
    </row>
    <row r="227" spans="1:5" x14ac:dyDescent="0.25">
      <c r="A227" t="s">
        <v>684</v>
      </c>
      <c r="B227" t="s">
        <v>433</v>
      </c>
      <c r="D227" t="s">
        <v>172</v>
      </c>
      <c r="E227" t="s">
        <v>684</v>
      </c>
    </row>
    <row r="228" spans="1:5" x14ac:dyDescent="0.25">
      <c r="A228" t="s">
        <v>685</v>
      </c>
      <c r="B228" t="s">
        <v>434</v>
      </c>
      <c r="D228" t="s">
        <v>172</v>
      </c>
      <c r="E228" t="s">
        <v>685</v>
      </c>
    </row>
    <row r="229" spans="1:5" x14ac:dyDescent="0.25">
      <c r="A229" t="s">
        <v>686</v>
      </c>
      <c r="B229" t="s">
        <v>435</v>
      </c>
      <c r="D229" t="s">
        <v>172</v>
      </c>
      <c r="E229" t="s">
        <v>686</v>
      </c>
    </row>
    <row r="231" spans="1:5" x14ac:dyDescent="0.25">
      <c r="A231" t="s">
        <v>687</v>
      </c>
      <c r="B231" t="s">
        <v>436</v>
      </c>
      <c r="D231" t="s">
        <v>250</v>
      </c>
      <c r="E231" t="s">
        <v>687</v>
      </c>
    </row>
    <row r="233" spans="1:5" x14ac:dyDescent="0.25">
      <c r="A233" t="s">
        <v>688</v>
      </c>
      <c r="B233" t="s">
        <v>437</v>
      </c>
      <c r="D233" t="s">
        <v>172</v>
      </c>
      <c r="E233" t="s">
        <v>688</v>
      </c>
    </row>
    <row r="234" spans="1:5" x14ac:dyDescent="0.25">
      <c r="A234" t="s">
        <v>689</v>
      </c>
      <c r="B234" t="s">
        <v>438</v>
      </c>
      <c r="C234" t="s">
        <v>439</v>
      </c>
      <c r="D234" t="s">
        <v>172</v>
      </c>
      <c r="E234" t="s">
        <v>689</v>
      </c>
    </row>
    <row r="235" spans="1:5" x14ac:dyDescent="0.25">
      <c r="A235" t="s">
        <v>690</v>
      </c>
      <c r="B235" t="s">
        <v>440</v>
      </c>
      <c r="D235" t="s">
        <v>172</v>
      </c>
      <c r="E235" t="s">
        <v>690</v>
      </c>
    </row>
    <row r="236" spans="1:5" x14ac:dyDescent="0.25">
      <c r="A236" t="s">
        <v>691</v>
      </c>
      <c r="B236" t="s">
        <v>441</v>
      </c>
      <c r="D236" t="s">
        <v>172</v>
      </c>
      <c r="E236" t="s">
        <v>691</v>
      </c>
    </row>
    <row r="237" spans="1:5" x14ac:dyDescent="0.25">
      <c r="A237" t="s">
        <v>692</v>
      </c>
      <c r="B237" t="s">
        <v>442</v>
      </c>
      <c r="D237" t="s">
        <v>172</v>
      </c>
      <c r="E237" t="s">
        <v>692</v>
      </c>
    </row>
    <row r="238" spans="1:5" x14ac:dyDescent="0.25">
      <c r="A238" t="s">
        <v>693</v>
      </c>
      <c r="B238" t="s">
        <v>443</v>
      </c>
      <c r="D238" t="s">
        <v>172</v>
      </c>
      <c r="E238" t="s">
        <v>693</v>
      </c>
    </row>
    <row r="239" spans="1:5" x14ac:dyDescent="0.25">
      <c r="A239" t="s">
        <v>694</v>
      </c>
      <c r="B239" t="s">
        <v>444</v>
      </c>
      <c r="D239" t="s">
        <v>172</v>
      </c>
      <c r="E239" t="s">
        <v>694</v>
      </c>
    </row>
    <row r="240" spans="1:5" x14ac:dyDescent="0.25">
      <c r="A240" t="s">
        <v>695</v>
      </c>
      <c r="B240" t="s">
        <v>445</v>
      </c>
      <c r="D240" t="s">
        <v>172</v>
      </c>
      <c r="E240" t="s">
        <v>695</v>
      </c>
    </row>
    <row r="242" spans="1:5" x14ac:dyDescent="0.25">
      <c r="A242" t="s">
        <v>696</v>
      </c>
      <c r="B242" t="s">
        <v>446</v>
      </c>
      <c r="D242" t="s">
        <v>250</v>
      </c>
      <c r="E242" t="s">
        <v>696</v>
      </c>
    </row>
    <row r="244" spans="1:5" x14ac:dyDescent="0.25">
      <c r="A244" t="s">
        <v>697</v>
      </c>
      <c r="B244" t="s">
        <v>447</v>
      </c>
      <c r="D244" t="s">
        <v>250</v>
      </c>
      <c r="E244" t="s">
        <v>697</v>
      </c>
    </row>
    <row r="246" spans="1:5" x14ac:dyDescent="0.25">
      <c r="A246" t="s">
        <v>448</v>
      </c>
      <c r="E246" t="s">
        <v>448</v>
      </c>
    </row>
    <row r="247" spans="1:5" x14ac:dyDescent="0.25">
      <c r="A247" t="s">
        <v>450</v>
      </c>
      <c r="B247" t="s">
        <v>449</v>
      </c>
      <c r="D247" t="s">
        <v>250</v>
      </c>
      <c r="E247" t="s">
        <v>450</v>
      </c>
    </row>
    <row r="249" spans="1:5" x14ac:dyDescent="0.25">
      <c r="A249" t="s">
        <v>698</v>
      </c>
      <c r="B249" t="s">
        <v>451</v>
      </c>
      <c r="D249" t="s">
        <v>250</v>
      </c>
      <c r="E249" t="s">
        <v>698</v>
      </c>
    </row>
    <row r="251" spans="1:5" x14ac:dyDescent="0.25">
      <c r="A251" t="s">
        <v>455</v>
      </c>
      <c r="B251" t="s">
        <v>454</v>
      </c>
      <c r="D251" t="s">
        <v>250</v>
      </c>
      <c r="E251" t="s">
        <v>455</v>
      </c>
    </row>
    <row r="255" spans="1:5" x14ac:dyDescent="0.25">
      <c r="A255" t="s">
        <v>465</v>
      </c>
      <c r="E255" t="s">
        <v>465</v>
      </c>
    </row>
    <row r="256" spans="1:5" x14ac:dyDescent="0.25">
      <c r="A256" t="s">
        <v>467</v>
      </c>
      <c r="E256" t="s">
        <v>467</v>
      </c>
    </row>
    <row r="257" spans="1:5" x14ac:dyDescent="0.25">
      <c r="A257" t="s">
        <v>469</v>
      </c>
      <c r="E257" t="s">
        <v>469</v>
      </c>
    </row>
    <row r="258" spans="1:5" x14ac:dyDescent="0.25">
      <c r="A258" t="s">
        <v>470</v>
      </c>
      <c r="E258" t="s">
        <v>470</v>
      </c>
    </row>
    <row r="259" spans="1:5" x14ac:dyDescent="0.25">
      <c r="A259" t="s">
        <v>471</v>
      </c>
      <c r="E259" t="s">
        <v>471</v>
      </c>
    </row>
    <row r="262" spans="1:5" x14ac:dyDescent="0.25">
      <c r="A262" t="s">
        <v>472</v>
      </c>
      <c r="E262" t="s">
        <v>472</v>
      </c>
    </row>
    <row r="263" spans="1:5" x14ac:dyDescent="0.25">
      <c r="A263" t="s">
        <v>473</v>
      </c>
      <c r="E263" t="s">
        <v>473</v>
      </c>
    </row>
    <row r="264" spans="1:5" x14ac:dyDescent="0.25">
      <c r="A264" t="s">
        <v>474</v>
      </c>
      <c r="E264" t="s">
        <v>474</v>
      </c>
    </row>
    <row r="265" spans="1:5" x14ac:dyDescent="0.25">
      <c r="A265" t="s">
        <v>459</v>
      </c>
      <c r="E265" t="s">
        <v>459</v>
      </c>
    </row>
    <row r="266" spans="1:5" x14ac:dyDescent="0.25">
      <c r="A266" t="s">
        <v>475</v>
      </c>
      <c r="E266" t="s">
        <v>475</v>
      </c>
    </row>
    <row r="267" spans="1:5" x14ac:dyDescent="0.25">
      <c r="A267" t="s">
        <v>476</v>
      </c>
      <c r="E267" t="s">
        <v>476</v>
      </c>
    </row>
    <row r="268" spans="1:5" x14ac:dyDescent="0.25">
      <c r="A268" t="s">
        <v>478</v>
      </c>
      <c r="E268" t="s">
        <v>478</v>
      </c>
    </row>
    <row r="269" spans="1:5" x14ac:dyDescent="0.25">
      <c r="A269" t="s">
        <v>479</v>
      </c>
      <c r="E269" t="s">
        <v>479</v>
      </c>
    </row>
    <row r="270" spans="1:5" x14ac:dyDescent="0.25">
      <c r="A270" t="s">
        <v>480</v>
      </c>
      <c r="E270" t="s">
        <v>480</v>
      </c>
    </row>
    <row r="271" spans="1:5" x14ac:dyDescent="0.25">
      <c r="A271" t="s">
        <v>481</v>
      </c>
      <c r="E271" t="s">
        <v>481</v>
      </c>
    </row>
    <row r="272" spans="1:5" x14ac:dyDescent="0.25">
      <c r="A272" t="s">
        <v>483</v>
      </c>
      <c r="E272" t="s">
        <v>483</v>
      </c>
    </row>
    <row r="273" spans="1:5" x14ac:dyDescent="0.25">
      <c r="A273" t="s">
        <v>484</v>
      </c>
      <c r="E273" t="s">
        <v>484</v>
      </c>
    </row>
    <row r="274" spans="1:5" x14ac:dyDescent="0.25">
      <c r="A274" t="s">
        <v>485</v>
      </c>
      <c r="E274" t="s">
        <v>485</v>
      </c>
    </row>
    <row r="275" spans="1:5" x14ac:dyDescent="0.25">
      <c r="A275" t="s">
        <v>486</v>
      </c>
      <c r="E275" t="s">
        <v>486</v>
      </c>
    </row>
    <row r="276" spans="1:5" x14ac:dyDescent="0.25">
      <c r="A276" t="s">
        <v>487</v>
      </c>
      <c r="E276" t="s">
        <v>487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  <pageSetUpPr fitToPage="1"/>
  </sheetPr>
  <dimension ref="A1:BU354"/>
  <sheetViews>
    <sheetView showGridLines="0" showZeros="0" view="pageBreakPreview" zoomScale="85" zoomScaleNormal="85" zoomScaleSheetLayoutView="85" workbookViewId="0">
      <pane xSplit="5" ySplit="21" topLeftCell="F22" activePane="bottomRight" state="frozen"/>
      <selection activeCell="K25" sqref="K25"/>
      <selection pane="topRight" activeCell="K25" sqref="K25"/>
      <selection pane="bottomLeft" activeCell="K25" sqref="K25"/>
      <selection pane="bottomRight" activeCell="K25" sqref="K25"/>
    </sheetView>
  </sheetViews>
  <sheetFormatPr baseColWidth="10" defaultColWidth="9.140625" defaultRowHeight="12.75" outlineLevelRow="2" outlineLevelCol="2" x14ac:dyDescent="0.2"/>
  <cols>
    <col min="1" max="2" width="8" style="82" customWidth="1" outlineLevel="1"/>
    <col min="3" max="3" width="11.85546875" style="82" customWidth="1" outlineLevel="1"/>
    <col min="4" max="4" width="10.5703125" style="82" customWidth="1" outlineLevel="1"/>
    <col min="5" max="5" width="63" style="75" bestFit="1" customWidth="1"/>
    <col min="6" max="6" width="9.7109375" style="72" customWidth="1"/>
    <col min="7" max="7" width="9.7109375" style="73" customWidth="1"/>
    <col min="8" max="8" width="0.85546875" style="74" customWidth="1"/>
    <col min="9" max="9" width="9.7109375" style="73" customWidth="1"/>
    <col min="10" max="13" width="9.7109375" style="73" customWidth="1" outlineLevel="1"/>
    <col min="14" max="14" width="1.140625" style="74" customWidth="1"/>
    <col min="15" max="15" width="9.7109375" style="72" customWidth="1"/>
    <col min="16" max="17" width="0.42578125" style="74" customWidth="1" outlineLevel="1"/>
    <col min="18" max="21" width="9.7109375" style="74" customWidth="1" outlineLevel="1"/>
    <col min="22" max="22" width="0.140625" style="75" customWidth="1"/>
    <col min="23" max="24" width="9.7109375" style="73" customWidth="1" outlineLevel="1"/>
    <col min="25" max="25" width="1.7109375" style="74" customWidth="1"/>
    <col min="26" max="29" width="9.7109375" style="76" customWidth="1" outlineLevel="1"/>
    <col min="30" max="30" width="0.140625" style="74" customWidth="1"/>
    <col min="31" max="31" width="9.7109375" style="77" customWidth="1" outlineLevel="1"/>
    <col min="32" max="32" width="9.7109375" style="73" customWidth="1" outlineLevel="2"/>
    <col min="33" max="33" width="9.7109375" style="73" customWidth="1" outlineLevel="2" collapsed="1"/>
    <col min="34" max="34" width="9.7109375" style="78" customWidth="1" outlineLevel="1"/>
    <col min="35" max="35" width="0.7109375" style="73" customWidth="1"/>
    <col min="36" max="37" width="9.7109375" style="73" customWidth="1" outlineLevel="1"/>
    <col min="38" max="38" width="9.7109375" style="78" customWidth="1" outlineLevel="1"/>
    <col min="39" max="39" width="0.85546875" style="74" customWidth="1"/>
    <col min="40" max="41" width="9.7109375" style="73" customWidth="1" outlineLevel="1"/>
    <col min="42" max="42" width="0.85546875" style="74" customWidth="1"/>
    <col min="43" max="44" width="9.7109375" style="73" customWidth="1" outlineLevel="1"/>
    <col min="45" max="45" width="0.140625" style="79" customWidth="1"/>
    <col min="46" max="47" width="9.7109375" style="73" customWidth="1"/>
    <col min="48" max="48" width="0.5703125" style="73" customWidth="1" outlineLevel="1"/>
    <col min="49" max="50" width="3.28515625" style="73" customWidth="1" outlineLevel="1"/>
    <col min="51" max="51" width="0.5703125" style="73" customWidth="1" outlineLevel="1"/>
    <col min="52" max="52" width="3.28515625" style="73" customWidth="1" outlineLevel="1"/>
    <col min="53" max="53" width="1.5703125" style="73" customWidth="1" outlineLevel="1"/>
    <col min="54" max="54" width="0.140625" style="73" customWidth="1" outlineLevel="1"/>
    <col min="55" max="56" width="1.5703125" style="73" customWidth="1" outlineLevel="1"/>
    <col min="57" max="57" width="0.140625" style="73" customWidth="1" outlineLevel="1"/>
    <col min="58" max="59" width="1.5703125" style="73" customWidth="1" outlineLevel="1"/>
    <col min="60" max="60" width="0.140625" style="73" customWidth="1" outlineLevel="1"/>
    <col min="61" max="62" width="1.5703125" style="73" customWidth="1" outlineLevel="1"/>
    <col min="63" max="63" width="0.140625" style="73" customWidth="1" outlineLevel="1"/>
    <col min="64" max="65" width="1.5703125" style="73" customWidth="1" outlineLevel="1"/>
    <col min="66" max="66" width="0.140625" style="73" customWidth="1" outlineLevel="1"/>
    <col min="67" max="68" width="1.5703125" style="73" customWidth="1" outlineLevel="1"/>
    <col min="69" max="69" width="0.140625" style="73" customWidth="1" outlineLevel="1"/>
    <col min="70" max="71" width="1.5703125" style="73" customWidth="1" outlineLevel="1"/>
    <col min="72" max="73" width="9.140625" style="73" customWidth="1" outlineLevel="1"/>
    <col min="74" max="16384" width="9.140625" style="73"/>
  </cols>
  <sheetData>
    <row r="1" spans="1:71" outlineLevel="2" x14ac:dyDescent="0.2">
      <c r="A1" s="70"/>
      <c r="B1" s="70"/>
      <c r="C1" s="70"/>
      <c r="D1" s="70"/>
      <c r="E1" s="71" t="s">
        <v>176</v>
      </c>
    </row>
    <row r="2" spans="1:71" outlineLevel="2" x14ac:dyDescent="0.2">
      <c r="A2" s="70"/>
      <c r="B2" s="70" t="s">
        <v>177</v>
      </c>
      <c r="C2" s="70"/>
      <c r="D2" s="70"/>
      <c r="E2" s="80">
        <v>2015</v>
      </c>
    </row>
    <row r="3" spans="1:71" outlineLevel="2" x14ac:dyDescent="0.2">
      <c r="A3" s="70"/>
      <c r="B3" s="70" t="s">
        <v>178</v>
      </c>
      <c r="C3" s="70"/>
      <c r="D3" s="70"/>
      <c r="E3" s="81" t="s">
        <v>179</v>
      </c>
    </row>
    <row r="4" spans="1:71" outlineLevel="2" x14ac:dyDescent="0.2">
      <c r="B4" s="82" t="s">
        <v>180</v>
      </c>
      <c r="E4" s="83" t="e">
        <f>RIGHT(month-0.01,3)</f>
        <v>#VALUE!</v>
      </c>
      <c r="F4" s="72" t="s">
        <v>181</v>
      </c>
    </row>
    <row r="5" spans="1:71" outlineLevel="2" x14ac:dyDescent="0.2"/>
    <row r="6" spans="1:71" outlineLevel="2" x14ac:dyDescent="0.2"/>
    <row r="7" spans="1:71" outlineLevel="2" x14ac:dyDescent="0.2"/>
    <row r="8" spans="1:71" outlineLevel="2" x14ac:dyDescent="0.2">
      <c r="O8" s="72" t="s">
        <v>182</v>
      </c>
      <c r="R8" s="84" t="e">
        <f ca="1">PutCtData("PKAMOUNT","AMOUNT",R$11:R$15,$B8:$D8,R$17:R$18,$O8)</f>
        <v>#NAME?</v>
      </c>
      <c r="S8" s="84" t="e">
        <f ca="1">PutCtData("PKAMOUNT","AMOUNT",S$11:S$15,$B8:$D8,S$17:S$18,$M8)</f>
        <v>#NAME?</v>
      </c>
      <c r="T8" s="84" t="e">
        <f ca="1">PutCtData("PKAMOUNT","AMOUNT",T$11:T$15,$B8:$D8,T$17:T$18,$P8)</f>
        <v>#NAME?</v>
      </c>
      <c r="U8" s="85" t="e">
        <f ca="1">PutCtData("PkAMOUNT","AMOUNT",$U$11:$U$15,$B8,$U$18,$U$17,L8)</f>
        <v>#NAME?</v>
      </c>
    </row>
    <row r="9" spans="1:71" outlineLevel="2" x14ac:dyDescent="0.2"/>
    <row r="10" spans="1:71" outlineLevel="2" x14ac:dyDescent="0.2"/>
    <row r="11" spans="1:71" s="86" customFormat="1" ht="11.25" outlineLevel="1" x14ac:dyDescent="0.2">
      <c r="B11" s="86" t="s">
        <v>183</v>
      </c>
      <c r="E11" s="86" t="e">
        <f ca="1">GetCtLabel($B$11,"CURINIT(CA)!LDESC","#Budget")</f>
        <v>#NAME?</v>
      </c>
      <c r="F11" s="87"/>
      <c r="H11" s="88"/>
      <c r="N11" s="88"/>
      <c r="O11" s="87"/>
      <c r="P11" s="88"/>
      <c r="Q11" s="88"/>
      <c r="R11" s="88" t="s">
        <v>184</v>
      </c>
      <c r="S11" s="88" t="s">
        <v>184</v>
      </c>
      <c r="T11" s="88" t="s">
        <v>184</v>
      </c>
      <c r="U11" s="88" t="s">
        <v>184</v>
      </c>
      <c r="Y11" s="88"/>
      <c r="Z11" s="89"/>
      <c r="AA11" s="89"/>
      <c r="AB11" s="89"/>
      <c r="AC11" s="89"/>
      <c r="AD11" s="88"/>
      <c r="AE11" s="88" t="s">
        <v>185</v>
      </c>
      <c r="AH11" s="90"/>
      <c r="AJ11" s="86" t="e">
        <f ca="1">GetCtLabel($AO$11,"CURINIT(CA)!LDESC","#Actual")</f>
        <v>#NAME?</v>
      </c>
      <c r="AK11" s="86" t="str">
        <f>AE11</f>
        <v>CA=FORECAST</v>
      </c>
      <c r="AL11" s="90" t="e">
        <f ca="1">GetCtLabel($AK$11,"CURINIT(CA)!LDESC","#Forecast")</f>
        <v>#NAME?</v>
      </c>
      <c r="AM11" s="88"/>
      <c r="AN11" s="86" t="s">
        <v>186</v>
      </c>
      <c r="AO11" s="86" t="s">
        <v>186</v>
      </c>
      <c r="AP11" s="88"/>
      <c r="AQ11" s="86" t="str">
        <f>+$B11</f>
        <v>CA=BUDGET</v>
      </c>
      <c r="AR11" s="86" t="e">
        <f ca="1">GetCtLabel($AQ$11,"CURINIT(CA)!LDESC","#Budget")</f>
        <v>#NAME?</v>
      </c>
      <c r="AS11" s="91"/>
      <c r="AT11" s="86" t="s">
        <v>187</v>
      </c>
      <c r="AU11" s="86" t="e">
        <f ca="1">GetCtLabel($AO$11,"CURINIT(CA)!LDESC","#Actual")</f>
        <v>#NAME?</v>
      </c>
      <c r="AW11" s="86" t="s">
        <v>187</v>
      </c>
      <c r="AX11" s="86" t="e">
        <f ca="1">GetCtLabel($AO$11,"CURINIT(CA)!LDESC","#Actual")</f>
        <v>#NAME?</v>
      </c>
      <c r="AZ11" s="86" t="s">
        <v>187</v>
      </c>
      <c r="BA11" s="86" t="e">
        <f ca="1">GetCtLabel($AO$11,"CURINIT(CA)!LDESC","#Actual")</f>
        <v>#NAME?</v>
      </c>
      <c r="BC11" s="86" t="s">
        <v>187</v>
      </c>
      <c r="BD11" s="86" t="e">
        <f ca="1">GetCtLabel($AO$11,"CURINIT(CA)!LDESC","#Actual")</f>
        <v>#NAME?</v>
      </c>
      <c r="BF11" s="86" t="s">
        <v>187</v>
      </c>
      <c r="BG11" s="86" t="e">
        <f ca="1">GetCtLabel($AO$11,"CURINIT(CA)!LDESC","#Actual")</f>
        <v>#NAME?</v>
      </c>
      <c r="BI11" s="86" t="s">
        <v>186</v>
      </c>
      <c r="BJ11" s="86" t="e">
        <f ca="1">GetCtLabel($AO$11,"CURINIT(CA)!LDESC","#Actual")</f>
        <v>#NAME?</v>
      </c>
      <c r="BL11" s="86" t="s">
        <v>188</v>
      </c>
      <c r="BM11" s="86" t="e">
        <f ca="1">GetCtLabel($AK$11,"CURINIT(CA)!LDESC","#Forecast")</f>
        <v>#NAME?</v>
      </c>
      <c r="BO11" s="86" t="s">
        <v>188</v>
      </c>
      <c r="BP11" s="86" t="e">
        <f ca="1">GetCtLabel($AK$11,"CURINIT(CA)!LDESC","#Forecast")</f>
        <v>#NAME?</v>
      </c>
      <c r="BR11" s="86" t="s">
        <v>188</v>
      </c>
      <c r="BS11" s="86" t="e">
        <f ca="1">GetCtLabel($AK$11,"CURINIT(CA)!LDESC","#Forecast")</f>
        <v>#NAME?</v>
      </c>
    </row>
    <row r="12" spans="1:71" s="86" customFormat="1" ht="11.25" outlineLevel="1" x14ac:dyDescent="0.2">
      <c r="B12" s="86" t="s">
        <v>189</v>
      </c>
      <c r="E12" s="86" t="e">
        <f ca="1">GetCtLabel($B$12,"CURINIT(DP)!LDESC","#2014.December")</f>
        <v>#NAME?</v>
      </c>
      <c r="F12" s="87"/>
      <c r="H12" s="88"/>
      <c r="N12" s="88"/>
      <c r="O12" s="87"/>
      <c r="P12" s="88"/>
      <c r="Q12" s="88"/>
      <c r="R12" s="88" t="str">
        <f>"DP="&amp;year_act&amp;month</f>
        <v>DP=2015.07</v>
      </c>
      <c r="S12" s="88" t="str">
        <f>"DP="&amp;year_act&amp;month</f>
        <v>DP=2015.07</v>
      </c>
      <c r="T12" s="88" t="str">
        <f>"DP="&amp;year_act&amp;month</f>
        <v>DP=2015.07</v>
      </c>
      <c r="U12" s="88" t="str">
        <f>"DP="&amp;year_act&amp;month</f>
        <v>DP=2015.07</v>
      </c>
      <c r="Y12" s="88"/>
      <c r="Z12" s="89"/>
      <c r="AA12" s="89"/>
      <c r="AB12" s="89"/>
      <c r="AC12" s="89"/>
      <c r="AD12" s="88"/>
      <c r="AE12" s="88"/>
      <c r="AH12" s="90"/>
      <c r="AJ12" s="86" t="e">
        <f ca="1">GetCtLabel($AO$12,"CURINIT(RU)!LDESC","#OgilvyOne France")</f>
        <v>#NAME?</v>
      </c>
      <c r="AK12" s="86" t="s">
        <v>190</v>
      </c>
      <c r="AL12" s="90" t="e">
        <f ca="1">GetCtLabel($AK$12,"CURINIT(RU)!LDESC","#OgilvyOne France")</f>
        <v>#NAME?</v>
      </c>
      <c r="AM12" s="88"/>
      <c r="AN12" s="86" t="s">
        <v>190</v>
      </c>
      <c r="AO12" s="86" t="s">
        <v>190</v>
      </c>
      <c r="AP12" s="88"/>
      <c r="AR12" s="86" t="e">
        <f ca="1">GetCtLabel($AQ$12,"CURINIT(DP)!LDESC","#xxx xxx")</f>
        <v>#NAME?</v>
      </c>
      <c r="AS12" s="91"/>
      <c r="AT12" s="86" t="s">
        <v>190</v>
      </c>
      <c r="AU12" s="86" t="e">
        <f ca="1">GetCtLabel($AO$12,"CURINIT(RU)!LDESC","#OgilvyOne France")</f>
        <v>#NAME?</v>
      </c>
      <c r="AW12" s="86" t="s">
        <v>190</v>
      </c>
      <c r="AX12" s="86" t="e">
        <f ca="1">GetCtLabel($AO$12,"CURINIT(RU)!LDESC","#OgilvyOne France")</f>
        <v>#NAME?</v>
      </c>
      <c r="AZ12" s="86" t="s">
        <v>190</v>
      </c>
      <c r="BA12" s="86" t="e">
        <f ca="1">GetCtLabel($AO$12,"CURINIT(RU)!LDESC","#OgilvyOne France")</f>
        <v>#NAME?</v>
      </c>
      <c r="BC12" s="86" t="s">
        <v>190</v>
      </c>
      <c r="BD12" s="86" t="e">
        <f ca="1">GetCtLabel($AO$12,"CURINIT(RU)!LDESC","#OgilvyOne France")</f>
        <v>#NAME?</v>
      </c>
      <c r="BF12" s="86" t="s">
        <v>190</v>
      </c>
      <c r="BG12" s="86" t="e">
        <f ca="1">GetCtLabel($AO$12,"CURINIT(RU)!LDESC","#OgilvyOne France")</f>
        <v>#NAME?</v>
      </c>
      <c r="BI12" s="86" t="s">
        <v>190</v>
      </c>
      <c r="BJ12" s="86" t="e">
        <f ca="1">GetCtLabel($AO$12,"CURINIT(RU)!LDESC","#OgilvyOne France")</f>
        <v>#NAME?</v>
      </c>
      <c r="BL12" s="86" t="s">
        <v>190</v>
      </c>
      <c r="BM12" s="86" t="e">
        <f ca="1">GetCtLabel($AK$12,"CURINIT(RU)!LDESC","#OgilvyOne France")</f>
        <v>#NAME?</v>
      </c>
      <c r="BO12" s="86" t="s">
        <v>190</v>
      </c>
      <c r="BP12" s="86" t="e">
        <f ca="1">GetCtLabel($AK$12,"CURINIT(RU)!LDESC","#OgilvyOne France")</f>
        <v>#NAME?</v>
      </c>
      <c r="BR12" s="86" t="s">
        <v>190</v>
      </c>
      <c r="BS12" s="86" t="e">
        <f ca="1">GetCtLabel($AK$12,"CURINIT(RU)!LDESC","#OgilvyOne France")</f>
        <v>#NAME?</v>
      </c>
    </row>
    <row r="13" spans="1:71" s="86" customFormat="1" ht="11.25" outlineLevel="1" x14ac:dyDescent="0.2">
      <c r="B13" s="86" t="s">
        <v>190</v>
      </c>
      <c r="E13" s="86" t="e">
        <f ca="1">GetCtLabel($B$13,"CURINIT(RU)!LDESC","#OgilvyOne France")</f>
        <v>#NAME?</v>
      </c>
      <c r="F13" s="87"/>
      <c r="H13" s="88"/>
      <c r="N13" s="88"/>
      <c r="O13" s="87"/>
      <c r="P13" s="88"/>
      <c r="Q13" s="88"/>
      <c r="R13" s="88" t="s">
        <v>190</v>
      </c>
      <c r="S13" s="88" t="s">
        <v>190</v>
      </c>
      <c r="T13" s="88" t="s">
        <v>190</v>
      </c>
      <c r="U13" s="88" t="s">
        <v>190</v>
      </c>
      <c r="Y13" s="88"/>
      <c r="Z13" s="89"/>
      <c r="AA13" s="89"/>
      <c r="AB13" s="89"/>
      <c r="AC13" s="89"/>
      <c r="AD13" s="88"/>
      <c r="AE13" s="88" t="s">
        <v>190</v>
      </c>
      <c r="AH13" s="90"/>
      <c r="AJ13" s="86" t="e">
        <f ca="1">GetCtLabel($AO$13,"CURINIT(FL)!LDESC","#Management Year to date")</f>
        <v>#NAME?</v>
      </c>
      <c r="AK13" s="86" t="s">
        <v>191</v>
      </c>
      <c r="AL13" s="90" t="e">
        <f ca="1">GetCtLabel($AK$13,"CURINIT(FL)!LDESC","#Management Periodic")</f>
        <v>#NAME?</v>
      </c>
      <c r="AM13" s="88"/>
      <c r="AN13" s="86" t="s">
        <v>192</v>
      </c>
      <c r="AO13" s="86" t="s">
        <v>193</v>
      </c>
      <c r="AP13" s="88"/>
      <c r="AQ13" s="86" t="s">
        <v>190</v>
      </c>
      <c r="AR13" s="86" t="e">
        <f ca="1">GetCtLabel($AQ$13,"CURINIT(RU)!LDESC","#OgilvyOne France")</f>
        <v>#NAME?</v>
      </c>
      <c r="AS13" s="91"/>
      <c r="AT13" s="86" t="s">
        <v>193</v>
      </c>
      <c r="AU13" s="86" t="e">
        <f ca="1">GetCtLabel($AO$13,"CURINIT(FL)!LDESC","#Management Year to date")</f>
        <v>#NAME?</v>
      </c>
      <c r="AW13" s="86" t="s">
        <v>193</v>
      </c>
      <c r="AX13" s="86" t="e">
        <f ca="1">GetCtLabel($AO$13,"CURINIT(FL)!LDESC","#Management Year to date")</f>
        <v>#NAME?</v>
      </c>
      <c r="AZ13" s="86" t="s">
        <v>193</v>
      </c>
      <c r="BA13" s="86" t="e">
        <f ca="1">GetCtLabel($AO$13,"CURINIT(FL)!LDESC","#Management Year to date")</f>
        <v>#NAME?</v>
      </c>
      <c r="BC13" s="86" t="s">
        <v>193</v>
      </c>
      <c r="BD13" s="86" t="e">
        <f ca="1">GetCtLabel($AO$13,"CURINIT(FL)!LDESC","#Management Year to date")</f>
        <v>#NAME?</v>
      </c>
      <c r="BF13" s="86" t="s">
        <v>193</v>
      </c>
      <c r="BG13" s="86" t="e">
        <f ca="1">GetCtLabel($AO$13,"CURINIT(FL)!LDESC","#Management Year to date")</f>
        <v>#NAME?</v>
      </c>
      <c r="BI13" s="86" t="s">
        <v>193</v>
      </c>
      <c r="BJ13" s="86" t="e">
        <f ca="1">GetCtLabel($AO$13,"CURINIT(FL)!LDESC","#Management Year to date")</f>
        <v>#NAME?</v>
      </c>
      <c r="BL13" s="86" t="s">
        <v>193</v>
      </c>
      <c r="BM13" s="86" t="e">
        <f ca="1">GetCtLabel($AO$13,"CURINIT(FL)!LDESC","#Management Year to date")</f>
        <v>#NAME?</v>
      </c>
      <c r="BO13" s="86" t="s">
        <v>193</v>
      </c>
      <c r="BP13" s="86" t="e">
        <f ca="1">GetCtLabel($AO$13,"CURINIT(FL)!LDESC","#Management Year to date")</f>
        <v>#NAME?</v>
      </c>
      <c r="BR13" s="86" t="s">
        <v>193</v>
      </c>
      <c r="BS13" s="86" t="e">
        <f ca="1">GetCtLabel($AO$13,"CURINIT(FL)!LDESC","#Management Year to date")</f>
        <v>#NAME?</v>
      </c>
    </row>
    <row r="14" spans="1:71" s="86" customFormat="1" ht="11.25" outlineLevel="1" x14ac:dyDescent="0.2">
      <c r="B14" s="86" t="s">
        <v>193</v>
      </c>
      <c r="E14" s="86" t="e">
        <f ca="1">GetCtLabel($B$14,"CURINIT(FL)!LDESC","#Management Year to date")</f>
        <v>#NAME?</v>
      </c>
      <c r="F14" s="87"/>
      <c r="H14" s="88"/>
      <c r="N14" s="88"/>
      <c r="O14" s="87"/>
      <c r="P14" s="88"/>
      <c r="Q14" s="88"/>
      <c r="R14" s="88" t="s">
        <v>171</v>
      </c>
      <c r="S14" s="88" t="s">
        <v>194</v>
      </c>
      <c r="T14" s="88" t="s">
        <v>194</v>
      </c>
      <c r="U14" s="88" t="s">
        <v>194</v>
      </c>
      <c r="Y14" s="88"/>
      <c r="Z14" s="89"/>
      <c r="AA14" s="89"/>
      <c r="AB14" s="89"/>
      <c r="AC14" s="89"/>
      <c r="AD14" s="88"/>
      <c r="AE14" s="88" t="s">
        <v>171</v>
      </c>
      <c r="AH14" s="90"/>
      <c r="AJ14" s="86" t="e">
        <f ca="1">GetCtLabel($AO$14,"CURINIT(AU)!LDESC","#xxx xxx")</f>
        <v>#NAME?</v>
      </c>
      <c r="AL14" s="90" t="e">
        <f ca="1">GetCtLabel($AK$14,"CURINIT(AU)!LDESC","#xxx xxx")</f>
        <v>#NAME?</v>
      </c>
      <c r="AM14" s="88"/>
      <c r="AP14" s="88"/>
      <c r="AQ14" s="86" t="s">
        <v>171</v>
      </c>
      <c r="AR14" s="86" t="e">
        <f ca="1">GetCtLabel($AQ$14,"CURINIT(FL)!LDESC","#Management Year to date")</f>
        <v>#NAME?</v>
      </c>
      <c r="AS14" s="91"/>
      <c r="AU14" s="86" t="e">
        <f ca="1">GetCtLabel($AO$14,"CURINIT(AU)!LDESC","#xxx xxx")</f>
        <v>#NAME?</v>
      </c>
      <c r="AX14" s="86" t="e">
        <f ca="1">GetCtLabel($AO$14,"CURINIT(AU)!LDESC","#xxx xxx")</f>
        <v>#NAME?</v>
      </c>
      <c r="AZ14" s="86" t="s">
        <v>195</v>
      </c>
      <c r="BA14" s="86" t="e">
        <f ca="1">GetCtLabel($AO$14,"CURINIT(AU)!LDESC","#xxx xxx")</f>
        <v>#NAME?</v>
      </c>
      <c r="BC14" s="86" t="s">
        <v>195</v>
      </c>
      <c r="BD14" s="86" t="e">
        <f ca="1">GetCtLabel($AO$14,"CURINIT(AU)!LDESC","#xxx xxx")</f>
        <v>#NAME?</v>
      </c>
      <c r="BF14" s="86" t="s">
        <v>195</v>
      </c>
      <c r="BG14" s="86" t="e">
        <f ca="1">GetCtLabel($AO$14,"CURINIT(AU)!LDESC","#xxx xxx")</f>
        <v>#NAME?</v>
      </c>
      <c r="BI14" s="86" t="s">
        <v>172</v>
      </c>
      <c r="BJ14" s="86" t="e">
        <f ca="1">GetCtLabel($AO$14,"CURINIT(AU)!LDESC","#xxx xxx")</f>
        <v>#NAME?</v>
      </c>
      <c r="BL14" s="86" t="s">
        <v>172</v>
      </c>
      <c r="BM14" s="86" t="e">
        <f ca="1">GetCtLabel($AK$14,"CURINIT(AU)!LDESC","#xxx xxx")</f>
        <v>#NAME?</v>
      </c>
      <c r="BO14" s="86" t="s">
        <v>172</v>
      </c>
      <c r="BP14" s="86" t="e">
        <f ca="1">GetCtLabel($AK$14,"CURINIT(AU)!LDESC","#xxx xxx")</f>
        <v>#NAME?</v>
      </c>
      <c r="BR14" s="86" t="s">
        <v>172</v>
      </c>
      <c r="BS14" s="86" t="e">
        <f ca="1">GetCtLabel($AK$14,"CURINIT(AU)!LDESC","#xxx xxx")</f>
        <v>#NAME?</v>
      </c>
    </row>
    <row r="15" spans="1:71" s="86" customFormat="1" ht="11.25" outlineLevel="1" x14ac:dyDescent="0.2">
      <c r="B15" s="86" t="s">
        <v>195</v>
      </c>
      <c r="E15" s="86" t="e">
        <f ca="1">GetCtLabel($B$15,"CURINIT(AU)!LDESC","#Total Budget - All except Budget versions and Eliminations but including Associates")</f>
        <v>#NAME?</v>
      </c>
      <c r="F15" s="87"/>
      <c r="H15" s="88"/>
      <c r="N15" s="88"/>
      <c r="O15" s="87"/>
      <c r="P15" s="88"/>
      <c r="Q15" s="88"/>
      <c r="R15" s="88" t="s">
        <v>172</v>
      </c>
      <c r="S15" s="88" t="s">
        <v>196</v>
      </c>
      <c r="T15" s="88" t="s">
        <v>172</v>
      </c>
      <c r="U15" s="88" t="s">
        <v>172</v>
      </c>
      <c r="Y15" s="88"/>
      <c r="Z15" s="89"/>
      <c r="AA15" s="89"/>
      <c r="AB15" s="89"/>
      <c r="AC15" s="89"/>
      <c r="AD15" s="88"/>
      <c r="AE15" s="88"/>
      <c r="AH15" s="90"/>
      <c r="AK15" s="86" t="s">
        <v>197</v>
      </c>
      <c r="AL15" s="90"/>
      <c r="AM15" s="88"/>
      <c r="AN15" s="86" t="s">
        <v>197</v>
      </c>
      <c r="AO15" s="86" t="s">
        <v>197</v>
      </c>
      <c r="AP15" s="88"/>
      <c r="AR15" s="86" t="e">
        <f ca="1">GetCtLabel($AQ$15,"CURINIT(AU)!LDESC","#xxx xxx")</f>
        <v>#NAME?</v>
      </c>
      <c r="AS15" s="91"/>
      <c r="AT15" s="86" t="s">
        <v>197</v>
      </c>
      <c r="AW15" s="86" t="s">
        <v>197</v>
      </c>
      <c r="AZ15" s="86" t="s">
        <v>197</v>
      </c>
      <c r="BC15" s="86" t="s">
        <v>197</v>
      </c>
      <c r="BF15" s="86" t="s">
        <v>197</v>
      </c>
      <c r="BI15" s="86" t="s">
        <v>197</v>
      </c>
      <c r="BL15" s="86" t="s">
        <v>197</v>
      </c>
      <c r="BO15" s="86" t="s">
        <v>197</v>
      </c>
      <c r="BR15" s="86" t="s">
        <v>197</v>
      </c>
    </row>
    <row r="16" spans="1:71" s="86" customFormat="1" ht="11.25" outlineLevel="1" x14ac:dyDescent="0.2">
      <c r="B16" s="86" t="s">
        <v>198</v>
      </c>
      <c r="E16" s="86" t="e">
        <f ca="1">GetCtLabel($B$16,"CURINIT(CU)!LDESC","#xxx xxx")</f>
        <v>#NAME?</v>
      </c>
      <c r="F16" s="87"/>
      <c r="H16" s="88"/>
      <c r="N16" s="88"/>
      <c r="O16" s="87"/>
      <c r="P16" s="88"/>
      <c r="Q16" s="88"/>
      <c r="R16" s="88"/>
      <c r="S16" s="88"/>
      <c r="T16" s="88"/>
      <c r="U16" s="88"/>
      <c r="Y16" s="88"/>
      <c r="Z16" s="89"/>
      <c r="AA16" s="89"/>
      <c r="AB16" s="89"/>
      <c r="AC16" s="89"/>
      <c r="AD16" s="88"/>
      <c r="AE16" s="88" t="s">
        <v>198</v>
      </c>
      <c r="AH16" s="90"/>
      <c r="AK16" s="86" t="s">
        <v>198</v>
      </c>
      <c r="AL16" s="90"/>
      <c r="AM16" s="88"/>
      <c r="AN16" s="86" t="s">
        <v>198</v>
      </c>
      <c r="AO16" s="86" t="s">
        <v>198</v>
      </c>
      <c r="AP16" s="88"/>
      <c r="AQ16" s="86" t="s">
        <v>198</v>
      </c>
      <c r="AR16" s="86" t="e">
        <f ca="1">GetCtLabel($AQ$16,"CURINIT(CU)!LDESC","#xxx xxx")</f>
        <v>#NAME?</v>
      </c>
      <c r="AS16" s="91"/>
      <c r="AT16" s="86" t="s">
        <v>198</v>
      </c>
      <c r="AW16" s="86" t="s">
        <v>198</v>
      </c>
      <c r="AZ16" s="86" t="s">
        <v>198</v>
      </c>
      <c r="BC16" s="86" t="s">
        <v>198</v>
      </c>
      <c r="BF16" s="86" t="s">
        <v>198</v>
      </c>
      <c r="BI16" s="86" t="s">
        <v>198</v>
      </c>
      <c r="BL16" s="86" t="s">
        <v>198</v>
      </c>
      <c r="BO16" s="86" t="s">
        <v>198</v>
      </c>
      <c r="BR16" s="86" t="s">
        <v>198</v>
      </c>
    </row>
    <row r="17" spans="1:71" s="86" customFormat="1" ht="11.25" outlineLevel="1" x14ac:dyDescent="0.2">
      <c r="B17" s="86" t="s">
        <v>197</v>
      </c>
      <c r="F17" s="87"/>
      <c r="H17" s="88"/>
      <c r="N17" s="88"/>
      <c r="O17" s="87"/>
      <c r="P17" s="88"/>
      <c r="Q17" s="88"/>
      <c r="R17" s="88" t="str">
        <f>"PE="&amp;year_act&amp;month</f>
        <v>PE=2015.07</v>
      </c>
      <c r="S17" s="88" t="str">
        <f>"PE="&amp;year_act&amp;month</f>
        <v>PE=2015.07</v>
      </c>
      <c r="T17" s="88" t="str">
        <f>"PE="&amp;year_act&amp;month</f>
        <v>PE=2015.07</v>
      </c>
      <c r="U17" s="88" t="str">
        <f>"PE="&amp;year_act&amp;month</f>
        <v>PE=2015.07</v>
      </c>
      <c r="Y17" s="88"/>
      <c r="Z17" s="89"/>
      <c r="AA17" s="89"/>
      <c r="AB17" s="89" t="s">
        <v>199</v>
      </c>
      <c r="AC17" s="89"/>
      <c r="AD17" s="88"/>
      <c r="AE17" s="88" t="s">
        <v>197</v>
      </c>
      <c r="AH17" s="90"/>
      <c r="AK17" s="86" t="s">
        <v>200</v>
      </c>
      <c r="AL17" s="90"/>
      <c r="AM17" s="88"/>
      <c r="AN17" s="86" t="s">
        <v>200</v>
      </c>
      <c r="AO17" s="86" t="s">
        <v>200</v>
      </c>
      <c r="AP17" s="88"/>
      <c r="AQ17" s="86" t="s">
        <v>197</v>
      </c>
      <c r="AS17" s="91"/>
      <c r="AT17" s="86" t="s">
        <v>200</v>
      </c>
      <c r="AW17" s="86" t="s">
        <v>200</v>
      </c>
      <c r="AZ17" s="86" t="s">
        <v>200</v>
      </c>
      <c r="BC17" s="86" t="s">
        <v>200</v>
      </c>
      <c r="BF17" s="86" t="s">
        <v>200</v>
      </c>
      <c r="BI17" s="86" t="s">
        <v>200</v>
      </c>
      <c r="BL17" s="86" t="s">
        <v>200</v>
      </c>
      <c r="BO17" s="86" t="s">
        <v>200</v>
      </c>
      <c r="BR17" s="86" t="s">
        <v>200</v>
      </c>
    </row>
    <row r="18" spans="1:71" s="86" customFormat="1" ht="11.25" outlineLevel="1" x14ac:dyDescent="0.2">
      <c r="B18" s="86" t="s">
        <v>200</v>
      </c>
      <c r="F18" s="87"/>
      <c r="H18" s="88"/>
      <c r="N18" s="88"/>
      <c r="O18" s="87"/>
      <c r="P18" s="88"/>
      <c r="Q18" s="88"/>
      <c r="R18" s="88"/>
      <c r="S18" s="88"/>
      <c r="T18" s="88" t="s">
        <v>201</v>
      </c>
      <c r="U18" s="88" t="s">
        <v>202</v>
      </c>
      <c r="Y18" s="88"/>
      <c r="Z18" s="89" t="s">
        <v>203</v>
      </c>
      <c r="AA18" s="89"/>
      <c r="AB18" s="89"/>
      <c r="AC18" s="89"/>
      <c r="AD18" s="88"/>
      <c r="AE18" s="88" t="s">
        <v>200</v>
      </c>
      <c r="AH18" s="90"/>
      <c r="AL18" s="90"/>
      <c r="AM18" s="88"/>
      <c r="AP18" s="88"/>
      <c r="AQ18" s="86" t="s">
        <v>200</v>
      </c>
      <c r="AS18" s="91"/>
    </row>
    <row r="19" spans="1:71" s="86" customFormat="1" ht="11.25" outlineLevel="1" x14ac:dyDescent="0.2">
      <c r="F19" s="87"/>
      <c r="H19" s="88"/>
      <c r="N19" s="88"/>
      <c r="O19" s="87"/>
      <c r="P19" s="88"/>
      <c r="Q19" s="88"/>
      <c r="R19" s="88"/>
      <c r="S19" s="88"/>
      <c r="T19" s="88"/>
      <c r="U19" s="88"/>
      <c r="Y19" s="88"/>
      <c r="Z19" s="89"/>
      <c r="AA19" s="89"/>
      <c r="AB19" s="89"/>
      <c r="AC19" s="89"/>
      <c r="AD19" s="88"/>
      <c r="AE19" s="88" t="s">
        <v>175</v>
      </c>
      <c r="AH19" s="90"/>
      <c r="AK19" s="86" t="str">
        <f>AE19</f>
        <v>DP=2015.06</v>
      </c>
      <c r="AL19" s="90"/>
      <c r="AM19" s="88"/>
      <c r="AN19" s="86" t="e">
        <f>"DP="&amp;year_act&amp;month_previous</f>
        <v>#VALUE!</v>
      </c>
      <c r="AO19" s="86" t="e">
        <f>"DP="&amp;year_act&amp;month_previous</f>
        <v>#VALUE!</v>
      </c>
      <c r="AP19" s="88"/>
      <c r="AQ19" s="86" t="str">
        <f>pack_budg</f>
        <v>DP=2014.12</v>
      </c>
      <c r="AS19" s="91"/>
      <c r="AT19" s="86" t="str">
        <f>"DP="&amp;year_act-1&amp;".12"</f>
        <v>DP=2014.12</v>
      </c>
      <c r="AW19" s="86" t="str">
        <f>"DP="&amp;year_act-2&amp;".12"</f>
        <v>DP=2013.12</v>
      </c>
      <c r="AZ19" s="86" t="str">
        <f>"DP="&amp;year_act-3&amp;".12"</f>
        <v>DP=2012.12</v>
      </c>
      <c r="BC19" s="86" t="str">
        <f>"DP="&amp;year_act-4&amp;".12"</f>
        <v>DP=2011.12</v>
      </c>
      <c r="BF19" s="86" t="str">
        <f>"DP="&amp;year_act-5&amp;".12"</f>
        <v>DP=2010.12</v>
      </c>
      <c r="BI19" s="86" t="str">
        <f>"DP="&amp;year_act-6&amp;".12"</f>
        <v>DP=2009.12</v>
      </c>
      <c r="BL19" s="86" t="str">
        <f>"DP="&amp;year_act-7&amp;".12"</f>
        <v>DP=2008.12</v>
      </c>
      <c r="BO19" s="86" t="s">
        <v>204</v>
      </c>
      <c r="BR19" s="86" t="s">
        <v>205</v>
      </c>
    </row>
    <row r="20" spans="1:71" s="86" customFormat="1" ht="11.25" outlineLevel="1" x14ac:dyDescent="0.2">
      <c r="F20" s="87" t="s">
        <v>206</v>
      </c>
      <c r="H20" s="88"/>
      <c r="N20" s="88"/>
      <c r="O20" s="87"/>
      <c r="P20" s="88"/>
      <c r="Q20" s="88"/>
      <c r="R20" s="88"/>
      <c r="S20" s="88"/>
      <c r="T20" s="88"/>
      <c r="U20" s="88"/>
      <c r="Y20" s="88"/>
      <c r="Z20" s="89" t="s">
        <v>207</v>
      </c>
      <c r="AA20" s="89" t="s">
        <v>207</v>
      </c>
      <c r="AB20" s="89" t="s">
        <v>207</v>
      </c>
      <c r="AC20" s="89"/>
      <c r="AD20" s="88"/>
      <c r="AE20" s="88" t="str">
        <f>"PE="&amp;year_act&amp;month</f>
        <v>PE=2015.07</v>
      </c>
      <c r="AF20" s="86" t="s">
        <v>207</v>
      </c>
      <c r="AG20" s="86" t="s">
        <v>208</v>
      </c>
      <c r="AH20" s="90"/>
      <c r="AK20" s="86" t="str">
        <f>"PE="&amp;year_act&amp;month</f>
        <v>PE=2015.07</v>
      </c>
      <c r="AL20" s="90"/>
      <c r="AM20" s="88"/>
      <c r="AN20" s="86" t="e">
        <f>"PE="&amp;year_act&amp;month_previous</f>
        <v>#VALUE!</v>
      </c>
      <c r="AO20" s="86" t="e">
        <f>"PE="&amp;year_act&amp;month_previous</f>
        <v>#VALUE!</v>
      </c>
      <c r="AP20" s="88"/>
      <c r="AQ20" s="86" t="str">
        <f>"PE="&amp;year_act&amp;month</f>
        <v>PE=2015.07</v>
      </c>
      <c r="AS20" s="91"/>
      <c r="AT20" s="86" t="str">
        <f>"PE="&amp;year_act-1&amp;month</f>
        <v>PE=2014.07</v>
      </c>
      <c r="AW20" s="86" t="str">
        <f>"PE="&amp;year_act-2&amp;month</f>
        <v>PE=2013.07</v>
      </c>
      <c r="AZ20" s="86" t="str">
        <f>"PE="&amp;year_act-3&amp;month</f>
        <v>PE=2012.07</v>
      </c>
      <c r="BC20" s="86" t="str">
        <f>"PE="&amp;year_act-4&amp;month</f>
        <v>PE=2011.07</v>
      </c>
      <c r="BF20" s="86" t="str">
        <f>"PE="&amp;year_act-5&amp;month</f>
        <v>PE=2010.07</v>
      </c>
      <c r="BI20" s="86" t="str">
        <f>"PE="&amp;year_act-6&amp;month</f>
        <v>PE=2009.07</v>
      </c>
      <c r="BL20" s="86" t="str">
        <f>"PE="&amp;year_act-7&amp;month</f>
        <v>PE=2008.07</v>
      </c>
      <c r="BO20" s="86" t="s">
        <v>209</v>
      </c>
      <c r="BR20" s="86" t="s">
        <v>210</v>
      </c>
    </row>
    <row r="21" spans="1:71" s="104" customFormat="1" ht="39" customHeight="1" x14ac:dyDescent="0.2">
      <c r="A21" s="92"/>
      <c r="B21" s="92"/>
      <c r="C21" s="92"/>
      <c r="D21" s="92"/>
      <c r="E21" s="93" t="s">
        <v>211</v>
      </c>
      <c r="F21" s="94" t="s">
        <v>212</v>
      </c>
      <c r="G21" s="94" t="s">
        <v>213</v>
      </c>
      <c r="H21" s="95"/>
      <c r="I21" s="94" t="s">
        <v>214</v>
      </c>
      <c r="J21" s="94" t="s">
        <v>215</v>
      </c>
      <c r="K21" s="94" t="s">
        <v>216</v>
      </c>
      <c r="L21" s="94" t="s">
        <v>217</v>
      </c>
      <c r="M21" s="94" t="s">
        <v>218</v>
      </c>
      <c r="N21" s="95"/>
      <c r="O21" s="96" t="str">
        <f>"YTD "&amp; year_act</f>
        <v>YTD 2015</v>
      </c>
      <c r="P21" s="95"/>
      <c r="Q21" s="95"/>
      <c r="R21" s="97" t="s">
        <v>219</v>
      </c>
      <c r="S21" s="97" t="s">
        <v>220</v>
      </c>
      <c r="T21" s="97" t="s">
        <v>221</v>
      </c>
      <c r="U21" s="97" t="s">
        <v>222</v>
      </c>
      <c r="V21" s="98"/>
      <c r="W21" s="99" t="s">
        <v>223</v>
      </c>
      <c r="X21" s="99" t="s">
        <v>224</v>
      </c>
      <c r="Y21" s="95"/>
      <c r="Z21" s="100" t="s">
        <v>225</v>
      </c>
      <c r="AA21" s="100" t="s">
        <v>226</v>
      </c>
      <c r="AB21" s="100" t="s">
        <v>227</v>
      </c>
      <c r="AC21" s="100" t="s">
        <v>228</v>
      </c>
      <c r="AD21" s="95"/>
      <c r="AE21" s="99" t="str">
        <f>"YTD Forecast "&amp;RIGHT(AE19,7)</f>
        <v>YTD Forecast 2015.06</v>
      </c>
      <c r="AF21" s="99" t="s">
        <v>229</v>
      </c>
      <c r="AG21" s="99" t="s">
        <v>230</v>
      </c>
      <c r="AH21" s="99" t="s">
        <v>224</v>
      </c>
      <c r="AI21" s="95"/>
      <c r="AJ21" s="101" t="s">
        <v>231</v>
      </c>
      <c r="AK21" s="102" t="s">
        <v>232</v>
      </c>
      <c r="AL21" s="101" t="s">
        <v>224</v>
      </c>
      <c r="AM21" s="95"/>
      <c r="AN21" s="99" t="s">
        <v>233</v>
      </c>
      <c r="AO21" s="99" t="s">
        <v>234</v>
      </c>
      <c r="AP21" s="95"/>
      <c r="AQ21" s="99" t="str">
        <f>"Budget        "&amp;year_act</f>
        <v>Budget        2015</v>
      </c>
      <c r="AR21" s="99" t="s">
        <v>235</v>
      </c>
      <c r="AS21" s="103"/>
      <c r="AT21" s="94" t="str">
        <f>"Proforma     "&amp;year_act-1</f>
        <v>Proforma     2014</v>
      </c>
      <c r="AU21" s="94" t="str">
        <f>"Var ytd vs " &amp;year_act-1</f>
        <v>Var ytd vs 2014</v>
      </c>
      <c r="AV21" s="95"/>
      <c r="AW21" s="94" t="str">
        <f>"Proforma     "&amp;year_act-2</f>
        <v>Proforma     2013</v>
      </c>
      <c r="AX21" s="94" t="str">
        <f>"Var ytd vs " &amp;year_act-2</f>
        <v>Var ytd vs 2013</v>
      </c>
      <c r="AY21" s="95"/>
      <c r="AZ21" s="94" t="str">
        <f>"Proforma     "&amp;year_act-3</f>
        <v>Proforma     2012</v>
      </c>
      <c r="BA21" s="94" t="str">
        <f>"Var ytd vs " &amp;year_act-3</f>
        <v>Var ytd vs 2012</v>
      </c>
      <c r="BC21" s="94" t="str">
        <f>"Proforma     "&amp;year_act-4</f>
        <v>Proforma     2011</v>
      </c>
      <c r="BD21" s="94" t="str">
        <f>"Var ytd vs " &amp;year_act-4</f>
        <v>Var ytd vs 2011</v>
      </c>
      <c r="BF21" s="94" t="str">
        <f>"Proforma     "&amp;year_act-5</f>
        <v>Proforma     2010</v>
      </c>
      <c r="BG21" s="94" t="str">
        <f>"Var ytd vs " &amp;year_act-5</f>
        <v>Var ytd vs 2010</v>
      </c>
      <c r="BI21" s="94" t="str">
        <f>"Proforma     "&amp;year_act-6</f>
        <v>Proforma     2009</v>
      </c>
      <c r="BJ21" s="94" t="str">
        <f>"Var ytd vs " &amp;year_act-6</f>
        <v>Var ytd vs 2009</v>
      </c>
      <c r="BL21" s="94" t="str">
        <f>"Proforma     "&amp;year_act-7</f>
        <v>Proforma     2008</v>
      </c>
      <c r="BM21" s="94" t="str">
        <f>"Var ytd vs " &amp;year_act-7</f>
        <v>Var ytd vs 2008</v>
      </c>
      <c r="BO21" s="94" t="s">
        <v>236</v>
      </c>
      <c r="BP21" s="94" t="s">
        <v>224</v>
      </c>
      <c r="BR21" s="94" t="s">
        <v>237</v>
      </c>
      <c r="BS21" s="94" t="s">
        <v>224</v>
      </c>
    </row>
    <row r="22" spans="1:71" s="82" customFormat="1" ht="12" customHeight="1" x14ac:dyDescent="0.2">
      <c r="E22" s="88"/>
      <c r="F22" s="105"/>
      <c r="G22" s="106"/>
      <c r="H22" s="107"/>
      <c r="I22" s="108"/>
      <c r="J22" s="108"/>
      <c r="K22" s="108"/>
      <c r="L22" s="108"/>
      <c r="M22" s="108"/>
      <c r="N22" s="107"/>
      <c r="O22" s="109"/>
      <c r="P22" s="110"/>
      <c r="Q22" s="110"/>
      <c r="R22" s="111"/>
      <c r="S22" s="111"/>
      <c r="T22" s="111"/>
      <c r="U22" s="111"/>
      <c r="V22" s="112"/>
      <c r="W22" s="111" t="e">
        <f ca="1">MID(GetCtLabel(W20,"CURINIT(PE)!LDESC","#xxx xxx"),6,50)</f>
        <v>#NAME?</v>
      </c>
      <c r="X22" s="113"/>
      <c r="Y22" s="111"/>
      <c r="Z22" s="114"/>
      <c r="AA22" s="114">
        <f>Z22</f>
        <v>0</v>
      </c>
      <c r="AB22" s="114"/>
      <c r="AC22" s="114"/>
      <c r="AD22" s="111"/>
      <c r="AE22" s="113" t="e">
        <f ca="1">MID(GetCtLabel(AE20,"CURINIT(PE)!LDESC","#2015.July"),6,50)</f>
        <v>#NAME?</v>
      </c>
      <c r="AF22" s="113" t="e">
        <f ca="1">AE22</f>
        <v>#NAME?</v>
      </c>
      <c r="AG22" s="113" t="e">
        <f ca="1">AE22</f>
        <v>#NAME?</v>
      </c>
      <c r="AH22" s="115" t="e">
        <f ca="1">AG22</f>
        <v>#NAME?</v>
      </c>
      <c r="AI22" s="111"/>
      <c r="AJ22" s="113"/>
      <c r="AK22" s="113" t="e">
        <f ca="1">MID(GetCtLabel(AK20,"CURINIT(PE)!LDESC","#2015.July"),6,50)</f>
        <v>#NAME?</v>
      </c>
      <c r="AL22" s="115" t="s">
        <v>238</v>
      </c>
      <c r="AM22" s="113"/>
      <c r="AN22" s="113" t="e">
        <f ca="1">MID(GetCtLabel(AN20,"CURINIT(PE)!LDESC","#2015.June"),6,50)</f>
        <v>#NAME?</v>
      </c>
      <c r="AO22" s="113" t="e">
        <f ca="1">MID(GetCtLabel(AO20,"CURINIT(PE)!LDESC","#2015.June"),6,50)</f>
        <v>#NAME?</v>
      </c>
      <c r="AP22" s="113"/>
      <c r="AQ22" s="113" t="e">
        <f ca="1">MID(GetCtLabel(AQ20,"CURINIT(PE)!LDESC","#2015.July"),6,50)</f>
        <v>#NAME?</v>
      </c>
      <c r="AR22" s="113" t="s">
        <v>239</v>
      </c>
      <c r="AS22" s="116"/>
      <c r="AT22" s="113" t="e">
        <f ca="1">MID(GetCtLabel(AT20,"CURINIT(PE)!LDESC","#2014.July"),6,50)</f>
        <v>#NAME?</v>
      </c>
      <c r="AU22" s="113" t="s">
        <v>239</v>
      </c>
      <c r="AV22" s="107"/>
      <c r="AW22" s="107" t="e">
        <f ca="1">MID(GetCtLabel(AW20,"CURINIT(PE)!LDESC","#2013.June"),6,50)</f>
        <v>#NAME?</v>
      </c>
      <c r="AX22" s="107" t="s">
        <v>239</v>
      </c>
      <c r="AY22" s="107"/>
      <c r="AZ22" s="107" t="e">
        <f ca="1">MID(GetCtLabel(AZ20,"CURINIT(PE)!LDESC","#2012.June"),6,50)</f>
        <v>#NAME?</v>
      </c>
      <c r="BA22" s="107" t="s">
        <v>239</v>
      </c>
      <c r="BC22" s="107" t="e">
        <f ca="1">MID(GetCtLabel(BC20,"CURINIT(PE)!LDESC","#2011.June"),6,50)</f>
        <v>#NAME?</v>
      </c>
      <c r="BD22" s="107" t="s">
        <v>239</v>
      </c>
      <c r="BF22" s="107" t="e">
        <f ca="1">MID(GetCtLabel(BF20,"CURINIT(PE)!LDESC","#2010.June"),6,50)</f>
        <v>#NAME?</v>
      </c>
      <c r="BG22" s="107" t="s">
        <v>239</v>
      </c>
      <c r="BI22" s="107" t="e">
        <f ca="1">MID(GetCtLabel(BI20,"CURINIT(PE)!LDESC","#2009.June"),6,50)</f>
        <v>#NAME?</v>
      </c>
      <c r="BJ22" s="107" t="s">
        <v>239</v>
      </c>
      <c r="BL22" s="107" t="e">
        <f ca="1">MID(GetCtLabel(BL20,"CURINIT(PE)!LDESC","#2008.June"),6,50)</f>
        <v>#NAME?</v>
      </c>
      <c r="BM22" s="107" t="s">
        <v>240</v>
      </c>
      <c r="BO22" s="107" t="e">
        <f ca="1">MID(GetCtLabel(BO20,"CURINIT(PE)!LDESC","#2014.December"),6,50)</f>
        <v>#NAME?</v>
      </c>
      <c r="BP22" s="107" t="s">
        <v>240</v>
      </c>
      <c r="BR22" s="107" t="e">
        <f ca="1">MID(GetCtLabel(BR20,"CURINIT(PE)!LDESC","#2011.September"),6,50)</f>
        <v>#NAME?</v>
      </c>
      <c r="BS22" s="107" t="s">
        <v>240</v>
      </c>
    </row>
    <row r="23" spans="1:71" ht="0.6" customHeight="1" x14ac:dyDescent="0.2">
      <c r="A23" s="117" t="s">
        <v>241</v>
      </c>
      <c r="B23" s="117" t="s">
        <v>242</v>
      </c>
      <c r="C23" s="117"/>
      <c r="D23" s="117"/>
      <c r="E23" s="118"/>
      <c r="F23" s="119"/>
      <c r="G23" s="120"/>
      <c r="I23" s="77"/>
      <c r="J23" s="77"/>
      <c r="K23" s="77"/>
      <c r="L23" s="77"/>
      <c r="M23" s="77"/>
      <c r="O23" s="121">
        <f t="shared" ref="O23:O28" si="0">SUM(F23:M23)</f>
        <v>0</v>
      </c>
      <c r="P23" s="110"/>
      <c r="Q23" s="110"/>
      <c r="R23" s="122"/>
      <c r="S23" s="122"/>
      <c r="T23" s="122"/>
      <c r="U23" s="122"/>
      <c r="V23" s="123"/>
      <c r="W23" s="124"/>
      <c r="X23" s="125"/>
      <c r="Y23" s="122"/>
      <c r="Z23" s="126"/>
      <c r="AA23" s="126"/>
      <c r="AB23" s="126"/>
      <c r="AC23" s="126"/>
      <c r="AD23" s="122"/>
      <c r="AE23" s="125"/>
      <c r="AF23" s="125"/>
      <c r="AG23" s="125"/>
      <c r="AH23" s="127"/>
      <c r="AI23" s="128"/>
      <c r="AJ23" s="125"/>
      <c r="AK23" s="125"/>
      <c r="AL23" s="127"/>
      <c r="AM23" s="125"/>
      <c r="AN23" s="125"/>
      <c r="AO23" s="125"/>
      <c r="AP23" s="125"/>
      <c r="AQ23" s="125"/>
      <c r="AR23" s="125"/>
      <c r="AS23" s="129"/>
      <c r="AT23" s="125"/>
      <c r="AU23" s="125"/>
      <c r="AV23" s="74"/>
      <c r="AW23" s="74"/>
      <c r="AX23" s="74"/>
      <c r="AY23" s="74"/>
      <c r="AZ23" s="74"/>
      <c r="BA23" s="74"/>
      <c r="BC23" s="74"/>
      <c r="BD23" s="74"/>
      <c r="BF23" s="74"/>
      <c r="BG23" s="74"/>
      <c r="BI23" s="74"/>
      <c r="BJ23" s="74"/>
      <c r="BL23" s="74"/>
      <c r="BM23" s="74"/>
      <c r="BO23" s="74"/>
      <c r="BP23" s="74"/>
      <c r="BR23" s="74"/>
      <c r="BS23" s="74"/>
    </row>
    <row r="24" spans="1:71" outlineLevel="1" x14ac:dyDescent="0.2">
      <c r="A24" s="82" t="s">
        <v>243</v>
      </c>
      <c r="B24" s="82" t="s">
        <v>244</v>
      </c>
      <c r="D24" s="82" t="s">
        <v>172</v>
      </c>
      <c r="E24" s="74" t="e">
        <f ca="1">GetCtLabel(B24,"CURINIT(AC)!LDESC","#Billings - Fees")</f>
        <v>#NAME?</v>
      </c>
      <c r="F24" s="130"/>
      <c r="G24" s="131"/>
      <c r="H24" s="130"/>
      <c r="I24" s="130"/>
      <c r="J24" s="130"/>
      <c r="K24" s="130"/>
      <c r="L24" s="130"/>
      <c r="M24" s="130"/>
      <c r="N24" s="130"/>
      <c r="O24" s="121">
        <f t="shared" si="0"/>
        <v>0</v>
      </c>
      <c r="P24" s="132"/>
      <c r="Q24" s="132">
        <f>-L24</f>
        <v>0</v>
      </c>
      <c r="R24" s="133" t="e">
        <f ca="1">PutCtData("PKAMOUNT","AMOUNT",R$11:R$15,$B24:$C24,R$17:R$18,$O24)</f>
        <v>#NAME?</v>
      </c>
      <c r="S24" s="133" t="e">
        <f ca="1">PutCtData("PKAMOUNT","AMOUNT",S$11:S$14,$B24:$D24,S$17,$M24)</f>
        <v>#NAME?</v>
      </c>
      <c r="T24" s="133" t="e">
        <f ca="1">PutCtData("PKAMOUNT","AMOUNT",T$11:T$14,$B24:$D24,T$17:T$18,$P24)</f>
        <v>#NAME?</v>
      </c>
      <c r="U24" s="134" t="e">
        <f ca="1">PutCtData("PkAMOUNT","AMOUNT",$U$11:$U$14,$B24:$D24,U$17:U$18,Q24)</f>
        <v>#NAME?</v>
      </c>
      <c r="V24" s="123"/>
      <c r="W24" s="122"/>
      <c r="X24" s="122"/>
      <c r="Y24" s="122"/>
      <c r="Z24" s="135"/>
      <c r="AA24" s="135"/>
      <c r="AB24" s="135"/>
      <c r="AC24" s="135"/>
      <c r="AD24" s="122"/>
      <c r="AE24" s="122"/>
      <c r="AF24" s="122"/>
      <c r="AG24" s="122"/>
      <c r="AH24" s="136"/>
      <c r="AI24" s="128"/>
      <c r="AJ24" s="122" t="e">
        <f ca="1">AO24-O24</f>
        <v>#NAME?</v>
      </c>
      <c r="AK24" s="122"/>
      <c r="AL24" s="136" t="e">
        <f ca="1">(O24-AO24)-AK24</f>
        <v>#NAME?</v>
      </c>
      <c r="AM24" s="122"/>
      <c r="AN24" s="122" t="e">
        <f ca="1">GetCtData("PKAMOUNT","AMOUNT",$AN$11:$AN$18,$B24:$D24,AN$19:AN$20,"#0")</f>
        <v>#NAME?</v>
      </c>
      <c r="AO24" s="122" t="e">
        <f ca="1">GetCtData("PKAMOUNT","AMOUNT",$AO$11:$AO$18,$B24:$D24,AO$19:AO$20,"#0")</f>
        <v>#NAME?</v>
      </c>
      <c r="AP24" s="122"/>
      <c r="AQ24" s="122" t="e">
        <f ca="1">GetCtData("PKAMOUNT","AMOUNT",$AQ$11:$AQ$18,$B24:$D24,AQ$19:AQ$20,"#")</f>
        <v>#NAME?</v>
      </c>
      <c r="AR24" s="122" t="e">
        <f ca="1">O24-AQ24</f>
        <v>#NAME?</v>
      </c>
      <c r="AS24" s="122"/>
      <c r="AT24" s="122" t="e">
        <f ca="1">GetCtData("PKAMOUNT","AMOUNT",AT$11:AT$18,$B24:$D24,AT$19:AT$20,"#0")</f>
        <v>#NAME?</v>
      </c>
      <c r="AU24" s="122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BL24" s="130"/>
      <c r="BM24" s="130"/>
      <c r="BN24" s="130"/>
      <c r="BO24" s="130"/>
      <c r="BP24" s="130"/>
      <c r="BQ24" s="130"/>
      <c r="BR24" s="130"/>
      <c r="BS24" s="130"/>
    </row>
    <row r="25" spans="1:71" x14ac:dyDescent="0.2">
      <c r="A25" s="82" t="s">
        <v>243</v>
      </c>
      <c r="B25" s="82" t="s">
        <v>245</v>
      </c>
      <c r="D25" s="82" t="s">
        <v>172</v>
      </c>
      <c r="E25" s="74" t="e">
        <f ca="1">GetCtLabel(B25,"CURINIT(AC)!LDESC","#Billings - Non-Media")</f>
        <v>#NAME?</v>
      </c>
      <c r="F25" s="137">
        <v>11190</v>
      </c>
      <c r="G25" s="138"/>
      <c r="H25" s="137"/>
      <c r="I25" s="139"/>
      <c r="J25" s="139"/>
      <c r="K25" s="139">
        <v>-3847</v>
      </c>
      <c r="L25" s="139">
        <v>112</v>
      </c>
      <c r="M25" s="139"/>
      <c r="N25" s="130"/>
      <c r="O25" s="140">
        <f t="shared" si="0"/>
        <v>7455</v>
      </c>
      <c r="P25" s="141">
        <f>-K25</f>
        <v>3847</v>
      </c>
      <c r="Q25" s="141">
        <f>-L25</f>
        <v>-112</v>
      </c>
      <c r="R25" s="133" t="e">
        <f ca="1">PutCtData("PKAMOUNT","AMOUNT",R$11:R$14,$B25:$D25,R$17:R$18,$O25)</f>
        <v>#NAME?</v>
      </c>
      <c r="S25" s="133" t="e">
        <f ca="1">PutCtData("PKAMOUNT","AMOUNT",S$11:S$14,$B25:$D25,S$17,$M25)</f>
        <v>#NAME?</v>
      </c>
      <c r="T25" s="133" t="e">
        <f ca="1">PutCtData("PKAMOUNT","AMOUNT",T$11:T$14,$B25:$D25,T$17:T$18,$P53)</f>
        <v>#NAME?</v>
      </c>
      <c r="U25" s="134" t="e">
        <f ca="1">PutCtData("PKAMOUNT","AMOUNT",$U$11:$U$14,$B25:$D25,U$17:U$18,Q25)</f>
        <v>#NAME?</v>
      </c>
      <c r="V25" s="123"/>
      <c r="W25" s="142"/>
      <c r="X25" s="142"/>
      <c r="Y25" s="122"/>
      <c r="Z25" s="135"/>
      <c r="AA25" s="135"/>
      <c r="AB25" s="135"/>
      <c r="AC25" s="135"/>
      <c r="AD25" s="122"/>
      <c r="AE25" s="142"/>
      <c r="AF25" s="142"/>
      <c r="AG25" s="142"/>
      <c r="AH25" s="143"/>
      <c r="AI25" s="128"/>
      <c r="AJ25" s="142" t="e">
        <f ca="1">O25-AO25</f>
        <v>#NAME?</v>
      </c>
      <c r="AK25" s="142" t="e">
        <f ca="1">GetCtData("PKAMOUNT","AMOUNT",$AK$11:$AK$18,$B25:$D25,AK$19:AK$20,"#858")</f>
        <v>#NAME?</v>
      </c>
      <c r="AL25" s="143" t="e">
        <f ca="1">(O25-AO25)-AK25</f>
        <v>#NAME?</v>
      </c>
      <c r="AM25" s="122"/>
      <c r="AN25" s="142" t="e">
        <f ca="1">GetCtData("PKAMOUNT","AMOUNT",$AN$11:$AN$18,$B25:$D25,AN$19:AN$20,"#1974")</f>
        <v>#NAME?</v>
      </c>
      <c r="AO25" s="142" t="e">
        <f ca="1">GetCtData("PKAMOUNT","AMOUNT",$AO$11:$AO$18,$B25:$D25,AO$19:AO$20,"#6715")</f>
        <v>#NAME?</v>
      </c>
      <c r="AP25" s="122"/>
      <c r="AQ25" s="142" t="e">
        <f ca="1">GetCtData("PKAMOUNT","AMOUNT",$AQ$11:$AQ$18,$B25:$D25,AQ$19:AQ$20,"#6483")</f>
        <v>#NAME?</v>
      </c>
      <c r="AR25" s="142" t="e">
        <f ca="1">O25-AQ25</f>
        <v>#NAME?</v>
      </c>
      <c r="AS25" s="142"/>
      <c r="AT25" s="142" t="e">
        <f ca="1">GetCtData("PKAMOUNT","AMOUNT",AT$11:AT$18,$B25:$D25,AT$19:AT$20,"#7294")</f>
        <v>#NAME?</v>
      </c>
      <c r="AU25" s="142"/>
      <c r="AV25" s="72"/>
      <c r="AW25" s="72" t="e">
        <f ca="1">GetCtData("PKAMOUNT","AMOUNT",AW$11:AW$18,$B25:$D25,AW$19:AW$20,"#")</f>
        <v>#NAME?</v>
      </c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 t="e">
        <f ca="1">GetCtData("COAMOUNT","AMOUNT",$AK$11:$AK$17,$B25,BL$19,BL$20,"#")</f>
        <v>#NAME?</v>
      </c>
      <c r="BM25" s="72"/>
      <c r="BN25" s="72"/>
      <c r="BO25" s="72" t="e">
        <f ca="1">GetCtData("COAMOUNT","AMOUNT",$AK$11:$AK$17,$B25,BO$19,BO$20,"#")</f>
        <v>#NAME?</v>
      </c>
      <c r="BP25" s="72"/>
      <c r="BQ25" s="72"/>
      <c r="BR25" s="72" t="e">
        <f ca="1">GetCtData("COAMOUNT","AMOUNT",$AK$11:$AK$17,$B25,BR$19,BR$20,"#")</f>
        <v>#NAME?</v>
      </c>
      <c r="BS25" s="72"/>
    </row>
    <row r="26" spans="1:71" outlineLevel="1" x14ac:dyDescent="0.2">
      <c r="A26" s="82" t="s">
        <v>243</v>
      </c>
      <c r="B26" s="82" t="s">
        <v>246</v>
      </c>
      <c r="D26" s="82" t="s">
        <v>172</v>
      </c>
      <c r="E26" s="74" t="e">
        <f ca="1">GetCtLabel(B26,"CURINIT(AC)!LDESC","#Billings - I/Group")</f>
        <v>#NAME?</v>
      </c>
      <c r="F26" s="137"/>
      <c r="G26" s="138"/>
      <c r="H26" s="137"/>
      <c r="I26" s="139"/>
      <c r="J26" s="139"/>
      <c r="K26" s="139"/>
      <c r="L26" s="139"/>
      <c r="M26" s="139"/>
      <c r="N26" s="130"/>
      <c r="O26" s="140">
        <f t="shared" si="0"/>
        <v>0</v>
      </c>
      <c r="P26" s="141">
        <f>-K26</f>
        <v>0</v>
      </c>
      <c r="Q26" s="141">
        <f>-L26</f>
        <v>0</v>
      </c>
      <c r="R26" s="133" t="e">
        <f ca="1">PutCtData("PKAMOUNT","AMOUNT",R$11:R$14,$B26:$D26,R$17:R$18,$O26)</f>
        <v>#NAME?</v>
      </c>
      <c r="S26" s="133" t="e">
        <f ca="1">PutCtData("PKAMOUNT","AMOUNT",S$11:S$14,$B26:$D26,S$17,$M26)</f>
        <v>#NAME?</v>
      </c>
      <c r="T26" s="133" t="e">
        <f ca="1">PutCtData("PKAMOUNT","AMOUNT",T$11:T$14,$B26:$D26,T$17:T$18,$P26)</f>
        <v>#NAME?</v>
      </c>
      <c r="U26" s="134" t="e">
        <f ca="1">PutCtData("PkAMOUNT","AMOUNT",$U$11:$U$14,$B26:$D26,U$17:U$18,Q26)</f>
        <v>#NAME?</v>
      </c>
      <c r="V26" s="144"/>
      <c r="W26" s="142"/>
      <c r="X26" s="142"/>
      <c r="Y26" s="122"/>
      <c r="Z26" s="135"/>
      <c r="AA26" s="135"/>
      <c r="AB26" s="135"/>
      <c r="AC26" s="135">
        <f>G26-AB26</f>
        <v>0</v>
      </c>
      <c r="AD26" s="122"/>
      <c r="AE26" s="142" t="e">
        <f ca="1">GetCtData("PKAMOUNT","AMOUNT",$AE$11:$AE$18,$B26:$D26,AE$19:AE$20,"#")</f>
        <v>#NAME?</v>
      </c>
      <c r="AF26" s="142"/>
      <c r="AG26" s="142"/>
      <c r="AH26" s="143"/>
      <c r="AI26" s="128"/>
      <c r="AJ26" s="142" t="e">
        <f ca="1">AO26-O26</f>
        <v>#NAME?</v>
      </c>
      <c r="AK26" s="142" t="e">
        <f ca="1">GetCtData("PKAMOUNT","AMOUNT",$AK$11:$AK$18,$B26:$D26,AK$19:AK$20,"#")</f>
        <v>#NAME?</v>
      </c>
      <c r="AL26" s="143" t="e">
        <f ca="1">(O26-AO26)-AK26</f>
        <v>#NAME?</v>
      </c>
      <c r="AM26" s="122"/>
      <c r="AN26" s="142" t="e">
        <f ca="1">GetCtData("PKAMOUNT","AMOUNT",$AN$11:$AN$18,$B26:$D26,AN$19:AN$20,"#")</f>
        <v>#NAME?</v>
      </c>
      <c r="AO26" s="142" t="e">
        <f ca="1">GetCtData("PKAMOUNT","AMOUNT",$AO$11:$AO$18,$B26:$D26,AO$19:AO$20,"#")</f>
        <v>#NAME?</v>
      </c>
      <c r="AP26" s="122"/>
      <c r="AQ26" s="142" t="e">
        <f ca="1">GetCtData("PKAMOUNT","AMOUNT",$AQ$11:$AQ$18,$B26:$D26,AQ$19:AQ$20,"#")</f>
        <v>#NAME?</v>
      </c>
      <c r="AR26" s="142" t="e">
        <f ca="1">O26-AQ26</f>
        <v>#NAME?</v>
      </c>
      <c r="AS26" s="142"/>
      <c r="AT26" s="142" t="e">
        <f ca="1">GetCtData("PKAMOUNT","AMOUNT",AT$11:AT$18,$B26:$D26,AT$19:AT$20,"#")</f>
        <v>#NAME?</v>
      </c>
      <c r="AU26" s="142"/>
      <c r="AV26" s="72"/>
      <c r="AW26" s="72" t="e">
        <f ca="1">GetCtData("PKAMOUNT","AMOUNT",AW$11:AW$18,$B26:$D26,AW$19:AW$20,"#")</f>
        <v>#NAME?</v>
      </c>
      <c r="AX26" s="72"/>
      <c r="AY26" s="72"/>
      <c r="AZ26" s="72"/>
      <c r="BA26" s="72"/>
      <c r="BB26" s="72"/>
      <c r="BC26" s="72"/>
      <c r="BD26" s="72" t="e">
        <f>#REF!-BC26</f>
        <v>#REF!</v>
      </c>
      <c r="BE26" s="72"/>
      <c r="BF26" s="72"/>
      <c r="BG26" s="72" t="e">
        <f>#REF!-BF26</f>
        <v>#REF!</v>
      </c>
      <c r="BH26" s="72"/>
      <c r="BI26" s="72"/>
      <c r="BJ26" s="72">
        <f>Y26-BI26</f>
        <v>0</v>
      </c>
      <c r="BK26" s="72"/>
      <c r="BL26" s="72" t="e">
        <f ca="1">GetCtData("COAMOUNT","AMOUNT",$AK$11:$AK$17,$B26,BL$19,BL$20,"#")</f>
        <v>#NAME?</v>
      </c>
      <c r="BM26" s="72" t="e">
        <f ca="1">(AI26-BP26)-BL26</f>
        <v>#NAME?</v>
      </c>
      <c r="BN26" s="72"/>
      <c r="BO26" s="72" t="e">
        <f ca="1">GetCtData("COAMOUNT","AMOUNT",$AK$11:$AK$17,$B26,BO$19,BO$20,"#")</f>
        <v>#NAME?</v>
      </c>
      <c r="BP26" s="72" t="e">
        <f ca="1">(AM26-BT26)-BO26</f>
        <v>#NAME?</v>
      </c>
      <c r="BQ26" s="72"/>
      <c r="BR26" s="72" t="e">
        <f ca="1">GetCtData("COAMOUNT","AMOUNT",$AK$11:$AK$17,$B26,BR$19,BR$20,"#")</f>
        <v>#NAME?</v>
      </c>
      <c r="BS26" s="72" t="e">
        <f ca="1">(AO26-BW26)-BR26</f>
        <v>#NAME?</v>
      </c>
    </row>
    <row r="27" spans="1:71" x14ac:dyDescent="0.2">
      <c r="A27" s="82" t="s">
        <v>243</v>
      </c>
      <c r="B27" s="82" t="s">
        <v>247</v>
      </c>
      <c r="D27" s="82" t="s">
        <v>172</v>
      </c>
      <c r="E27" s="74" t="e">
        <f ca="1">GetCtLabel(B27,"CURINIT(AC)!LDESC","#Billings - New Business")</f>
        <v>#NAME?</v>
      </c>
      <c r="F27" s="137"/>
      <c r="G27" s="138"/>
      <c r="H27" s="137"/>
      <c r="I27" s="139"/>
      <c r="J27" s="139"/>
      <c r="K27" s="139"/>
      <c r="L27" s="139"/>
      <c r="M27" s="139"/>
      <c r="N27" s="130"/>
      <c r="O27" s="140">
        <f t="shared" si="0"/>
        <v>0</v>
      </c>
      <c r="P27" s="141">
        <f>-K27</f>
        <v>0</v>
      </c>
      <c r="Q27" s="141">
        <f>-L27</f>
        <v>0</v>
      </c>
      <c r="R27" s="133" t="e">
        <f ca="1">PutCtData("PKAMOUNT","AMOUNT",R$11:R$14,$B27:$D27,R$17:R$18,$O27)</f>
        <v>#NAME?</v>
      </c>
      <c r="S27" s="133" t="e">
        <f ca="1">PutCtData("PKAMOUNT","AMOUNT",S$11:S$14,$B27:$D27,S$17,$M27)</f>
        <v>#NAME?</v>
      </c>
      <c r="T27" s="133" t="e">
        <f ca="1">PutCtData("PKAMOUNT","AMOUNT",T$11:T$14,$B27:$D27,T$17:T$18,$P27)</f>
        <v>#NAME?</v>
      </c>
      <c r="U27" s="134" t="e">
        <f ca="1">PutCtData("PKAMOUNT","AMOUNT",$U$11:$U$14,$B27:$D27,U$17:U$18,Q27)</f>
        <v>#NAME?</v>
      </c>
      <c r="V27" s="144"/>
      <c r="W27" s="142"/>
      <c r="X27" s="142"/>
      <c r="Y27" s="122"/>
      <c r="Z27" s="135"/>
      <c r="AA27" s="135"/>
      <c r="AB27" s="135"/>
      <c r="AC27" s="135">
        <f>G27-AB27</f>
        <v>0</v>
      </c>
      <c r="AD27" s="122"/>
      <c r="AE27" s="142" t="e">
        <f ca="1">GetCtData("PKAMOUNT","AMOUNT",$AE$11:$AE$18,$B27:$D27,AE$19:AE$20,"#0")</f>
        <v>#NAME?</v>
      </c>
      <c r="AF27" s="142"/>
      <c r="AG27" s="142"/>
      <c r="AH27" s="143"/>
      <c r="AI27" s="128"/>
      <c r="AJ27" s="142" t="e">
        <f ca="1">AO27-O27</f>
        <v>#NAME?</v>
      </c>
      <c r="AK27" s="142" t="e">
        <f ca="1">GetCtData("PKAMOUNT","AMOUNT",$AK$11:$AK$18,$B27:$D27,AK$19:AK$20,"#")</f>
        <v>#NAME?</v>
      </c>
      <c r="AL27" s="143" t="e">
        <f ca="1">(O27-AO27)-AK27</f>
        <v>#NAME?</v>
      </c>
      <c r="AM27" s="122"/>
      <c r="AN27" s="142" t="e">
        <f ca="1">GetCtData("PKAMOUNT","AMOUNT",$AN$11:$AN$18,$B27:$D27,AN$19:AN$20,"#0")</f>
        <v>#NAME?</v>
      </c>
      <c r="AO27" s="142" t="e">
        <f ca="1">GetCtData("PKAMOUNT","AMOUNT",$AO$11:$AO$18,$B27:$D27,AO$19:AO$20,"#0")</f>
        <v>#NAME?</v>
      </c>
      <c r="AP27" s="122"/>
      <c r="AQ27" s="142" t="e">
        <f ca="1">GetCtData("PKAMOUNT","AMOUNT",$AQ$11:$AQ$18,$B27:$D27,AQ$19:AQ$20,"#331")</f>
        <v>#NAME?</v>
      </c>
      <c r="AR27" s="142" t="e">
        <f ca="1">O27-AQ27</f>
        <v>#NAME?</v>
      </c>
      <c r="AS27" s="142"/>
      <c r="AT27" s="142" t="e">
        <f ca="1">GetCtData("PKAMOUNT","AMOUNT",AT$11:AT$18,$B27:$D27,AT$19:AT$20,"#0")</f>
        <v>#NAME?</v>
      </c>
      <c r="AU27" s="142"/>
      <c r="AV27" s="72"/>
      <c r="AW27" s="72" t="e">
        <f ca="1">GetCtData("PKAMOUNT","AMOUNT",AW$11:AW$18,$B27:$D27,AW$19:AW$20,"#")</f>
        <v>#NAME?</v>
      </c>
      <c r="AX27" s="72"/>
      <c r="AY27" s="72"/>
      <c r="AZ27" s="72"/>
      <c r="BA27" s="72"/>
      <c r="BB27" s="72"/>
      <c r="BC27" s="72"/>
      <c r="BD27" s="72" t="e">
        <f>#REF!-BC27</f>
        <v>#REF!</v>
      </c>
      <c r="BE27" s="72"/>
      <c r="BF27" s="72"/>
      <c r="BG27" s="72" t="e">
        <f>#REF!-BF27</f>
        <v>#REF!</v>
      </c>
      <c r="BH27" s="72"/>
      <c r="BI27" s="72"/>
      <c r="BJ27" s="72">
        <f>Y27-BI27</f>
        <v>0</v>
      </c>
      <c r="BK27" s="72"/>
      <c r="BL27" s="72"/>
      <c r="BM27" s="72">
        <f>(AI27-BP27)-BL27</f>
        <v>0</v>
      </c>
      <c r="BN27" s="72"/>
      <c r="BO27" s="72"/>
      <c r="BP27" s="72">
        <f>(AM27-BT27)-BO27</f>
        <v>0</v>
      </c>
      <c r="BQ27" s="72"/>
      <c r="BR27" s="72"/>
      <c r="BS27" s="72" t="e">
        <f ca="1">(AO27-BW27)-BR27</f>
        <v>#NAME?</v>
      </c>
    </row>
    <row r="28" spans="1:71" x14ac:dyDescent="0.2">
      <c r="A28" s="82" t="s">
        <v>243</v>
      </c>
      <c r="B28" s="82" t="s">
        <v>248</v>
      </c>
      <c r="D28" s="82" t="s">
        <v>172</v>
      </c>
      <c r="E28" s="74" t="e">
        <f ca="1">GetCtLabel(B28,"CURINIT(AC)!LDESC","#Billings - Accrued")</f>
        <v>#NAME?</v>
      </c>
      <c r="F28" s="145">
        <v>1967</v>
      </c>
      <c r="G28" s="138"/>
      <c r="H28" s="137"/>
      <c r="I28" s="139"/>
      <c r="J28" s="139"/>
      <c r="K28" s="139"/>
      <c r="L28" s="139"/>
      <c r="M28" s="139"/>
      <c r="N28" s="130"/>
      <c r="O28" s="140">
        <f t="shared" si="0"/>
        <v>1967</v>
      </c>
      <c r="P28" s="141">
        <f>-K28</f>
        <v>0</v>
      </c>
      <c r="Q28" s="141">
        <f>-L28</f>
        <v>0</v>
      </c>
      <c r="R28" s="133" t="e">
        <f ca="1">PutCtData("PKAMOUNT","AMOUNT",R$11:R$14,$B28:$D28,R$17:R$18,$O28)</f>
        <v>#NAME?</v>
      </c>
      <c r="S28" s="133" t="e">
        <f ca="1">PutCtData("PKAMOUNT","AMOUNT",S$11:S$14,$B28:$D28,S$17,$M28)</f>
        <v>#NAME?</v>
      </c>
      <c r="T28" s="133" t="e">
        <f ca="1">PutCtData("PKAMOUNT","AMOUNT",T$11:T$14,$B28:$D28,T$17:T$18,$P28)</f>
        <v>#NAME?</v>
      </c>
      <c r="U28" s="134" t="e">
        <f ca="1">PutCtData("PKAMOUNT","AMOUNT",$U$11:$U$14,$B28:$D28,U$17:U$18,Q28)</f>
        <v>#NAME?</v>
      </c>
      <c r="V28" s="144"/>
      <c r="W28" s="142"/>
      <c r="X28" s="142"/>
      <c r="Y28" s="122"/>
      <c r="Z28" s="135"/>
      <c r="AA28" s="135"/>
      <c r="AB28" s="135"/>
      <c r="AC28" s="135"/>
      <c r="AD28" s="122"/>
      <c r="AE28" s="142" t="e">
        <f ca="1">GetCtData("PKAMOUNT","AMOUNT",$AE$11:$AE$18,$B28:$D28,AE$19:AE$20,"#1530")</f>
        <v>#NAME?</v>
      </c>
      <c r="AF28" s="142"/>
      <c r="AG28" s="142"/>
      <c r="AH28" s="143"/>
      <c r="AI28" s="128"/>
      <c r="AJ28" s="142" t="e">
        <f ca="1">AO28-O28</f>
        <v>#NAME?</v>
      </c>
      <c r="AK28" s="142" t="e">
        <f ca="1">GetCtData("PKAMOUNT","AMOUNT",$AK$11:$AK$18,$B28:$D28,AK$19:AK$20,"#")</f>
        <v>#NAME?</v>
      </c>
      <c r="AL28" s="143" t="e">
        <f ca="1">(O28-AO28)-AK28</f>
        <v>#NAME?</v>
      </c>
      <c r="AM28" s="122"/>
      <c r="AN28" s="142" t="e">
        <f ca="1">GetCtData("PKAMOUNT","AMOUNT",$AN$11:$AN$18,$B28:$D28,AN$19:AN$20,"#-209")</f>
        <v>#NAME?</v>
      </c>
      <c r="AO28" s="142" t="e">
        <f ca="1">GetCtData("PKAMOUNT","AMOUNT",$AO$11:$AO$18,$B28:$D28,AO$19:AO$20,"#1530")</f>
        <v>#NAME?</v>
      </c>
      <c r="AP28" s="122"/>
      <c r="AQ28" s="142" t="e">
        <f ca="1">GetCtData("PKAMOUNT","AMOUNT",$AQ$11:$AQ$18,$B28:$D28,AQ$19:AQ$20,"#")</f>
        <v>#NAME?</v>
      </c>
      <c r="AR28" s="142" t="e">
        <f ca="1">O28-AQ28</f>
        <v>#NAME?</v>
      </c>
      <c r="AS28" s="142"/>
      <c r="AT28" s="142" t="e">
        <f ca="1">GetCtData("PKAMOUNT","AMOUNT",AT$11:AT$18,$B28:$D28,AT$19:AT$20,"#2254")</f>
        <v>#NAME?</v>
      </c>
      <c r="AU28" s="142"/>
      <c r="AV28" s="72"/>
      <c r="AW28" s="72" t="e">
        <f ca="1">GetCtData("PKAMOUNT","AMOUNT",AW$11:AW$18,$B28:$D28,AW$19:AW$20,"#")</f>
        <v>#NAME?</v>
      </c>
      <c r="AX28" s="72"/>
      <c r="AY28" s="72"/>
      <c r="AZ28" s="72"/>
      <c r="BA28" s="72"/>
      <c r="BB28" s="72"/>
      <c r="BC28" s="72"/>
      <c r="BD28" s="72"/>
      <c r="BE28" s="72"/>
      <c r="BF28" s="72"/>
      <c r="BG28" s="72"/>
      <c r="BH28" s="72"/>
      <c r="BI28" s="72"/>
      <c r="BJ28" s="72"/>
      <c r="BK28" s="72"/>
      <c r="BL28" s="72" t="e">
        <f ca="1">GetCtData("COAMOUNT","AMOUNT",$AK$11:$AK$17,$B28,BL$19,BL$20,"#")</f>
        <v>#NAME?</v>
      </c>
      <c r="BM28" s="72"/>
      <c r="BN28" s="72"/>
      <c r="BO28" s="72" t="e">
        <f ca="1">GetCtData("COAMOUNT","AMOUNT",$AK$11:$AK$17,$B28,BO$19,BO$20,"#")</f>
        <v>#NAME?</v>
      </c>
      <c r="BP28" s="72"/>
      <c r="BQ28" s="72"/>
      <c r="BR28" s="72" t="e">
        <f ca="1">GetCtData("COAMOUNT","AMOUNT",$AK$11:$AK$17,$B28,BR$19,BR$20,"#")</f>
        <v>#NAME?</v>
      </c>
      <c r="BS28" s="72"/>
    </row>
    <row r="29" spans="1:71" s="74" customFormat="1" x14ac:dyDescent="0.2">
      <c r="A29" s="88"/>
      <c r="B29" s="88"/>
      <c r="C29" s="88"/>
      <c r="D29" s="88"/>
      <c r="F29" s="130"/>
      <c r="G29" s="131"/>
      <c r="H29" s="130"/>
      <c r="I29" s="130"/>
      <c r="J29" s="130"/>
      <c r="K29" s="130"/>
      <c r="L29" s="130"/>
      <c r="M29" s="130"/>
      <c r="N29" s="130"/>
      <c r="O29" s="121"/>
      <c r="P29" s="141"/>
      <c r="Q29" s="141"/>
      <c r="R29" s="122"/>
      <c r="S29" s="122"/>
      <c r="T29" s="122"/>
      <c r="U29" s="122"/>
      <c r="V29" s="122"/>
      <c r="W29" s="122"/>
      <c r="X29" s="122"/>
      <c r="Y29" s="122"/>
      <c r="Z29" s="135"/>
      <c r="AA29" s="135"/>
      <c r="AB29" s="135"/>
      <c r="AC29" s="135"/>
      <c r="AD29" s="122"/>
      <c r="AE29" s="122"/>
      <c r="AF29" s="122"/>
      <c r="AG29" s="122"/>
      <c r="AH29" s="136"/>
      <c r="AI29" s="122"/>
      <c r="AJ29" s="122"/>
      <c r="AK29" s="122"/>
      <c r="AL29" s="136"/>
      <c r="AM29" s="122"/>
      <c r="AN29" s="122"/>
      <c r="AO29" s="122"/>
      <c r="AP29" s="122"/>
      <c r="AQ29" s="122"/>
      <c r="AR29" s="122"/>
      <c r="AS29" s="122"/>
      <c r="AT29" s="122"/>
      <c r="AU29" s="122"/>
      <c r="AV29" s="130"/>
      <c r="AW29" s="130"/>
      <c r="AX29" s="130"/>
      <c r="AY29" s="130"/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0"/>
      <c r="BL29" s="130"/>
      <c r="BM29" s="130"/>
      <c r="BN29" s="130"/>
      <c r="BO29" s="130"/>
      <c r="BP29" s="130"/>
      <c r="BQ29" s="130"/>
      <c r="BR29" s="130"/>
      <c r="BS29" s="130"/>
    </row>
    <row r="30" spans="1:71" s="152" customFormat="1" x14ac:dyDescent="0.2">
      <c r="A30" s="146"/>
      <c r="B30" s="146" t="s">
        <v>249</v>
      </c>
      <c r="C30" s="146"/>
      <c r="D30" s="146" t="s">
        <v>250</v>
      </c>
      <c r="E30" s="147" t="e">
        <f ca="1">GetCtLabel(B30,"CURINIT(AC)!LDESC","#TOTAL BILLINGS AND FEES")</f>
        <v>#NAME?</v>
      </c>
      <c r="F30" s="148">
        <f t="shared" ref="F30:O30" si="1">SUM(F24:F28)</f>
        <v>13157</v>
      </c>
      <c r="G30" s="148">
        <f t="shared" si="1"/>
        <v>0</v>
      </c>
      <c r="H30" s="148"/>
      <c r="I30" s="148">
        <f t="shared" si="1"/>
        <v>0</v>
      </c>
      <c r="J30" s="148">
        <f t="shared" si="1"/>
        <v>0</v>
      </c>
      <c r="K30" s="148">
        <f t="shared" si="1"/>
        <v>-3847</v>
      </c>
      <c r="L30" s="148">
        <f t="shared" si="1"/>
        <v>112</v>
      </c>
      <c r="M30" s="148">
        <f t="shared" si="1"/>
        <v>0</v>
      </c>
      <c r="N30" s="148"/>
      <c r="O30" s="149">
        <f t="shared" si="1"/>
        <v>9422</v>
      </c>
      <c r="P30" s="123">
        <f>-K30</f>
        <v>3847</v>
      </c>
      <c r="Q30" s="123"/>
      <c r="R30" s="148" t="e">
        <f ca="1">SUM(R24:R28)</f>
        <v>#NAME?</v>
      </c>
      <c r="S30" s="148" t="e">
        <f ca="1">SUM(S24:S28)</f>
        <v>#NAME?</v>
      </c>
      <c r="T30" s="148" t="e">
        <f ca="1">SUM(T24:T28)</f>
        <v>#NAME?</v>
      </c>
      <c r="U30" s="148" t="e">
        <f ca="1">SUM(U24:U28)</f>
        <v>#NAME?</v>
      </c>
      <c r="V30" s="144"/>
      <c r="W30" s="148">
        <f>SUM(W24:W28)</f>
        <v>0</v>
      </c>
      <c r="X30" s="148">
        <f>O30-W30</f>
        <v>9422</v>
      </c>
      <c r="Y30" s="136"/>
      <c r="Z30" s="150"/>
      <c r="AA30" s="150">
        <f>SUM(AA24:AA28)</f>
        <v>0</v>
      </c>
      <c r="AB30" s="150">
        <f>Z30+AA30</f>
        <v>0</v>
      </c>
      <c r="AC30" s="150">
        <f>+G30-AB30</f>
        <v>0</v>
      </c>
      <c r="AD30" s="136"/>
      <c r="AE30" s="148" t="e">
        <f ca="1">GetCtData("PKAMOUNT","AMOUNT",$AE$11:$AE$18,$B30:$D30,AE$19:AE$20,"#9103")</f>
        <v>#NAME?</v>
      </c>
      <c r="AF30" s="148">
        <f>SUM(AF24:AF28)</f>
        <v>0</v>
      </c>
      <c r="AG30" s="148" t="e">
        <f ca="1">AE30+AF30</f>
        <v>#NAME?</v>
      </c>
      <c r="AH30" s="148"/>
      <c r="AI30" s="151"/>
      <c r="AJ30" s="148" t="e">
        <f ca="1">O30-AO30</f>
        <v>#NAME?</v>
      </c>
      <c r="AK30" s="148" t="e">
        <f ca="1">GetCtData("PKAMOUNT","AMOUNT",$AK$11:$AK$18,$B30:$D30,AK$19:AK$20,"#858")</f>
        <v>#NAME?</v>
      </c>
      <c r="AL30" s="148" t="e">
        <f ca="1">(O30-AO30)-AK30</f>
        <v>#NAME?</v>
      </c>
      <c r="AM30" s="136"/>
      <c r="AN30" s="148" t="e">
        <f ca="1">GetCtData("PKAMOUNT","AMOUNT",$AN$11:$AN$18,$B30:$D30,AN$19:AN$20,"#1765")</f>
        <v>#NAME?</v>
      </c>
      <c r="AO30" s="148" t="e">
        <f ca="1">GetCtData("PKAMOUNT","AMOUNT",$AO$11:$AO$18,$B30:$D30,AO$19:AO$20,"#8245")</f>
        <v>#NAME?</v>
      </c>
      <c r="AP30" s="136"/>
      <c r="AQ30" s="148" t="e">
        <f ca="1">GetCtData("PKAMOUNT","AMOUNT",$AQ$11:$AQ$18,$B30:$D30,AQ$19:AQ$20,"#6814")</f>
        <v>#NAME?</v>
      </c>
      <c r="AR30" s="148" t="e">
        <f ca="1">O30-AQ30</f>
        <v>#NAME?</v>
      </c>
      <c r="AS30" s="148"/>
      <c r="AT30" s="148" t="e">
        <f ca="1">GetCtData("PKAMOUNT","AMOUNT",AT$11:AT$18,$B30:$D30,AT$19:AT$20,"#9548")</f>
        <v>#NAME?</v>
      </c>
      <c r="AU30" s="148" t="e">
        <f ca="1">O30-AT30</f>
        <v>#NAME?</v>
      </c>
      <c r="AV30" s="148"/>
      <c r="AW30" s="148" t="e">
        <f ca="1">GetCtData("PKAMOUNT","AMOUNT",AW$11:AW$18,$B30:$D30,AW$19:AW$20,"#")</f>
        <v>#NAME?</v>
      </c>
      <c r="AX30" s="148" t="e">
        <f ca="1">O30-AW30</f>
        <v>#NAME?</v>
      </c>
      <c r="AY30" s="148"/>
      <c r="AZ30" s="148"/>
      <c r="BA30" s="148">
        <f>SUM(BA24:BA28)</f>
        <v>0</v>
      </c>
      <c r="BB30" s="148"/>
      <c r="BC30" s="148"/>
      <c r="BD30" s="148" t="e">
        <f>SUM(BD24:BD28)</f>
        <v>#REF!</v>
      </c>
      <c r="BE30" s="148"/>
      <c r="BF30" s="148"/>
      <c r="BG30" s="148" t="e">
        <f>SUM(BG24:BG28)</f>
        <v>#REF!</v>
      </c>
      <c r="BH30" s="148"/>
      <c r="BI30" s="148"/>
      <c r="BJ30" s="148">
        <f>SUM(BJ24:BJ28)</f>
        <v>0</v>
      </c>
      <c r="BK30" s="148"/>
      <c r="BL30" s="148"/>
      <c r="BM30" s="148"/>
      <c r="BN30" s="148"/>
      <c r="BO30" s="148"/>
      <c r="BP30" s="148"/>
      <c r="BQ30" s="148"/>
      <c r="BR30" s="148"/>
      <c r="BS30" s="148"/>
    </row>
    <row r="31" spans="1:71" s="160" customFormat="1" x14ac:dyDescent="0.2">
      <c r="A31" s="88"/>
      <c r="B31" s="88"/>
      <c r="C31" s="88"/>
      <c r="D31" s="88"/>
      <c r="E31" s="153"/>
      <c r="F31" s="130"/>
      <c r="G31" s="131"/>
      <c r="H31" s="130"/>
      <c r="I31" s="130"/>
      <c r="J31" s="130"/>
      <c r="K31" s="130"/>
      <c r="L31" s="130"/>
      <c r="M31" s="130"/>
      <c r="N31" s="130"/>
      <c r="O31" s="121"/>
      <c r="P31" s="154"/>
      <c r="Q31" s="154"/>
      <c r="R31" s="155"/>
      <c r="S31" s="155"/>
      <c r="T31" s="155"/>
      <c r="U31" s="155"/>
      <c r="V31" s="155"/>
      <c r="W31" s="122"/>
      <c r="X31" s="122"/>
      <c r="Y31" s="122"/>
      <c r="Z31" s="135"/>
      <c r="AA31" s="135"/>
      <c r="AB31" s="135"/>
      <c r="AC31" s="135"/>
      <c r="AD31" s="122"/>
      <c r="AE31" s="122"/>
      <c r="AF31" s="122"/>
      <c r="AG31" s="122"/>
      <c r="AH31" s="136"/>
      <c r="AI31" s="156"/>
      <c r="AJ31" s="155"/>
      <c r="AK31" s="155"/>
      <c r="AL31" s="157"/>
      <c r="AM31" s="156"/>
      <c r="AN31" s="155"/>
      <c r="AO31" s="155"/>
      <c r="AP31" s="156"/>
      <c r="AQ31" s="155"/>
      <c r="AR31" s="155"/>
      <c r="AS31" s="156"/>
      <c r="AT31" s="155"/>
      <c r="AU31" s="155"/>
      <c r="AV31" s="158"/>
      <c r="AW31" s="159"/>
      <c r="AX31" s="159"/>
      <c r="AY31" s="158"/>
      <c r="AZ31" s="159"/>
      <c r="BA31" s="159"/>
      <c r="BB31" s="158"/>
      <c r="BC31" s="159"/>
      <c r="BD31" s="159"/>
      <c r="BE31" s="158"/>
      <c r="BF31" s="159"/>
      <c r="BG31" s="159"/>
      <c r="BH31" s="158"/>
      <c r="BI31" s="159"/>
      <c r="BJ31" s="159"/>
      <c r="BK31" s="158"/>
      <c r="BL31" s="159"/>
      <c r="BM31" s="159"/>
      <c r="BN31" s="158"/>
      <c r="BO31" s="159"/>
      <c r="BP31" s="159"/>
      <c r="BQ31" s="158"/>
      <c r="BR31" s="159"/>
      <c r="BS31" s="159"/>
    </row>
    <row r="32" spans="1:71" x14ac:dyDescent="0.2">
      <c r="A32" s="82" t="s">
        <v>243</v>
      </c>
      <c r="B32" s="82" t="s">
        <v>251</v>
      </c>
      <c r="D32" s="82" t="s">
        <v>172</v>
      </c>
      <c r="E32" s="74" t="e">
        <f ca="1">GetCtLabel(B32,"CURINIT(AC)!LDESC","#COGS - Non-Media")</f>
        <v>#NAME?</v>
      </c>
      <c r="F32" s="137">
        <v>3732</v>
      </c>
      <c r="G32" s="138"/>
      <c r="H32" s="137"/>
      <c r="I32" s="139"/>
      <c r="J32" s="139"/>
      <c r="K32" s="139">
        <f>-856</f>
        <v>-856</v>
      </c>
      <c r="L32" s="139"/>
      <c r="M32" s="139"/>
      <c r="N32" s="130"/>
      <c r="O32" s="140">
        <f>SUM(F32:M32)</f>
        <v>2876</v>
      </c>
      <c r="P32" s="141">
        <f t="shared" ref="P32:Q36" si="2">-K32</f>
        <v>856</v>
      </c>
      <c r="Q32" s="141">
        <f t="shared" si="2"/>
        <v>0</v>
      </c>
      <c r="R32" s="133" t="e">
        <f ca="1">PutCtData("PKAMOUNT","AMOUNT",R$11:R$14,$B32:$D32,R$17:R$18,$O38)</f>
        <v>#NAME?</v>
      </c>
      <c r="S32" s="133" t="e">
        <f ca="1">PutCtData("PKAMOUNT","AMOUNT",S$11:S$14,$B32:$D32,S$17,$M32)</f>
        <v>#NAME?</v>
      </c>
      <c r="T32" s="161"/>
      <c r="U32" s="134" t="e">
        <f ca="1">PutCtData("PKAMOUNT","AMOUNT",$U$11:$U$14,$B32:$D32,U$17:U$18,Q32)</f>
        <v>#NAME?</v>
      </c>
      <c r="V32" s="144"/>
      <c r="W32" s="142"/>
      <c r="X32" s="142"/>
      <c r="Y32" s="122"/>
      <c r="Z32" s="135"/>
      <c r="AA32" s="135"/>
      <c r="AB32" s="135"/>
      <c r="AC32" s="135">
        <f>G32-AB32</f>
        <v>0</v>
      </c>
      <c r="AD32" s="122"/>
      <c r="AE32" s="142" t="e">
        <f ca="1">GetCtData("PKAMOUNT","AMOUNT",$AE$11:$AE$18,$B32:$D32,AE$19:AE$20,"#2729")</f>
        <v>#NAME?</v>
      </c>
      <c r="AF32" s="142"/>
      <c r="AG32" s="142"/>
      <c r="AH32" s="143"/>
      <c r="AI32" s="128"/>
      <c r="AJ32" s="142" t="e">
        <f t="shared" ref="AJ32:AJ38" ca="1" si="3">O32-AO32</f>
        <v>#NAME?</v>
      </c>
      <c r="AK32" s="142" t="e">
        <f ca="1">GetCtData("PKAMOUNT","AMOUNT",$AK$11:$AK$18,$B32:$D32,AK$19:AK$20,"#")</f>
        <v>#NAME?</v>
      </c>
      <c r="AL32" s="143" t="e">
        <f ca="1">(O32-AO32)-AK32</f>
        <v>#NAME?</v>
      </c>
      <c r="AM32" s="122"/>
      <c r="AN32" s="142" t="e">
        <f ca="1">GetCtData("PKAMOUNT","AMOUNT",$AN$11:$AN$18,$B32:$D32,AN$19:AN$20,"#760")</f>
        <v>#NAME?</v>
      </c>
      <c r="AO32" s="142" t="e">
        <f ca="1">GetCtData("PKAMOUNT","AMOUNT",$AO$11:$AO$18,$B32:$D32,AO$19:AO$20,"#2729")</f>
        <v>#NAME?</v>
      </c>
      <c r="AP32" s="122"/>
      <c r="AQ32" s="142" t="e">
        <f ca="1">GetCtData("PKAMOUNT","AMOUNT",$AQ$11:$AQ$18,$B32:$D32,AQ$19:AQ$20,"#")</f>
        <v>#NAME?</v>
      </c>
      <c r="AR32" s="142" t="e">
        <f ca="1">O32-AQ32</f>
        <v>#NAME?</v>
      </c>
      <c r="AS32" s="142"/>
      <c r="AT32" s="142" t="e">
        <f ca="1">GetCtData("PKAMOUNT","AMOUNT",AT$11:AT$18,$B32:$D32,AT$19:AT$20,"#")</f>
        <v>#NAME?</v>
      </c>
      <c r="AU32" s="142" t="e">
        <f ca="1">G32-AT32</f>
        <v>#NAME?</v>
      </c>
      <c r="AV32" s="72"/>
      <c r="AW32" s="72" t="e">
        <f ca="1">GetCtData("PKAMOUNT","AMOUNT",AW$11:AW$18,$B32:$D32,AW$19:AW$20,"#")</f>
        <v>#NAME?</v>
      </c>
      <c r="AX32" s="72" t="e">
        <f ca="1">K32-AW32</f>
        <v>#NAME?</v>
      </c>
      <c r="AY32" s="72"/>
      <c r="AZ32" s="72"/>
      <c r="BA32" s="72">
        <f>O32-AZ32</f>
        <v>2876</v>
      </c>
      <c r="BB32" s="72"/>
      <c r="BC32" s="72"/>
      <c r="BD32" s="72"/>
      <c r="BE32" s="72"/>
      <c r="BF32" s="72"/>
      <c r="BG32" s="72"/>
      <c r="BH32" s="72"/>
      <c r="BI32" s="72"/>
      <c r="BJ32" s="72">
        <f>Y32-BI32</f>
        <v>0</v>
      </c>
      <c r="BK32" s="72"/>
      <c r="BL32" s="72" t="e">
        <f ca="1">GetCtData("COAMOUNT","AMOUNT",$AK$11:$AK$17,$B32,BL$19,BL$20,"#")</f>
        <v>#NAME?</v>
      </c>
      <c r="BM32" s="72"/>
      <c r="BN32" s="72"/>
      <c r="BO32" s="72" t="e">
        <f ca="1">GetCtData("COAMOUNT","AMOUNT",$AK$11:$AK$17,$B32,BO$19,BO$20,"#")</f>
        <v>#NAME?</v>
      </c>
      <c r="BP32" s="72"/>
      <c r="BQ32" s="72"/>
      <c r="BR32" s="72" t="e">
        <f ca="1">GetCtData("COAMOUNT","AMOUNT",$AK$11:$AK$17,$B32,BR$19,BR$20,"#")</f>
        <v>#NAME?</v>
      </c>
      <c r="BS32" s="72"/>
    </row>
    <row r="33" spans="1:71" outlineLevel="1" x14ac:dyDescent="0.2">
      <c r="A33" s="82" t="s">
        <v>243</v>
      </c>
      <c r="B33" s="82" t="s">
        <v>252</v>
      </c>
      <c r="D33" s="82" t="s">
        <v>172</v>
      </c>
      <c r="E33" s="74" t="e">
        <f ca="1">GetCtLabel(B33,"CURINIT(AC)!LDESC","#COGS - Fees")</f>
        <v>#NAME?</v>
      </c>
      <c r="F33" s="137"/>
      <c r="G33" s="138"/>
      <c r="H33" s="137"/>
      <c r="I33" s="139"/>
      <c r="J33" s="139"/>
      <c r="K33" s="139"/>
      <c r="L33" s="139"/>
      <c r="M33" s="139"/>
      <c r="N33" s="130"/>
      <c r="O33" s="140">
        <f>SUM(F33:M33)</f>
        <v>0</v>
      </c>
      <c r="P33" s="141">
        <f t="shared" si="2"/>
        <v>0</v>
      </c>
      <c r="Q33" s="141">
        <f t="shared" si="2"/>
        <v>0</v>
      </c>
      <c r="R33" s="133" t="e">
        <f ca="1">PutCtData("PKAMOUNT","AMOUNT",R$11:R$14,$B33:$D33,R$17:R$18,$O33)</f>
        <v>#NAME?</v>
      </c>
      <c r="S33" s="133" t="e">
        <f ca="1">PutCtData("PKAMOUNT","AMOUNT",S$11:S$14,$B33:$D33,S$17,$M33)</f>
        <v>#NAME?</v>
      </c>
      <c r="T33" s="133" t="e">
        <f ca="1">PutCtData("PKAMOUNT","AMOUNT",T$11:T$14,$B33:$D33,T$17:T$18,$P33)</f>
        <v>#NAME?</v>
      </c>
      <c r="U33" s="134" t="e">
        <f ca="1">PutCtData("PKAMOUNT","AMOUNT",$U$11:$U$14,$B33:$D33,U$17:U$18,Q33)</f>
        <v>#NAME?</v>
      </c>
      <c r="V33" s="144"/>
      <c r="W33" s="142"/>
      <c r="X33" s="142"/>
      <c r="Y33" s="122"/>
      <c r="Z33" s="135"/>
      <c r="AA33" s="135"/>
      <c r="AB33" s="135"/>
      <c r="AC33" s="135"/>
      <c r="AD33" s="122"/>
      <c r="AE33" s="142" t="e">
        <f ca="1">GetCtData("PKAMOUNT","AMOUNT",$AE$11:$AE$18,$B33:$D33,AE$19:AE$20,"#0")</f>
        <v>#NAME?</v>
      </c>
      <c r="AF33" s="142"/>
      <c r="AG33" s="142"/>
      <c r="AH33" s="143"/>
      <c r="AI33" s="128"/>
      <c r="AJ33" s="142" t="e">
        <f t="shared" ca="1" si="3"/>
        <v>#NAME?</v>
      </c>
      <c r="AK33" s="142" t="e">
        <f ca="1">GetCtData("PKAMOUNT","AMOUNT",$AK$11:$AK$18,$B33:$D33,AK$19:AK$20,"#")</f>
        <v>#NAME?</v>
      </c>
      <c r="AL33" s="143" t="e">
        <f ca="1">(O33-AO33)-AK33</f>
        <v>#NAME?</v>
      </c>
      <c r="AM33" s="122"/>
      <c r="AN33" s="142" t="e">
        <f ca="1">GetCtData("PKAMOUNT","AMOUNT",$AN$11:$AN$18,$B33:$D33,AN$19:AN$20,"#0")</f>
        <v>#NAME?</v>
      </c>
      <c r="AO33" s="142" t="e">
        <f ca="1">GetCtData("PKAMOUNT","AMOUNT",$AO$11:$AO$18,$B33:$D33,AO$19:AO$20,"#0")</f>
        <v>#NAME?</v>
      </c>
      <c r="AP33" s="122"/>
      <c r="AQ33" s="142" t="e">
        <f ca="1">GetCtData("PKAMOUNT","AMOUNT",$AQ$11:$AQ$18,$B33:$D33,AQ$19:AQ$20,"#")</f>
        <v>#NAME?</v>
      </c>
      <c r="AR33" s="142" t="e">
        <f ca="1">O33-AQ33</f>
        <v>#NAME?</v>
      </c>
      <c r="AS33" s="142"/>
      <c r="AT33" s="142" t="e">
        <f ca="1">GetCtData("PKAMOUNT","AMOUNT",AT$11:AT$18,$B33:$D33,AT$19:AT$20,"#2665")</f>
        <v>#NAME?</v>
      </c>
      <c r="AU33" s="142"/>
      <c r="AV33" s="72"/>
      <c r="AW33" s="72" t="e">
        <f ca="1">GetCtData("PKAMOUNT","AMOUNT",AW$11:AW$18,$B33:$D33,AW$19:AW$20,"#")</f>
        <v>#NAME?</v>
      </c>
      <c r="AX33" s="72"/>
      <c r="AY33" s="72"/>
      <c r="AZ33" s="72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 t="e">
        <f ca="1">GetCtData("COAMOUNT","AMOUNT",$AK$11:$AK$17,$B33,BL$19,BL$20,"#")</f>
        <v>#NAME?</v>
      </c>
      <c r="BM33" s="72"/>
      <c r="BN33" s="72"/>
      <c r="BO33" s="72" t="e">
        <f ca="1">GetCtData("COAMOUNT","AMOUNT",$AK$11:$AK$17,$B33,BO$19,BO$20,"#")</f>
        <v>#NAME?</v>
      </c>
      <c r="BP33" s="72"/>
      <c r="BQ33" s="72"/>
      <c r="BR33" s="72" t="e">
        <f ca="1">GetCtData("COAMOUNT","AMOUNT",$AK$11:$AK$17,$B33,BR$19,BR$20,"#")</f>
        <v>#NAME?</v>
      </c>
      <c r="BS33" s="72"/>
    </row>
    <row r="34" spans="1:71" outlineLevel="1" x14ac:dyDescent="0.2">
      <c r="A34" s="82" t="s">
        <v>243</v>
      </c>
      <c r="B34" s="82" t="s">
        <v>253</v>
      </c>
      <c r="D34" s="82" t="s">
        <v>172</v>
      </c>
      <c r="E34" s="74" t="e">
        <f ca="1">GetCtLabel(B34,"CURINIT(AC)!LDESC","#COGS - Contract")</f>
        <v>#NAME?</v>
      </c>
      <c r="F34" s="137"/>
      <c r="G34" s="138"/>
      <c r="H34" s="137"/>
      <c r="I34" s="139"/>
      <c r="J34" s="139"/>
      <c r="K34" s="139"/>
      <c r="L34" s="139"/>
      <c r="M34" s="139"/>
      <c r="N34" s="130"/>
      <c r="O34" s="140">
        <f>SUM(F34:M34)</f>
        <v>0</v>
      </c>
      <c r="P34" s="141">
        <f t="shared" si="2"/>
        <v>0</v>
      </c>
      <c r="Q34" s="141">
        <f t="shared" si="2"/>
        <v>0</v>
      </c>
      <c r="R34" s="133" t="e">
        <f ca="1">PutCtData("PKAMOUNT","AMOUNT",R$11:R$14,$B34:$D34,R$17:R$18,$O34)</f>
        <v>#NAME?</v>
      </c>
      <c r="S34" s="133" t="e">
        <f ca="1">PutCtData("PKAMOUNT","AMOUNT",S$11:S$14,$B34:$D34,S$17,$M34)</f>
        <v>#NAME?</v>
      </c>
      <c r="T34" s="133" t="e">
        <f ca="1">PutCtData("PKAMOUNT","AMOUNT",T$11:T$14,$B34:$D34,T$17:T$18,$P34)</f>
        <v>#NAME?</v>
      </c>
      <c r="U34" s="134" t="e">
        <f ca="1">PutCtData("PKAMOUNT","AMOUNT",$U$11:$U$14,$B34:$D34,U$17:U$18,Q34)</f>
        <v>#NAME?</v>
      </c>
      <c r="V34" s="144"/>
      <c r="W34" s="142"/>
      <c r="X34" s="142"/>
      <c r="Y34" s="122"/>
      <c r="Z34" s="135"/>
      <c r="AA34" s="135"/>
      <c r="AB34" s="135"/>
      <c r="AC34" s="135">
        <f>G34-AB34</f>
        <v>0</v>
      </c>
      <c r="AD34" s="122"/>
      <c r="AE34" s="142" t="e">
        <f ca="1">GetCtData("PKAMOUNT","AMOUNT",$AE$11:$AE$18,$B34:$D34,AE$19:AE$20,"#0")</f>
        <v>#NAME?</v>
      </c>
      <c r="AF34" s="142"/>
      <c r="AG34" s="142"/>
      <c r="AH34" s="143">
        <f>O34-AG34</f>
        <v>0</v>
      </c>
      <c r="AI34" s="128"/>
      <c r="AJ34" s="142" t="e">
        <f t="shared" ca="1" si="3"/>
        <v>#NAME?</v>
      </c>
      <c r="AK34" s="142" t="e">
        <f ca="1">GetCtData("PKAMOUNT","AMOUNT",$AK$11:$AK$18,$B34:$D34,AK$19:AK$20,"#")</f>
        <v>#NAME?</v>
      </c>
      <c r="AL34" s="143" t="e">
        <f ca="1">(O34-AO34)-AK34</f>
        <v>#NAME?</v>
      </c>
      <c r="AM34" s="122"/>
      <c r="AN34" s="142" t="e">
        <f ca="1">GetCtData("PKAMOUNT","AMOUNT",$AN$11:$AN$18,$B34:$D34,AN$19:AN$20,"#0")</f>
        <v>#NAME?</v>
      </c>
      <c r="AO34" s="142" t="e">
        <f ca="1">GetCtData("PKAMOUNT","AMOUNT",$AO$11:$AO$18,$B34:$D34,AO$19:AO$20,"#0")</f>
        <v>#NAME?</v>
      </c>
      <c r="AP34" s="122"/>
      <c r="AQ34" s="142" t="e">
        <f ca="1">GetCtData("PKAMOUNT","AMOUNT",$AQ$11:$AQ$18,$B34:$D34,AQ$19:AQ$20,"#")</f>
        <v>#NAME?</v>
      </c>
      <c r="AR34" s="142" t="e">
        <f ca="1">O34-AQ34</f>
        <v>#NAME?</v>
      </c>
      <c r="AS34" s="142"/>
      <c r="AT34" s="142" t="e">
        <f ca="1">GetCtData("PKAMOUNT","AMOUNT",AT$11:AT$18,$B34:$D34,AT$19:AT$20,"#0")</f>
        <v>#NAME?</v>
      </c>
      <c r="AU34" s="142" t="e">
        <f ca="1">G34-AT34</f>
        <v>#NAME?</v>
      </c>
      <c r="AV34" s="72"/>
      <c r="AW34" s="72" t="e">
        <f ca="1">GetCtData("PKAMOUNT","AMOUNT",AW$11:AW$18,$B34:$D34,AW$19:AW$20,"#")</f>
        <v>#NAME?</v>
      </c>
      <c r="AX34" s="72" t="e">
        <f ca="1">K34-AW34</f>
        <v>#NAME?</v>
      </c>
      <c r="AY34" s="72"/>
      <c r="AZ34" s="72" t="e">
        <f ca="1">GetCtData("COAMOUNT","AMOUNT",$AO$11:$AO$17,$B34,AZ$19,AZ$20,"#")</f>
        <v>#NAME?</v>
      </c>
      <c r="BA34" s="72" t="e">
        <f ca="1">O34-AZ34</f>
        <v>#NAME?</v>
      </c>
      <c r="BB34" s="72"/>
      <c r="BC34" s="72" t="e">
        <f ca="1">GetCtData("COAMOUNT","AMOUNT",$AO$11:$AO$17,$B34,BC$19,BC$20,"#")</f>
        <v>#NAME?</v>
      </c>
      <c r="BD34" s="72"/>
      <c r="BE34" s="72"/>
      <c r="BF34" s="72" t="e">
        <f ca="1">GetCtData("COAMOUNT","AMOUNT",$AO$11:$AO$17,$B34,BF$19,BF$20,"#")</f>
        <v>#NAME?</v>
      </c>
      <c r="BG34" s="72"/>
      <c r="BH34" s="72"/>
      <c r="BI34" s="72" t="e">
        <f ca="1">GetCtData("COAMOUNT","AMOUNT",$AO$11:$AO$17,$B34,BI$19,BI$20,"#")</f>
        <v>#NAME?</v>
      </c>
      <c r="BJ34" s="72" t="e">
        <f ca="1">Y34-BI34</f>
        <v>#NAME?</v>
      </c>
      <c r="BK34" s="72"/>
      <c r="BL34" s="72" t="e">
        <f ca="1">GetCtData("COAMOUNT","AMOUNT",$AK$11:$AK$17,$B34,BL$19,BL$20,"#")</f>
        <v>#NAME?</v>
      </c>
      <c r="BM34" s="72" t="e">
        <f ca="1">(AI34-BP34)-BL34</f>
        <v>#NAME?</v>
      </c>
      <c r="BN34" s="72"/>
      <c r="BO34" s="72" t="e">
        <f ca="1">GetCtData("COAMOUNT","AMOUNT",$AK$11:$AK$17,$B34,BO$19,BO$20,"#")</f>
        <v>#NAME?</v>
      </c>
      <c r="BP34" s="72" t="e">
        <f ca="1">(AM34-BT34)-BO34</f>
        <v>#NAME?</v>
      </c>
      <c r="BQ34" s="72"/>
      <c r="BR34" s="72" t="e">
        <f ca="1">GetCtData("COAMOUNT","AMOUNT",$AK$11:$AK$17,$B34,BR$19,BR$20,"#")</f>
        <v>#NAME?</v>
      </c>
      <c r="BS34" s="72" t="e">
        <f ca="1">(AO34-BW34)-BR34</f>
        <v>#NAME?</v>
      </c>
    </row>
    <row r="35" spans="1:71" outlineLevel="1" x14ac:dyDescent="0.2">
      <c r="A35" s="82" t="s">
        <v>243</v>
      </c>
      <c r="B35" s="82" t="s">
        <v>254</v>
      </c>
      <c r="D35" s="82" t="s">
        <v>172</v>
      </c>
      <c r="E35" s="74" t="e">
        <f ca="1">GetCtLabel(B35,"CURINIT(AC)!LDESC","#COGS - I/Group")</f>
        <v>#NAME?</v>
      </c>
      <c r="F35" s="137"/>
      <c r="G35" s="138"/>
      <c r="H35" s="137"/>
      <c r="I35" s="139"/>
      <c r="J35" s="139"/>
      <c r="K35" s="139"/>
      <c r="L35" s="139"/>
      <c r="M35" s="139"/>
      <c r="N35" s="130"/>
      <c r="O35" s="140">
        <f>SUM(F35:M35)</f>
        <v>0</v>
      </c>
      <c r="P35" s="141">
        <f t="shared" si="2"/>
        <v>0</v>
      </c>
      <c r="Q35" s="141">
        <f t="shared" si="2"/>
        <v>0</v>
      </c>
      <c r="R35" s="133" t="e">
        <f ca="1">PutCtData("PKAMOUNT","AMOUNT",R$11:R$14,$B35:$D35,R$17:R$18,$O35)</f>
        <v>#NAME?</v>
      </c>
      <c r="S35" s="133" t="e">
        <f ca="1">PutCtData("PKAMOUNT","AMOUNT",S$11:S$14,$B35:$D35,S$17,$M35)</f>
        <v>#NAME?</v>
      </c>
      <c r="T35" s="133" t="e">
        <f ca="1">PutCtData("PKAMOUNT","AMOUNT",T$11:T$14,$B35:$D35,T$17:T$18,$P35)</f>
        <v>#NAME?</v>
      </c>
      <c r="U35" s="134" t="e">
        <f ca="1">PutCtData("PKAMOUNT","AMOUNT",$U$11:$U$14,$B35:$D35,U$17:U$18,Q35)</f>
        <v>#NAME?</v>
      </c>
      <c r="V35" s="144"/>
      <c r="W35" s="142"/>
      <c r="X35" s="142"/>
      <c r="Y35" s="122"/>
      <c r="Z35" s="135"/>
      <c r="AA35" s="135"/>
      <c r="AB35" s="135"/>
      <c r="AC35" s="135">
        <f>G35-AB35</f>
        <v>0</v>
      </c>
      <c r="AD35" s="122"/>
      <c r="AE35" s="142" t="e">
        <f ca="1">GetCtData("PKAMOUNT","AMOUNT",$AE$11:$AE$18,$B35:$D35,AE$19:AE$20,"#")</f>
        <v>#NAME?</v>
      </c>
      <c r="AF35" s="142"/>
      <c r="AG35" s="142"/>
      <c r="AH35" s="143">
        <f>O35-AG35</f>
        <v>0</v>
      </c>
      <c r="AI35" s="128"/>
      <c r="AJ35" s="142" t="e">
        <f t="shared" ca="1" si="3"/>
        <v>#NAME?</v>
      </c>
      <c r="AK35" s="142" t="e">
        <f ca="1">GetCtData("PKAMOUNT","AMOUNT",$AK$11:$AK$18,$B35:$D35,AK$19:AK$20,"#")</f>
        <v>#NAME?</v>
      </c>
      <c r="AL35" s="143" t="e">
        <f ca="1">(O35-AO35)-AK35</f>
        <v>#NAME?</v>
      </c>
      <c r="AM35" s="122"/>
      <c r="AN35" s="142" t="e">
        <f ca="1">GetCtData("PKAMOUNT","AMOUNT",$AN$11:$AN$18,$B35:$D35,AN$19:AN$20,"#")</f>
        <v>#NAME?</v>
      </c>
      <c r="AO35" s="142" t="e">
        <f ca="1">GetCtData("PKAMOUNT","AMOUNT",$AO$11:$AO$18,$B35:$D35,AO$19:AO$20,"#")</f>
        <v>#NAME?</v>
      </c>
      <c r="AP35" s="122"/>
      <c r="AQ35" s="142" t="e">
        <f ca="1">GetCtData("PKAMOUNT","AMOUNT",$AQ$11:$AQ$18,$B35:$D35,AQ$19:AQ$20,"#")</f>
        <v>#NAME?</v>
      </c>
      <c r="AR35" s="142" t="e">
        <f ca="1">O35-AQ35</f>
        <v>#NAME?</v>
      </c>
      <c r="AS35" s="142"/>
      <c r="AT35" s="142" t="e">
        <f ca="1">GetCtData("PKAMOUNT","AMOUNT",AT$11:AT$18,$B35:$D35,AT$19:AT$20,"#")</f>
        <v>#NAME?</v>
      </c>
      <c r="AU35" s="142"/>
      <c r="AV35" s="72"/>
      <c r="AW35" s="72" t="e">
        <f ca="1">GetCtData("PKAMOUNT","AMOUNT",AW$11:AW$18,$B35:$D35,AW$19:AW$20,"#")</f>
        <v>#NAME?</v>
      </c>
      <c r="AX35" s="72"/>
      <c r="AY35" s="72"/>
      <c r="AZ35" s="72" t="e">
        <f ca="1">GetCtData("COAMOUNT","AMOUNT",$AO$11:$AO$17,$B35,AZ$19,AZ$20,"#")</f>
        <v>#NAME?</v>
      </c>
      <c r="BA35" s="72"/>
      <c r="BB35" s="72"/>
      <c r="BC35" s="72" t="e">
        <f ca="1">GetCtData("COAMOUNT","AMOUNT",$AO$11:$AO$17,$B35,BC$19,BC$20,"#")</f>
        <v>#NAME?</v>
      </c>
      <c r="BD35" s="72"/>
      <c r="BE35" s="72"/>
      <c r="BF35" s="72" t="e">
        <f ca="1">GetCtData("COAMOUNT","AMOUNT",$AO$11:$AO$17,$B35,BF$19,BF$20,"#")</f>
        <v>#NAME?</v>
      </c>
      <c r="BG35" s="72"/>
      <c r="BH35" s="72"/>
      <c r="BI35" s="72" t="e">
        <f ca="1">GetCtData("COAMOUNT","AMOUNT",$AO$11:$AO$17,$B35,BI$19,BI$20,"#")</f>
        <v>#NAME?</v>
      </c>
      <c r="BJ35" s="72" t="e">
        <f ca="1">Y35-BI35</f>
        <v>#NAME?</v>
      </c>
      <c r="BK35" s="72"/>
      <c r="BL35" s="72" t="e">
        <f ca="1">GetCtData("COAMOUNT","AMOUNT",$AK$11:$AK$17,$B35,BL$19,BL$20,"#")</f>
        <v>#NAME?</v>
      </c>
      <c r="BM35" s="72" t="e">
        <f ca="1">(AI35-BP35)-BL35</f>
        <v>#NAME?</v>
      </c>
      <c r="BN35" s="72"/>
      <c r="BO35" s="72" t="e">
        <f ca="1">GetCtData("COAMOUNT","AMOUNT",$AK$11:$AK$17,$B35,BO$19,BO$20,"#")</f>
        <v>#NAME?</v>
      </c>
      <c r="BP35" s="72" t="e">
        <f ca="1">(AM35-BT35)-BO35</f>
        <v>#NAME?</v>
      </c>
      <c r="BQ35" s="72"/>
      <c r="BR35" s="72" t="e">
        <f ca="1">GetCtData("COAMOUNT","AMOUNT",$AK$11:$AK$17,$B35,BR$19,BR$20,"#")</f>
        <v>#NAME?</v>
      </c>
      <c r="BS35" s="72" t="e">
        <f ca="1">(AO35-BW35)-BR35</f>
        <v>#NAME?</v>
      </c>
    </row>
    <row r="36" spans="1:71" x14ac:dyDescent="0.2">
      <c r="A36" s="82" t="s">
        <v>243</v>
      </c>
      <c r="B36" s="82" t="s">
        <v>255</v>
      </c>
      <c r="D36" s="82" t="s">
        <v>172</v>
      </c>
      <c r="E36" s="74" t="e">
        <f ca="1">GetCtLabel(B36,"CURINIT(AC)!LDESC","#COGS - Accrued")</f>
        <v>#NAME?</v>
      </c>
      <c r="F36" s="137">
        <f>268+9</f>
        <v>277</v>
      </c>
      <c r="G36" s="138">
        <f>-81-26-11</f>
        <v>-118</v>
      </c>
      <c r="H36" s="137"/>
      <c r="I36" s="139"/>
      <c r="J36" s="139"/>
      <c r="K36" s="139"/>
      <c r="L36" s="139"/>
      <c r="M36" s="139"/>
      <c r="N36" s="130"/>
      <c r="O36" s="140">
        <f>SUM(F36:M36)</f>
        <v>159</v>
      </c>
      <c r="P36" s="141">
        <f t="shared" si="2"/>
        <v>0</v>
      </c>
      <c r="Q36" s="141">
        <f t="shared" si="2"/>
        <v>0</v>
      </c>
      <c r="R36" s="161"/>
      <c r="S36" s="133" t="e">
        <f ca="1">PutCtData("PKAMOUNT","AMOUNT",S$11:S$14,$B36:$D36,S$17,$M36)</f>
        <v>#NAME?</v>
      </c>
      <c r="T36" s="133" t="e">
        <f ca="1">PutCtData("PKAMOUNT","AMOUNT",T$11:T$14,$B36:$D36,T$17:T$18,$P36)</f>
        <v>#NAME?</v>
      </c>
      <c r="U36" s="134" t="e">
        <f ca="1">PutCtData("PKAMOUNT","AMOUNT",$U$11:$U$14,$B36:$D36,U$17:U$18,Q36)</f>
        <v>#NAME?</v>
      </c>
      <c r="V36" s="144"/>
      <c r="W36" s="142"/>
      <c r="X36" s="142"/>
      <c r="Y36" s="122"/>
      <c r="Z36" s="135"/>
      <c r="AA36" s="135"/>
      <c r="AB36" s="135"/>
      <c r="AC36" s="135"/>
      <c r="AD36" s="122"/>
      <c r="AE36" s="142" t="e">
        <f ca="1">GetCtData("PKAMOUNT","AMOUNT",$AE$11:$AE$18,$B36:$D36,AE$19:AE$20,"#")</f>
        <v>#NAME?</v>
      </c>
      <c r="AF36" s="142"/>
      <c r="AG36" s="142"/>
      <c r="AH36" s="143"/>
      <c r="AI36" s="128"/>
      <c r="AJ36" s="142" t="e">
        <f t="shared" ca="1" si="3"/>
        <v>#NAME?</v>
      </c>
      <c r="AK36" s="142" t="e">
        <f ca="1">GetCtData("PKAMOUNT","AMOUNT",$AK$11:$AK$18,$B36:$D36,AK$19:AK$20,"#")</f>
        <v>#NAME?</v>
      </c>
      <c r="AL36" s="143" t="e">
        <f ca="1">(O36-AO36)-AK36</f>
        <v>#NAME?</v>
      </c>
      <c r="AM36" s="122"/>
      <c r="AN36" s="142" t="e">
        <f ca="1">GetCtData("PKAMOUNT","AMOUNT",$AN$11:$AN$18,$B36:$D36,AN$19:AN$20,"#")</f>
        <v>#NAME?</v>
      </c>
      <c r="AO36" s="142" t="e">
        <f ca="1">GetCtData("PKAMOUNT","AMOUNT",$AO$11:$AO$18,$B36:$D36,AO$19:AO$20,"#")</f>
        <v>#NAME?</v>
      </c>
      <c r="AP36" s="122"/>
      <c r="AQ36" s="142" t="e">
        <f ca="1">GetCtData("PKAMOUNT","AMOUNT",$AQ$11:$AQ$18,$B36:$D36,AQ$19:AQ$20,"#")</f>
        <v>#NAME?</v>
      </c>
      <c r="AR36" s="142" t="e">
        <f ca="1">O36-AQ36</f>
        <v>#NAME?</v>
      </c>
      <c r="AS36" s="142"/>
      <c r="AT36" s="142" t="e">
        <f ca="1">GetCtData("PKAMOUNT","AMOUNT",AT$11:AT$18,$B36:$D36,AT$19:AT$20,"#")</f>
        <v>#NAME?</v>
      </c>
      <c r="AU36" s="142"/>
      <c r="AV36" s="72"/>
      <c r="AW36" s="72" t="e">
        <f ca="1">GetCtData("PKAMOUNT","AMOUNT",AW$11:AW$18,$B36:$D36,AW$19:AW$20,"#")</f>
        <v>#NAME?</v>
      </c>
      <c r="AX36" s="72"/>
      <c r="AY36" s="72"/>
      <c r="AZ36" s="72"/>
      <c r="BA36" s="72"/>
      <c r="BB36" s="72"/>
      <c r="BC36" s="72"/>
      <c r="BD36" s="72"/>
      <c r="BE36" s="72"/>
      <c r="BF36" s="72"/>
      <c r="BG36" s="72"/>
      <c r="BH36" s="72"/>
      <c r="BI36" s="72"/>
      <c r="BJ36" s="72"/>
      <c r="BK36" s="72"/>
      <c r="BL36" s="72" t="e">
        <f ca="1">GetCtData("COAMOUNT","AMOUNT",$AK$11:$AK$17,$B36,BL$19,BL$20,"#")</f>
        <v>#NAME?</v>
      </c>
      <c r="BM36" s="72"/>
      <c r="BN36" s="72"/>
      <c r="BO36" s="72" t="e">
        <f ca="1">GetCtData("COAMOUNT","AMOUNT",$AK$11:$AK$17,$B36,BO$19,BO$20,"#")</f>
        <v>#NAME?</v>
      </c>
      <c r="BP36" s="72"/>
      <c r="BQ36" s="72"/>
      <c r="BR36" s="72" t="e">
        <f ca="1">GetCtData("COAMOUNT","AMOUNT",$AK$11:$AK$17,$B36,BR$19,BR$20,"#")</f>
        <v>#NAME?</v>
      </c>
      <c r="BS36" s="72"/>
    </row>
    <row r="37" spans="1:71" x14ac:dyDescent="0.2">
      <c r="E37" s="74"/>
      <c r="F37" s="130"/>
      <c r="G37" s="131"/>
      <c r="H37" s="130"/>
      <c r="I37" s="72"/>
      <c r="J37" s="72"/>
      <c r="K37" s="72"/>
      <c r="L37" s="72"/>
      <c r="M37" s="72"/>
      <c r="N37" s="130"/>
      <c r="O37" s="121"/>
      <c r="P37" s="141"/>
      <c r="Q37" s="141"/>
      <c r="R37" s="122"/>
      <c r="S37" s="122"/>
      <c r="T37" s="122"/>
      <c r="U37" s="122"/>
      <c r="V37" s="144"/>
      <c r="W37" s="122"/>
      <c r="X37" s="122"/>
      <c r="Y37" s="122"/>
      <c r="Z37" s="135"/>
      <c r="AA37" s="135"/>
      <c r="AB37" s="135"/>
      <c r="AC37" s="135"/>
      <c r="AD37" s="122"/>
      <c r="AE37" s="122"/>
      <c r="AF37" s="122"/>
      <c r="AG37" s="122"/>
      <c r="AH37" s="136"/>
      <c r="AI37" s="128"/>
      <c r="AJ37" s="122">
        <f t="shared" si="3"/>
        <v>0</v>
      </c>
      <c r="AK37" s="122"/>
      <c r="AL37" s="136"/>
      <c r="AM37" s="122"/>
      <c r="AN37" s="122"/>
      <c r="AO37" s="122"/>
      <c r="AP37" s="122"/>
      <c r="AQ37" s="122"/>
      <c r="AR37" s="122"/>
      <c r="AS37" s="122"/>
      <c r="AT37" s="122"/>
      <c r="AU37" s="122"/>
      <c r="AV37" s="130"/>
      <c r="AW37" s="130"/>
      <c r="AX37" s="130"/>
      <c r="AY37" s="130"/>
      <c r="AZ37" s="130"/>
      <c r="BA37" s="130"/>
      <c r="BB37" s="130"/>
      <c r="BC37" s="130"/>
      <c r="BD37" s="130"/>
      <c r="BE37" s="130"/>
      <c r="BF37" s="130"/>
      <c r="BG37" s="130"/>
      <c r="BH37" s="130"/>
      <c r="BI37" s="130"/>
      <c r="BJ37" s="130"/>
      <c r="BK37" s="130"/>
      <c r="BL37" s="130"/>
      <c r="BM37" s="130"/>
      <c r="BN37" s="130"/>
      <c r="BO37" s="130"/>
      <c r="BP37" s="130"/>
      <c r="BQ37" s="130"/>
      <c r="BR37" s="130"/>
      <c r="BS37" s="130"/>
    </row>
    <row r="38" spans="1:71" s="152" customFormat="1" x14ac:dyDescent="0.2">
      <c r="A38" s="146"/>
      <c r="B38" s="146" t="s">
        <v>256</v>
      </c>
      <c r="C38" s="146"/>
      <c r="D38" s="146" t="s">
        <v>250</v>
      </c>
      <c r="E38" s="147" t="e">
        <f ca="1">GetCtLabel(B38,"CURINIT(AC)!LDESC","#COST OF GOODS SOLD (COGS)")</f>
        <v>#NAME?</v>
      </c>
      <c r="F38" s="148">
        <f t="shared" ref="F38:U38" si="4">SUM(F32:F36)</f>
        <v>4009</v>
      </c>
      <c r="G38" s="148">
        <f t="shared" si="4"/>
        <v>-118</v>
      </c>
      <c r="H38" s="148"/>
      <c r="I38" s="148">
        <f t="shared" si="4"/>
        <v>0</v>
      </c>
      <c r="J38" s="148">
        <f t="shared" si="4"/>
        <v>0</v>
      </c>
      <c r="K38" s="148">
        <f t="shared" si="4"/>
        <v>-856</v>
      </c>
      <c r="L38" s="148">
        <f t="shared" si="4"/>
        <v>0</v>
      </c>
      <c r="M38" s="148">
        <f t="shared" si="4"/>
        <v>0</v>
      </c>
      <c r="N38" s="148"/>
      <c r="O38" s="149">
        <f t="shared" si="4"/>
        <v>3035</v>
      </c>
      <c r="P38" s="123">
        <f>-K38</f>
        <v>856</v>
      </c>
      <c r="Q38" s="123"/>
      <c r="R38" s="148" t="e">
        <f t="shared" ca="1" si="4"/>
        <v>#NAME?</v>
      </c>
      <c r="S38" s="148" t="e">
        <f t="shared" ca="1" si="4"/>
        <v>#NAME?</v>
      </c>
      <c r="T38" s="148" t="e">
        <f t="shared" ca="1" si="4"/>
        <v>#NAME?</v>
      </c>
      <c r="U38" s="148" t="e">
        <f t="shared" ca="1" si="4"/>
        <v>#NAME?</v>
      </c>
      <c r="V38" s="144"/>
      <c r="W38" s="148"/>
      <c r="X38" s="148">
        <f>O38-W38</f>
        <v>3035</v>
      </c>
      <c r="Y38" s="136"/>
      <c r="Z38" s="150"/>
      <c r="AA38" s="150"/>
      <c r="AB38" s="150"/>
      <c r="AC38" s="150"/>
      <c r="AD38" s="136"/>
      <c r="AE38" s="148" t="e">
        <f ca="1">GetCtData("PKAMOUNT","AMOUNT",$AE$11:$AE$18,$B38:$D38,AE$19:AE$20,"#2729")</f>
        <v>#NAME?</v>
      </c>
      <c r="AF38" s="148"/>
      <c r="AG38" s="148"/>
      <c r="AH38" s="148"/>
      <c r="AI38" s="151"/>
      <c r="AJ38" s="148" t="e">
        <f t="shared" ca="1" si="3"/>
        <v>#NAME?</v>
      </c>
      <c r="AK38" s="148" t="e">
        <f ca="1">GetCtData("COAMOUNT","AMOUNT",$AK$11:$AK$17,$B38,AK$19,AK$20,"#")</f>
        <v>#NAME?</v>
      </c>
      <c r="AL38" s="148" t="e">
        <f t="shared" ref="AL38:AL53" ca="1" si="5">(O38-AO38)-AK38</f>
        <v>#NAME?</v>
      </c>
      <c r="AM38" s="136"/>
      <c r="AN38" s="148" t="e">
        <f ca="1">GetCtData("PKAMOUNT","AMOUNT",$AN$11:$AN$18,$B38:$D38,AN$19:AN$20,"#760")</f>
        <v>#NAME?</v>
      </c>
      <c r="AO38" s="148" t="e">
        <f ca="1">GetCtData("PKAMOUNT","AMOUNT",$AO$11:$AO$18,$B38:$D38,AO$19:AO$20,"#2729")</f>
        <v>#NAME?</v>
      </c>
      <c r="AP38" s="136"/>
      <c r="AQ38" s="148" t="e">
        <f ca="1">GetCtData("PKAMOUNT","AMOUNT",$AQ$11:$AQ$18,$B38:$D38,AQ$19:AQ$20,"#")</f>
        <v>#NAME?</v>
      </c>
      <c r="AR38" s="148" t="e">
        <f ca="1">O38-AQ38</f>
        <v>#NAME?</v>
      </c>
      <c r="AS38" s="148"/>
      <c r="AT38" s="148" t="e">
        <f ca="1">GetCtData("PKAMOUNT","AMOUNT",AT$11:AT$18,$B38:$D38,AT$19:AT$20,"#2665")</f>
        <v>#NAME?</v>
      </c>
      <c r="AU38" s="148" t="e">
        <f ca="1">SUM(AU32:AU36)</f>
        <v>#NAME?</v>
      </c>
      <c r="AV38" s="148"/>
      <c r="AW38" s="148" t="e">
        <f ca="1">GetCtData("PKAMOUNT","AMOUNT",AW$11:AW$18,$B38:$D38,AW$19:AW$20,"#")</f>
        <v>#NAME?</v>
      </c>
      <c r="AX38" s="148" t="e">
        <f ca="1">SUM(AX32:AX36)</f>
        <v>#NAME?</v>
      </c>
      <c r="AY38" s="148"/>
      <c r="AZ38" s="148"/>
      <c r="BA38" s="148" t="e">
        <f ca="1">SUM(BA32:BA36)</f>
        <v>#NAME?</v>
      </c>
      <c r="BB38" s="148"/>
      <c r="BC38" s="148"/>
      <c r="BD38" s="148">
        <f>SUM(BD32:BD36)</f>
        <v>0</v>
      </c>
      <c r="BE38" s="148"/>
      <c r="BF38" s="148"/>
      <c r="BG38" s="148">
        <f>SUM(BG32:BG36)</f>
        <v>0</v>
      </c>
      <c r="BH38" s="148"/>
      <c r="BI38" s="148"/>
      <c r="BJ38" s="148" t="e">
        <f ca="1">SUM(BJ32:BJ36)</f>
        <v>#NAME?</v>
      </c>
      <c r="BK38" s="148"/>
      <c r="BL38" s="148" t="e">
        <f ca="1">GetCtData("COAMOUNT","AMOUNT",$AK$11:$AK$17,$B38,BL$19,BL$20,"#")</f>
        <v>#NAME?</v>
      </c>
      <c r="BM38" s="148"/>
      <c r="BN38" s="148"/>
      <c r="BO38" s="148" t="e">
        <f ca="1">GetCtData("COAMOUNT","AMOUNT",$AK$11:$AK$17,$B38,BO$19,BO$20,"#")</f>
        <v>#NAME?</v>
      </c>
      <c r="BP38" s="148"/>
      <c r="BQ38" s="148"/>
      <c r="BR38" s="148" t="e">
        <f ca="1">GetCtData("COAMOUNT","AMOUNT",$AK$11:$AK$17,$B38,BR$19,BR$20,"#")</f>
        <v>#NAME?</v>
      </c>
      <c r="BS38" s="148"/>
    </row>
    <row r="39" spans="1:71" x14ac:dyDescent="0.2">
      <c r="D39" s="82" t="s">
        <v>250</v>
      </c>
      <c r="E39" s="74"/>
      <c r="F39" s="130"/>
      <c r="G39" s="131"/>
      <c r="H39" s="130"/>
      <c r="I39" s="72"/>
      <c r="J39" s="72"/>
      <c r="K39" s="72"/>
      <c r="L39" s="72"/>
      <c r="M39" s="72"/>
      <c r="N39" s="130"/>
      <c r="O39" s="121"/>
      <c r="P39" s="141">
        <f t="shared" ref="P39:Q54" si="6">-K39</f>
        <v>0</v>
      </c>
      <c r="Q39" s="141"/>
      <c r="R39" s="122"/>
      <c r="S39" s="122"/>
      <c r="T39" s="122"/>
      <c r="U39" s="122"/>
      <c r="V39" s="144"/>
      <c r="W39" s="122"/>
      <c r="X39" s="122"/>
      <c r="Y39" s="122"/>
      <c r="Z39" s="135"/>
      <c r="AA39" s="135"/>
      <c r="AB39" s="135"/>
      <c r="AC39" s="135"/>
      <c r="AD39" s="122"/>
      <c r="AE39" s="122"/>
      <c r="AF39" s="122"/>
      <c r="AG39" s="122"/>
      <c r="AH39" s="136"/>
      <c r="AI39" s="128"/>
      <c r="AJ39" s="122">
        <f>AO39-O39</f>
        <v>0</v>
      </c>
      <c r="AK39" s="122"/>
      <c r="AL39" s="136">
        <f t="shared" si="5"/>
        <v>0</v>
      </c>
      <c r="AM39" s="122"/>
      <c r="AN39" s="122"/>
      <c r="AO39" s="122"/>
      <c r="AP39" s="122"/>
      <c r="AQ39" s="122"/>
      <c r="AR39" s="122"/>
      <c r="AS39" s="122"/>
      <c r="AT39" s="122"/>
      <c r="AU39" s="122"/>
      <c r="AV39" s="130"/>
      <c r="AW39" s="130"/>
      <c r="AX39" s="130"/>
      <c r="AY39" s="130"/>
      <c r="AZ39" s="130"/>
      <c r="BA39" s="130"/>
      <c r="BB39" s="162"/>
      <c r="BC39" s="130"/>
      <c r="BD39" s="130"/>
      <c r="BE39" s="162"/>
      <c r="BF39" s="130"/>
      <c r="BG39" s="130"/>
      <c r="BH39" s="162"/>
      <c r="BI39" s="130"/>
      <c r="BJ39" s="130"/>
      <c r="BK39" s="162"/>
      <c r="BL39" s="130"/>
      <c r="BM39" s="130">
        <f t="shared" ref="BM39:BM52" si="7">(AI39-BP39)-BL39</f>
        <v>0</v>
      </c>
      <c r="BN39" s="162"/>
      <c r="BO39" s="130"/>
      <c r="BP39" s="130">
        <f t="shared" ref="BP39:BP52" si="8">(AM39-BT39)-BO39</f>
        <v>0</v>
      </c>
      <c r="BQ39" s="162"/>
      <c r="BR39" s="130"/>
      <c r="BS39" s="130">
        <f t="shared" ref="BS39:BS52" si="9">(AO39-BW39)-BR39</f>
        <v>0</v>
      </c>
    </row>
    <row r="40" spans="1:71" outlineLevel="1" x14ac:dyDescent="0.2">
      <c r="A40" s="82" t="s">
        <v>243</v>
      </c>
      <c r="B40" s="82" t="s">
        <v>257</v>
      </c>
      <c r="D40" s="82" t="s">
        <v>172</v>
      </c>
      <c r="E40" s="74" t="e">
        <f ca="1">GetCtLabel($B$41,"CURINIT(AC)!LDESC","#Commissions")</f>
        <v>#NAME?</v>
      </c>
      <c r="F40" s="137"/>
      <c r="G40" s="138"/>
      <c r="H40" s="137"/>
      <c r="I40" s="139"/>
      <c r="J40" s="139"/>
      <c r="K40" s="139"/>
      <c r="L40" s="139"/>
      <c r="M40" s="139"/>
      <c r="N40" s="130"/>
      <c r="O40" s="140">
        <f t="shared" ref="O40:O51" si="10">SUM(F40:M40)</f>
        <v>0</v>
      </c>
      <c r="P40" s="141">
        <f t="shared" si="6"/>
        <v>0</v>
      </c>
      <c r="Q40" s="141">
        <f t="shared" si="6"/>
        <v>0</v>
      </c>
      <c r="R40" s="133" t="e">
        <f t="shared" ref="R40:R51" ca="1" si="11">PutCtData("PKAMOUNT","AMOUNT",R$11:R$14,$B40:$D40,R$17:R$18,$O40)</f>
        <v>#NAME?</v>
      </c>
      <c r="S40" s="133" t="e">
        <f t="shared" ref="S40:S51" ca="1" si="12">PutCtData("PKAMOUNT","AMOUNT",S$11:S$14,$B40:$D40,S$17,$M40)</f>
        <v>#NAME?</v>
      </c>
      <c r="T40" s="134" t="e">
        <f t="shared" ref="T40:T51" ca="1" si="13">PutCtData("PKAMOUNT","AMOUNT",T$11:T$14,$B40:$D40,T$17:T$18,$P40)</f>
        <v>#NAME?</v>
      </c>
      <c r="U40" s="134" t="e">
        <f t="shared" ref="U40:U51" ca="1" si="14">PutCtData("PKAMOUNT","AMOUNT",$U$11:$U$14,$B40:$D40,U$17:U$18,Q40)</f>
        <v>#NAME?</v>
      </c>
      <c r="V40" s="144"/>
      <c r="W40" s="142"/>
      <c r="X40" s="142"/>
      <c r="Y40" s="122"/>
      <c r="Z40" s="135"/>
      <c r="AA40" s="135"/>
      <c r="AB40" s="135"/>
      <c r="AC40" s="135">
        <f>G40-AB40</f>
        <v>0</v>
      </c>
      <c r="AD40" s="122"/>
      <c r="AE40" s="142" t="e">
        <f ca="1">GetCtData("PKAMOUNT","AMOUNT",$AE$11:$AE$18,$B40:$D40,AE$19:AE$20,"#4844")</f>
        <v>#NAME?</v>
      </c>
      <c r="AF40" s="142"/>
      <c r="AG40" s="142"/>
      <c r="AH40" s="143">
        <f>O40-AG40</f>
        <v>0</v>
      </c>
      <c r="AI40" s="128"/>
      <c r="AJ40" s="142" t="e">
        <f t="shared" ref="AJ40:AJ51" ca="1" si="15">O40-AO40</f>
        <v>#NAME?</v>
      </c>
      <c r="AK40" s="142" t="e">
        <f ca="1">GetCtData("PKAMOUNT","AMOUNT",$AK$11:$AK$18,$B40:$D40,AK$19:AK$20,"#858")</f>
        <v>#NAME?</v>
      </c>
      <c r="AL40" s="143" t="e">
        <f t="shared" ca="1" si="5"/>
        <v>#NAME?</v>
      </c>
      <c r="AM40" s="122"/>
      <c r="AN40" s="142" t="e">
        <f ca="1">GetCtData("PKAMOUNT","AMOUNT",$AN$11:$AN$18,$B40:$D40,AN$19:AN$20,"#1214")</f>
        <v>#NAME?</v>
      </c>
      <c r="AO40" s="142" t="e">
        <f ca="1">GetCtData("PKAMOUNT","AMOUNT",$AO$11:$AO$18,$B40:$D40,AO$19:AO$20,"#3986")</f>
        <v>#NAME?</v>
      </c>
      <c r="AP40" s="122"/>
      <c r="AQ40" s="142" t="e">
        <f ca="1">GetCtData("PKAMOUNT","AMOUNT",$AQ$11:$AQ$18,$B40:$D40,AQ$19:AQ$20,"#6483")</f>
        <v>#NAME?</v>
      </c>
      <c r="AR40" s="142" t="e">
        <f t="shared" ref="AR40:AR51" ca="1" si="16">O40-AQ40</f>
        <v>#NAME?</v>
      </c>
      <c r="AS40" s="142"/>
      <c r="AT40" s="142" t="e">
        <f ca="1">GetCtData("PKAMOUNT","AMOUNT",AT$11:AT$18,$B40:$D40,AT$19:AT$20,"#7294")</f>
        <v>#NAME?</v>
      </c>
      <c r="AU40" s="142" t="e">
        <f t="shared" ref="AU40:AU51" ca="1" si="17">G40-AT40</f>
        <v>#NAME?</v>
      </c>
      <c r="AV40" s="72"/>
      <c r="AW40" s="72" t="e">
        <f t="shared" ref="AW40:AW51" ca="1" si="18">GetCtData("PKAMOUNT","AMOUNT",AW$11:AW$18,$B40:$D40,AW$19:AW$20,"#")</f>
        <v>#NAME?</v>
      </c>
      <c r="AX40" s="72" t="e">
        <f t="shared" ref="AX40:AX51" ca="1" si="19">K40-AW40</f>
        <v>#NAME?</v>
      </c>
      <c r="AY40" s="72"/>
      <c r="AZ40" s="72"/>
      <c r="BA40" s="72">
        <f t="shared" ref="BA40:BA51" si="20">O40-AZ40</f>
        <v>0</v>
      </c>
      <c r="BB40" s="72"/>
      <c r="BC40" s="72"/>
      <c r="BD40" s="72" t="e">
        <f>#REF!-BC40</f>
        <v>#REF!</v>
      </c>
      <c r="BE40" s="72"/>
      <c r="BF40" s="72"/>
      <c r="BG40" s="72" t="e">
        <f>#REF!-BF40</f>
        <v>#REF!</v>
      </c>
      <c r="BH40" s="72"/>
      <c r="BI40" s="72"/>
      <c r="BJ40" s="72">
        <f t="shared" ref="BJ40:BJ51" si="21">Y40-BI40</f>
        <v>0</v>
      </c>
      <c r="BK40" s="72"/>
      <c r="BL40" s="72" t="e">
        <f ca="1">GetCtData("COAMOUNT","AMOUNT",$AK$11:$AK$17,$B40,BL$19,BL$20,"#")</f>
        <v>#NAME?</v>
      </c>
      <c r="BM40" s="72" t="e">
        <f t="shared" ca="1" si="7"/>
        <v>#NAME?</v>
      </c>
      <c r="BN40" s="72"/>
      <c r="BO40" s="72" t="e">
        <f ca="1">GetCtData("COAMOUNT","AMOUNT",$AK$11:$AK$17,$B40,BO$19,BO$20,"#")</f>
        <v>#NAME?</v>
      </c>
      <c r="BP40" s="72" t="e">
        <f t="shared" ca="1" si="8"/>
        <v>#NAME?</v>
      </c>
      <c r="BQ40" s="72"/>
      <c r="BR40" s="72" t="e">
        <f ca="1">GetCtData("COAMOUNT","AMOUNT",$AK$11:$AK$17,$B40,BR$19,BR$20,"#")</f>
        <v>#NAME?</v>
      </c>
      <c r="BS40" s="72" t="e">
        <f t="shared" ca="1" si="9"/>
        <v>#NAME?</v>
      </c>
    </row>
    <row r="41" spans="1:71" outlineLevel="1" x14ac:dyDescent="0.2">
      <c r="A41" s="82" t="s">
        <v>243</v>
      </c>
      <c r="B41" s="82" t="s">
        <v>258</v>
      </c>
      <c r="D41" s="82" t="s">
        <v>172</v>
      </c>
      <c r="E41" s="74" t="e">
        <f ca="1">GetCtLabel($B$41,"CURINIT(AC)!LDESC","#Commissions")</f>
        <v>#NAME?</v>
      </c>
      <c r="F41" s="137"/>
      <c r="G41" s="138"/>
      <c r="H41" s="137"/>
      <c r="I41" s="139"/>
      <c r="J41" s="139"/>
      <c r="K41" s="139"/>
      <c r="L41" s="139"/>
      <c r="M41" s="139"/>
      <c r="N41" s="130"/>
      <c r="O41" s="140">
        <f t="shared" si="10"/>
        <v>0</v>
      </c>
      <c r="P41" s="141">
        <f t="shared" si="6"/>
        <v>0</v>
      </c>
      <c r="Q41" s="141">
        <f t="shared" si="6"/>
        <v>0</v>
      </c>
      <c r="R41" s="133" t="e">
        <f t="shared" ca="1" si="11"/>
        <v>#NAME?</v>
      </c>
      <c r="S41" s="133" t="e">
        <f t="shared" ca="1" si="12"/>
        <v>#NAME?</v>
      </c>
      <c r="T41" s="134" t="e">
        <f t="shared" ca="1" si="13"/>
        <v>#NAME?</v>
      </c>
      <c r="U41" s="134" t="e">
        <f t="shared" ca="1" si="14"/>
        <v>#NAME?</v>
      </c>
      <c r="V41" s="144"/>
      <c r="W41" s="142"/>
      <c r="X41" s="142"/>
      <c r="Y41" s="122"/>
      <c r="Z41" s="135"/>
      <c r="AA41" s="135"/>
      <c r="AB41" s="135"/>
      <c r="AC41" s="135">
        <f>G41-AB41</f>
        <v>0</v>
      </c>
      <c r="AD41" s="122"/>
      <c r="AE41" s="142" t="e">
        <f ca="1">GetCtData("PKAMOUNT","AMOUNT",$AE$11:$AE$18,$B41:$D41,AE$19:AE$20,"#")</f>
        <v>#NAME?</v>
      </c>
      <c r="AF41" s="142"/>
      <c r="AG41" s="142"/>
      <c r="AH41" s="143">
        <f>O41-AG41</f>
        <v>0</v>
      </c>
      <c r="AI41" s="128"/>
      <c r="AJ41" s="142" t="e">
        <f t="shared" ca="1" si="15"/>
        <v>#NAME?</v>
      </c>
      <c r="AK41" s="142" t="e">
        <f t="shared" ref="AK41:AK51" ca="1" si="22">GetCtData("PKAMOUNT","AMOUNT",$AK$11:$AK$18,$B41:$D41,AK$19:AK$20,"#")</f>
        <v>#NAME?</v>
      </c>
      <c r="AL41" s="143" t="e">
        <f t="shared" ca="1" si="5"/>
        <v>#NAME?</v>
      </c>
      <c r="AM41" s="122"/>
      <c r="AN41" s="142" t="e">
        <f ca="1">GetCtData("PKAMOUNT","AMOUNT",$AN$11:$AN$18,$B41:$D41,AN$19:AN$20,"#")</f>
        <v>#NAME?</v>
      </c>
      <c r="AO41" s="142" t="e">
        <f ca="1">GetCtData("PKAMOUNT","AMOUNT",$AO$11:$AO$18,$B41:$D41,AO$19:AO$20,"#")</f>
        <v>#NAME?</v>
      </c>
      <c r="AP41" s="122"/>
      <c r="AQ41" s="142" t="e">
        <f t="shared" ref="AQ41:AQ49" ca="1" si="23">GetCtData("PKAMOUNT","AMOUNT",$AQ$11:$AQ$18,$B41:$D41,AQ$19:AQ$20,"#")</f>
        <v>#NAME?</v>
      </c>
      <c r="AR41" s="142" t="e">
        <f t="shared" ca="1" si="16"/>
        <v>#NAME?</v>
      </c>
      <c r="AS41" s="142"/>
      <c r="AT41" s="142" t="e">
        <f ca="1">GetCtData("PKAMOUNT","AMOUNT",AT$11:AT$18,$B41:$D41,AT$19:AT$20,"#")</f>
        <v>#NAME?</v>
      </c>
      <c r="AU41" s="142" t="e">
        <f t="shared" ca="1" si="17"/>
        <v>#NAME?</v>
      </c>
      <c r="AV41" s="72"/>
      <c r="AW41" s="72" t="e">
        <f t="shared" ca="1" si="18"/>
        <v>#NAME?</v>
      </c>
      <c r="AX41" s="72" t="e">
        <f t="shared" ca="1" si="19"/>
        <v>#NAME?</v>
      </c>
      <c r="AY41" s="72"/>
      <c r="AZ41" s="72" t="e">
        <f ca="1">GetCtData("COAMOUNT","AMOUNT",$AO$11:$AO$17,$B41,AZ$19,AZ$20,"#")</f>
        <v>#NAME?</v>
      </c>
      <c r="BA41" s="72" t="e">
        <f t="shared" ca="1" si="20"/>
        <v>#NAME?</v>
      </c>
      <c r="BB41" s="72"/>
      <c r="BC41" s="72" t="e">
        <f t="shared" ref="BC41:BC50" ca="1" si="24">GetCtData("COAMOUNT","AMOUNT",$AO$11:$AO$17,$B41,BC$19,BC$20,"#")</f>
        <v>#NAME?</v>
      </c>
      <c r="BD41" s="72" t="e">
        <f ca="1">#REF!-BC41</f>
        <v>#REF!</v>
      </c>
      <c r="BE41" s="72"/>
      <c r="BF41" s="72" t="e">
        <f t="shared" ref="BF41:BF50" ca="1" si="25">GetCtData("COAMOUNT","AMOUNT",$AO$11:$AO$17,$B41,BF$19,BF$20,"#")</f>
        <v>#NAME?</v>
      </c>
      <c r="BG41" s="72" t="e">
        <f ca="1">#REF!-BF41</f>
        <v>#REF!</v>
      </c>
      <c r="BH41" s="72"/>
      <c r="BI41" s="72" t="e">
        <f t="shared" ref="BI41:BI50" ca="1" si="26">GetCtData("COAMOUNT","AMOUNT",$AO$11:$AO$17,$B41,BI$19,BI$20,"#")</f>
        <v>#NAME?</v>
      </c>
      <c r="BJ41" s="72" t="e">
        <f t="shared" ca="1" si="21"/>
        <v>#NAME?</v>
      </c>
      <c r="BK41" s="72"/>
      <c r="BL41" s="72" t="e">
        <f ca="1">GetCtData("COAMOUNT","AMOUNT",$AK$11:$AK$17,$B41,BL$19,BL$20,"#")</f>
        <v>#NAME?</v>
      </c>
      <c r="BM41" s="72" t="e">
        <f t="shared" ca="1" si="7"/>
        <v>#NAME?</v>
      </c>
      <c r="BN41" s="72"/>
      <c r="BO41" s="72" t="e">
        <f ca="1">GetCtData("COAMOUNT","AMOUNT",$AK$11:$AK$17,$B41,BO$19,BO$20,"#")</f>
        <v>#NAME?</v>
      </c>
      <c r="BP41" s="72" t="e">
        <f t="shared" ca="1" si="8"/>
        <v>#NAME?</v>
      </c>
      <c r="BQ41" s="72"/>
      <c r="BR41" s="72" t="e">
        <f ca="1">GetCtData("COAMOUNT","AMOUNT",$AK$11:$AK$17,$B41,BR$19,BR$20,"#")</f>
        <v>#NAME?</v>
      </c>
      <c r="BS41" s="72" t="e">
        <f t="shared" ca="1" si="9"/>
        <v>#NAME?</v>
      </c>
    </row>
    <row r="42" spans="1:71" outlineLevel="1" x14ac:dyDescent="0.2">
      <c r="A42" s="82" t="s">
        <v>243</v>
      </c>
      <c r="B42" s="82" t="s">
        <v>259</v>
      </c>
      <c r="D42" s="82" t="s">
        <v>172</v>
      </c>
      <c r="E42" s="74" t="e">
        <f ca="1">GetCtLabel($B$42,"CURINIT(AC)!LDESC","#Fees")</f>
        <v>#NAME?</v>
      </c>
      <c r="F42" s="137"/>
      <c r="G42" s="138"/>
      <c r="H42" s="137"/>
      <c r="I42" s="139"/>
      <c r="J42" s="139"/>
      <c r="K42" s="139"/>
      <c r="L42" s="139"/>
      <c r="M42" s="139"/>
      <c r="N42" s="130"/>
      <c r="O42" s="140">
        <f t="shared" si="10"/>
        <v>0</v>
      </c>
      <c r="P42" s="141">
        <f t="shared" si="6"/>
        <v>0</v>
      </c>
      <c r="Q42" s="141">
        <f t="shared" si="6"/>
        <v>0</v>
      </c>
      <c r="R42" s="133" t="e">
        <f t="shared" ca="1" si="11"/>
        <v>#NAME?</v>
      </c>
      <c r="S42" s="133" t="e">
        <f t="shared" ca="1" si="12"/>
        <v>#NAME?</v>
      </c>
      <c r="T42" s="134" t="e">
        <f t="shared" ca="1" si="13"/>
        <v>#NAME?</v>
      </c>
      <c r="U42" s="134" t="e">
        <f t="shared" ca="1" si="14"/>
        <v>#NAME?</v>
      </c>
      <c r="V42" s="144"/>
      <c r="W42" s="142"/>
      <c r="X42" s="142"/>
      <c r="Y42" s="122"/>
      <c r="Z42" s="135"/>
      <c r="AA42" s="135"/>
      <c r="AB42" s="135"/>
      <c r="AC42" s="135">
        <f>G42-AB42</f>
        <v>0</v>
      </c>
      <c r="AD42" s="122"/>
      <c r="AE42" s="142" t="e">
        <f ca="1">GetCtData("PKAMOUNT","AMOUNT",$AE$11:$AE$18,$B42:$D42,AE$19:AE$20,"#0")</f>
        <v>#NAME?</v>
      </c>
      <c r="AF42" s="142"/>
      <c r="AG42" s="142"/>
      <c r="AH42" s="143">
        <f>O42-AG42</f>
        <v>0</v>
      </c>
      <c r="AI42" s="128"/>
      <c r="AJ42" s="142" t="e">
        <f t="shared" ca="1" si="15"/>
        <v>#NAME?</v>
      </c>
      <c r="AK42" s="142" t="e">
        <f t="shared" ca="1" si="22"/>
        <v>#NAME?</v>
      </c>
      <c r="AL42" s="143" t="e">
        <f t="shared" ca="1" si="5"/>
        <v>#NAME?</v>
      </c>
      <c r="AM42" s="122"/>
      <c r="AN42" s="142" t="e">
        <f ca="1">GetCtData("PKAMOUNT","AMOUNT",$AN$11:$AN$18,$B42:$D42,AN$19:AN$20,"#0")</f>
        <v>#NAME?</v>
      </c>
      <c r="AO42" s="142" t="e">
        <f ca="1">GetCtData("PKAMOUNT","AMOUNT",$AO$11:$AO$18,$B42:$D42,AO$19:AO$20,"#0")</f>
        <v>#NAME?</v>
      </c>
      <c r="AP42" s="122"/>
      <c r="AQ42" s="142" t="e">
        <f t="shared" ca="1" si="23"/>
        <v>#NAME?</v>
      </c>
      <c r="AR42" s="142" t="e">
        <f t="shared" ca="1" si="16"/>
        <v>#NAME?</v>
      </c>
      <c r="AS42" s="142"/>
      <c r="AT42" s="142" t="e">
        <f ca="1">GetCtData("PKAMOUNT","AMOUNT",AT$11:AT$18,$B42:$D42,AT$19:AT$20,"#-2665")</f>
        <v>#NAME?</v>
      </c>
      <c r="AU42" s="142" t="e">
        <f t="shared" ca="1" si="17"/>
        <v>#NAME?</v>
      </c>
      <c r="AV42" s="72"/>
      <c r="AW42" s="72" t="e">
        <f t="shared" ca="1" si="18"/>
        <v>#NAME?</v>
      </c>
      <c r="AX42" s="72" t="e">
        <f t="shared" ca="1" si="19"/>
        <v>#NAME?</v>
      </c>
      <c r="AY42" s="72"/>
      <c r="AZ42" s="72"/>
      <c r="BA42" s="72">
        <f t="shared" si="20"/>
        <v>0</v>
      </c>
      <c r="BB42" s="72"/>
      <c r="BC42" s="72" t="e">
        <f t="shared" ca="1" si="24"/>
        <v>#NAME?</v>
      </c>
      <c r="BD42" s="72" t="e">
        <f ca="1">#REF!-BC42</f>
        <v>#REF!</v>
      </c>
      <c r="BE42" s="72"/>
      <c r="BF42" s="72" t="e">
        <f t="shared" ca="1" si="25"/>
        <v>#NAME?</v>
      </c>
      <c r="BG42" s="72" t="e">
        <f ca="1">#REF!-BF42</f>
        <v>#REF!</v>
      </c>
      <c r="BH42" s="72"/>
      <c r="BI42" s="72" t="e">
        <f t="shared" ca="1" si="26"/>
        <v>#NAME?</v>
      </c>
      <c r="BJ42" s="72" t="e">
        <f t="shared" ca="1" si="21"/>
        <v>#NAME?</v>
      </c>
      <c r="BK42" s="72"/>
      <c r="BL42" s="72"/>
      <c r="BM42" s="72">
        <f t="shared" si="7"/>
        <v>0</v>
      </c>
      <c r="BN42" s="72"/>
      <c r="BO42" s="72"/>
      <c r="BP42" s="72">
        <f t="shared" si="8"/>
        <v>0</v>
      </c>
      <c r="BQ42" s="72"/>
      <c r="BR42" s="72"/>
      <c r="BS42" s="72" t="e">
        <f t="shared" ca="1" si="9"/>
        <v>#NAME?</v>
      </c>
    </row>
    <row r="43" spans="1:71" outlineLevel="2" x14ac:dyDescent="0.2">
      <c r="A43" s="82" t="s">
        <v>243</v>
      </c>
      <c r="B43" s="82" t="s">
        <v>260</v>
      </c>
      <c r="D43" s="82" t="s">
        <v>172</v>
      </c>
      <c r="E43" s="74" t="e">
        <f ca="1">GetCtLabel(B43,"CURINIT(AC)!LDESC","#Revenue - Media Rebates")</f>
        <v>#NAME?</v>
      </c>
      <c r="F43" s="137"/>
      <c r="G43" s="138"/>
      <c r="H43" s="137"/>
      <c r="I43" s="139"/>
      <c r="J43" s="139"/>
      <c r="K43" s="139"/>
      <c r="L43" s="139"/>
      <c r="M43" s="139"/>
      <c r="N43" s="130"/>
      <c r="O43" s="140">
        <f t="shared" si="10"/>
        <v>0</v>
      </c>
      <c r="P43" s="141">
        <f t="shared" si="6"/>
        <v>0</v>
      </c>
      <c r="Q43" s="141">
        <f t="shared" si="6"/>
        <v>0</v>
      </c>
      <c r="R43" s="133" t="e">
        <f t="shared" ca="1" si="11"/>
        <v>#NAME?</v>
      </c>
      <c r="S43" s="133" t="e">
        <f t="shared" ca="1" si="12"/>
        <v>#NAME?</v>
      </c>
      <c r="T43" s="134" t="e">
        <f t="shared" ca="1" si="13"/>
        <v>#NAME?</v>
      </c>
      <c r="U43" s="134" t="e">
        <f t="shared" ca="1" si="14"/>
        <v>#NAME?</v>
      </c>
      <c r="V43" s="144"/>
      <c r="W43" s="142" t="e">
        <f t="shared" ref="W43:W49" ca="1" si="27">GetCtData("COAMOUNT","AMOUNT",$B$11:$B$18,$B43,W$20,"#")</f>
        <v>#NAME?</v>
      </c>
      <c r="X43" s="142" t="e">
        <f t="shared" ref="X43:X49" ca="1" si="28">O43-W43</f>
        <v>#NAME?</v>
      </c>
      <c r="Y43" s="122"/>
      <c r="Z43" s="135"/>
      <c r="AA43" s="135"/>
      <c r="AB43" s="135"/>
      <c r="AC43" s="135"/>
      <c r="AD43" s="122"/>
      <c r="AE43" s="142" t="e">
        <f ca="1">GetCtData("PKAMOUNT","AMOUNT",$AE$11:$AE$18,$B43:$D43,AE$19:AE$20,"#")</f>
        <v>#NAME?</v>
      </c>
      <c r="AF43" s="142"/>
      <c r="AG43" s="142"/>
      <c r="AH43" s="143"/>
      <c r="AI43" s="128"/>
      <c r="AJ43" s="142" t="e">
        <f t="shared" ca="1" si="15"/>
        <v>#NAME?</v>
      </c>
      <c r="AK43" s="142" t="e">
        <f t="shared" ca="1" si="22"/>
        <v>#NAME?</v>
      </c>
      <c r="AL43" s="143" t="e">
        <f t="shared" ca="1" si="5"/>
        <v>#NAME?</v>
      </c>
      <c r="AM43" s="122"/>
      <c r="AN43" s="142" t="e">
        <f ca="1">GetCtData("PKAMOUNT","AMOUNT",$AN$11:$AN$18,$B43:$D43,AN$19:AN$20,"#")</f>
        <v>#NAME?</v>
      </c>
      <c r="AO43" s="142" t="e">
        <f ca="1">GetCtData("PKAMOUNT","AMOUNT",$AO$11:$AO$18,$B43:$D43,AO$19:AO$20,"#")</f>
        <v>#NAME?</v>
      </c>
      <c r="AP43" s="122"/>
      <c r="AQ43" s="142" t="e">
        <f t="shared" ca="1" si="23"/>
        <v>#NAME?</v>
      </c>
      <c r="AR43" s="142" t="e">
        <f t="shared" ca="1" si="16"/>
        <v>#NAME?</v>
      </c>
      <c r="AS43" s="142"/>
      <c r="AT43" s="142" t="e">
        <f ca="1">GetCtData("PKAMOUNT","AMOUNT",AT$11:AT$18,$B43:$D43,AT$19:AT$20,"#")</f>
        <v>#NAME?</v>
      </c>
      <c r="AU43" s="142" t="e">
        <f t="shared" ca="1" si="17"/>
        <v>#NAME?</v>
      </c>
      <c r="AV43" s="72"/>
      <c r="AW43" s="72" t="e">
        <f t="shared" ca="1" si="18"/>
        <v>#NAME?</v>
      </c>
      <c r="AX43" s="72" t="e">
        <f t="shared" ca="1" si="19"/>
        <v>#NAME?</v>
      </c>
      <c r="AY43" s="72"/>
      <c r="AZ43" s="72" t="e">
        <f t="shared" ref="AZ43:AZ50" ca="1" si="29">GetCtData("COAMOUNT","AMOUNT",$AO$11:$AO$17,$B43,AZ$19,AZ$20,"#")</f>
        <v>#NAME?</v>
      </c>
      <c r="BA43" s="72" t="e">
        <f t="shared" ca="1" si="20"/>
        <v>#NAME?</v>
      </c>
      <c r="BB43" s="72"/>
      <c r="BC43" s="72" t="e">
        <f t="shared" ca="1" si="24"/>
        <v>#NAME?</v>
      </c>
      <c r="BD43" s="72" t="e">
        <f ca="1">#REF!-BC43</f>
        <v>#REF!</v>
      </c>
      <c r="BE43" s="72"/>
      <c r="BF43" s="72" t="e">
        <f t="shared" ca="1" si="25"/>
        <v>#NAME?</v>
      </c>
      <c r="BG43" s="72" t="e">
        <f ca="1">#REF!-BF43</f>
        <v>#REF!</v>
      </c>
      <c r="BH43" s="72"/>
      <c r="BI43" s="72" t="e">
        <f t="shared" ca="1" si="26"/>
        <v>#NAME?</v>
      </c>
      <c r="BJ43" s="72" t="e">
        <f t="shared" ca="1" si="21"/>
        <v>#NAME?</v>
      </c>
      <c r="BK43" s="72"/>
      <c r="BL43" s="72" t="e">
        <f t="shared" ref="BL43:BL49" ca="1" si="30">GetCtData("COAMOUNT","AMOUNT",$AK$11:$AK$17,$B43,BL$19,BL$20,"#")</f>
        <v>#NAME?</v>
      </c>
      <c r="BM43" s="72" t="e">
        <f t="shared" ca="1" si="7"/>
        <v>#NAME?</v>
      </c>
      <c r="BN43" s="72"/>
      <c r="BO43" s="72" t="e">
        <f t="shared" ref="BO43:BO49" ca="1" si="31">GetCtData("COAMOUNT","AMOUNT",$AK$11:$AK$17,$B43,BO$19,BO$20,"#")</f>
        <v>#NAME?</v>
      </c>
      <c r="BP43" s="72" t="e">
        <f t="shared" ca="1" si="8"/>
        <v>#NAME?</v>
      </c>
      <c r="BQ43" s="72"/>
      <c r="BR43" s="72" t="e">
        <f t="shared" ref="BR43:BR49" ca="1" si="32">GetCtData("COAMOUNT","AMOUNT",$AK$11:$AK$17,$B43,BR$19,BR$20,"#")</f>
        <v>#NAME?</v>
      </c>
      <c r="BS43" s="72" t="e">
        <f t="shared" ca="1" si="9"/>
        <v>#NAME?</v>
      </c>
    </row>
    <row r="44" spans="1:71" outlineLevel="2" x14ac:dyDescent="0.2">
      <c r="A44" s="82" t="s">
        <v>243</v>
      </c>
      <c r="B44" s="82" t="s">
        <v>261</v>
      </c>
      <c r="D44" s="82" t="s">
        <v>172</v>
      </c>
      <c r="E44" s="74" t="e">
        <f ca="1">GetCtLabel(B44,"CURINIT(AC)!LDESC","#Contract revenue")</f>
        <v>#NAME?</v>
      </c>
      <c r="F44" s="137"/>
      <c r="G44" s="138"/>
      <c r="H44" s="137"/>
      <c r="I44" s="139"/>
      <c r="J44" s="139"/>
      <c r="K44" s="139"/>
      <c r="L44" s="139"/>
      <c r="M44" s="139"/>
      <c r="N44" s="130"/>
      <c r="O44" s="140">
        <f t="shared" si="10"/>
        <v>0</v>
      </c>
      <c r="P44" s="141">
        <f t="shared" si="6"/>
        <v>0</v>
      </c>
      <c r="Q44" s="141">
        <f t="shared" si="6"/>
        <v>0</v>
      </c>
      <c r="R44" s="133" t="e">
        <f t="shared" ca="1" si="11"/>
        <v>#NAME?</v>
      </c>
      <c r="S44" s="133" t="e">
        <f t="shared" ca="1" si="12"/>
        <v>#NAME?</v>
      </c>
      <c r="T44" s="134" t="e">
        <f t="shared" ca="1" si="13"/>
        <v>#NAME?</v>
      </c>
      <c r="U44" s="134" t="e">
        <f t="shared" ca="1" si="14"/>
        <v>#NAME?</v>
      </c>
      <c r="V44" s="144"/>
      <c r="W44" s="142" t="e">
        <f t="shared" ca="1" si="27"/>
        <v>#NAME?</v>
      </c>
      <c r="X44" s="142" t="e">
        <f t="shared" ca="1" si="28"/>
        <v>#NAME?</v>
      </c>
      <c r="Y44" s="122"/>
      <c r="Z44" s="135"/>
      <c r="AA44" s="135"/>
      <c r="AB44" s="135"/>
      <c r="AC44" s="135"/>
      <c r="AD44" s="122"/>
      <c r="AE44" s="142" t="e">
        <f ca="1">GetCtData("PKAMOUNT","AMOUNT",$AE$11:$AE$18,$B44:$D44,AE$19:AE$20,"#0")</f>
        <v>#NAME?</v>
      </c>
      <c r="AF44" s="142"/>
      <c r="AG44" s="142"/>
      <c r="AH44" s="143"/>
      <c r="AI44" s="128"/>
      <c r="AJ44" s="142" t="e">
        <f t="shared" ca="1" si="15"/>
        <v>#NAME?</v>
      </c>
      <c r="AK44" s="142" t="e">
        <f t="shared" ca="1" si="22"/>
        <v>#NAME?</v>
      </c>
      <c r="AL44" s="143" t="e">
        <f t="shared" ca="1" si="5"/>
        <v>#NAME?</v>
      </c>
      <c r="AM44" s="122"/>
      <c r="AN44" s="142" t="e">
        <f ca="1">GetCtData("PKAMOUNT","AMOUNT",$AN$11:$AN$18,$B44:$D44,AN$19:AN$20,"#0")</f>
        <v>#NAME?</v>
      </c>
      <c r="AO44" s="142" t="e">
        <f ca="1">GetCtData("PKAMOUNT","AMOUNT",$AO$11:$AO$18,$B44:$D44,AO$19:AO$20,"#0")</f>
        <v>#NAME?</v>
      </c>
      <c r="AP44" s="122"/>
      <c r="AQ44" s="142" t="e">
        <f t="shared" ca="1" si="23"/>
        <v>#NAME?</v>
      </c>
      <c r="AR44" s="142" t="e">
        <f t="shared" ca="1" si="16"/>
        <v>#NAME?</v>
      </c>
      <c r="AS44" s="142"/>
      <c r="AT44" s="142" t="e">
        <f ca="1">GetCtData("PKAMOUNT","AMOUNT",AT$11:AT$18,$B44:$D44,AT$19:AT$20,"#0")</f>
        <v>#NAME?</v>
      </c>
      <c r="AU44" s="142" t="e">
        <f t="shared" ca="1" si="17"/>
        <v>#NAME?</v>
      </c>
      <c r="AV44" s="72"/>
      <c r="AW44" s="72" t="e">
        <f t="shared" ca="1" si="18"/>
        <v>#NAME?</v>
      </c>
      <c r="AX44" s="72" t="e">
        <f t="shared" ca="1" si="19"/>
        <v>#NAME?</v>
      </c>
      <c r="AY44" s="72"/>
      <c r="AZ44" s="72" t="e">
        <f t="shared" ca="1" si="29"/>
        <v>#NAME?</v>
      </c>
      <c r="BA44" s="72" t="e">
        <f t="shared" ca="1" si="20"/>
        <v>#NAME?</v>
      </c>
      <c r="BB44" s="72"/>
      <c r="BC44" s="72" t="e">
        <f t="shared" ca="1" si="24"/>
        <v>#NAME?</v>
      </c>
      <c r="BD44" s="72" t="e">
        <f ca="1">#REF!-BC44</f>
        <v>#REF!</v>
      </c>
      <c r="BE44" s="72"/>
      <c r="BF44" s="72" t="e">
        <f t="shared" ca="1" si="25"/>
        <v>#NAME?</v>
      </c>
      <c r="BG44" s="72" t="e">
        <f ca="1">#REF!-BF44</f>
        <v>#REF!</v>
      </c>
      <c r="BH44" s="72"/>
      <c r="BI44" s="72" t="e">
        <f t="shared" ca="1" si="26"/>
        <v>#NAME?</v>
      </c>
      <c r="BJ44" s="72" t="e">
        <f t="shared" ca="1" si="21"/>
        <v>#NAME?</v>
      </c>
      <c r="BK44" s="72"/>
      <c r="BL44" s="72" t="e">
        <f t="shared" ca="1" si="30"/>
        <v>#NAME?</v>
      </c>
      <c r="BM44" s="72" t="e">
        <f t="shared" ca="1" si="7"/>
        <v>#NAME?</v>
      </c>
      <c r="BN44" s="72"/>
      <c r="BO44" s="72" t="e">
        <f t="shared" ca="1" si="31"/>
        <v>#NAME?</v>
      </c>
      <c r="BP44" s="72" t="e">
        <f t="shared" ca="1" si="8"/>
        <v>#NAME?</v>
      </c>
      <c r="BQ44" s="72"/>
      <c r="BR44" s="72" t="e">
        <f t="shared" ca="1" si="32"/>
        <v>#NAME?</v>
      </c>
      <c r="BS44" s="72" t="e">
        <f t="shared" ca="1" si="9"/>
        <v>#NAME?</v>
      </c>
    </row>
    <row r="45" spans="1:71" outlineLevel="2" x14ac:dyDescent="0.2">
      <c r="A45" s="82" t="s">
        <v>243</v>
      </c>
      <c r="B45" s="82" t="s">
        <v>262</v>
      </c>
      <c r="D45" s="82" t="s">
        <v>172</v>
      </c>
      <c r="E45" s="74" t="e">
        <f ca="1">GetCtLabel(B45,"CURINIT(AC)!LDESC","#I/Group Revenue")</f>
        <v>#NAME?</v>
      </c>
      <c r="F45" s="137"/>
      <c r="G45" s="138"/>
      <c r="H45" s="137"/>
      <c r="I45" s="139"/>
      <c r="J45" s="139"/>
      <c r="K45" s="139"/>
      <c r="L45" s="139"/>
      <c r="M45" s="139"/>
      <c r="N45" s="130"/>
      <c r="O45" s="140">
        <f t="shared" si="10"/>
        <v>0</v>
      </c>
      <c r="P45" s="141">
        <f t="shared" si="6"/>
        <v>0</v>
      </c>
      <c r="Q45" s="141">
        <f t="shared" si="6"/>
        <v>0</v>
      </c>
      <c r="R45" s="133" t="e">
        <f t="shared" ca="1" si="11"/>
        <v>#NAME?</v>
      </c>
      <c r="S45" s="133" t="e">
        <f t="shared" ca="1" si="12"/>
        <v>#NAME?</v>
      </c>
      <c r="T45" s="134" t="e">
        <f t="shared" ca="1" si="13"/>
        <v>#NAME?</v>
      </c>
      <c r="U45" s="134" t="e">
        <f t="shared" ca="1" si="14"/>
        <v>#NAME?</v>
      </c>
      <c r="V45" s="144"/>
      <c r="W45" s="142" t="e">
        <f t="shared" ca="1" si="27"/>
        <v>#NAME?</v>
      </c>
      <c r="X45" s="142" t="e">
        <f t="shared" ca="1" si="28"/>
        <v>#NAME?</v>
      </c>
      <c r="Y45" s="122"/>
      <c r="Z45" s="135"/>
      <c r="AA45" s="135"/>
      <c r="AB45" s="135"/>
      <c r="AC45" s="135"/>
      <c r="AD45" s="122"/>
      <c r="AE45" s="142" t="e">
        <f ca="1">GetCtData("PKAMOUNT","AMOUNT",$AE$11:$AE$18,$B45:$D45,AE$19:AE$20,"#")</f>
        <v>#NAME?</v>
      </c>
      <c r="AF45" s="142"/>
      <c r="AG45" s="142"/>
      <c r="AH45" s="143"/>
      <c r="AI45" s="128"/>
      <c r="AJ45" s="142" t="e">
        <f t="shared" ca="1" si="15"/>
        <v>#NAME?</v>
      </c>
      <c r="AK45" s="142" t="e">
        <f t="shared" ca="1" si="22"/>
        <v>#NAME?</v>
      </c>
      <c r="AL45" s="143" t="e">
        <f t="shared" ca="1" si="5"/>
        <v>#NAME?</v>
      </c>
      <c r="AM45" s="122"/>
      <c r="AN45" s="142" t="e">
        <f ca="1">GetCtData("PKAMOUNT","AMOUNT",$AN$11:$AN$18,$B45:$D45,AN$19:AN$20,"#")</f>
        <v>#NAME?</v>
      </c>
      <c r="AO45" s="142" t="e">
        <f ca="1">GetCtData("PKAMOUNT","AMOUNT",$AO$11:$AO$18,$B45:$D45,AO$19:AO$20,"#")</f>
        <v>#NAME?</v>
      </c>
      <c r="AP45" s="122"/>
      <c r="AQ45" s="142" t="e">
        <f t="shared" ca="1" si="23"/>
        <v>#NAME?</v>
      </c>
      <c r="AR45" s="142" t="e">
        <f t="shared" ca="1" si="16"/>
        <v>#NAME?</v>
      </c>
      <c r="AS45" s="142"/>
      <c r="AT45" s="142" t="e">
        <f ca="1">GetCtData("PKAMOUNT","AMOUNT",AT$11:AT$18,$B45:$D45,AT$19:AT$20,"#")</f>
        <v>#NAME?</v>
      </c>
      <c r="AU45" s="142" t="e">
        <f t="shared" ca="1" si="17"/>
        <v>#NAME?</v>
      </c>
      <c r="AV45" s="72"/>
      <c r="AW45" s="72" t="e">
        <f t="shared" ca="1" si="18"/>
        <v>#NAME?</v>
      </c>
      <c r="AX45" s="72" t="e">
        <f t="shared" ca="1" si="19"/>
        <v>#NAME?</v>
      </c>
      <c r="AY45" s="72"/>
      <c r="AZ45" s="72" t="e">
        <f t="shared" ca="1" si="29"/>
        <v>#NAME?</v>
      </c>
      <c r="BA45" s="72" t="e">
        <f t="shared" ca="1" si="20"/>
        <v>#NAME?</v>
      </c>
      <c r="BB45" s="72"/>
      <c r="BC45" s="72" t="e">
        <f t="shared" ca="1" si="24"/>
        <v>#NAME?</v>
      </c>
      <c r="BD45" s="72" t="e">
        <f ca="1">#REF!-BC45</f>
        <v>#REF!</v>
      </c>
      <c r="BE45" s="72"/>
      <c r="BF45" s="72" t="e">
        <f t="shared" ca="1" si="25"/>
        <v>#NAME?</v>
      </c>
      <c r="BG45" s="72" t="e">
        <f ca="1">#REF!-BF45</f>
        <v>#REF!</v>
      </c>
      <c r="BH45" s="72"/>
      <c r="BI45" s="72" t="e">
        <f t="shared" ca="1" si="26"/>
        <v>#NAME?</v>
      </c>
      <c r="BJ45" s="72" t="e">
        <f t="shared" ca="1" si="21"/>
        <v>#NAME?</v>
      </c>
      <c r="BK45" s="72"/>
      <c r="BL45" s="72" t="e">
        <f t="shared" ca="1" si="30"/>
        <v>#NAME?</v>
      </c>
      <c r="BM45" s="72" t="e">
        <f t="shared" ca="1" si="7"/>
        <v>#NAME?</v>
      </c>
      <c r="BN45" s="72"/>
      <c r="BO45" s="72" t="e">
        <f t="shared" ca="1" si="31"/>
        <v>#NAME?</v>
      </c>
      <c r="BP45" s="72" t="e">
        <f t="shared" ca="1" si="8"/>
        <v>#NAME?</v>
      </c>
      <c r="BQ45" s="72"/>
      <c r="BR45" s="72" t="e">
        <f t="shared" ca="1" si="32"/>
        <v>#NAME?</v>
      </c>
      <c r="BS45" s="72" t="e">
        <f t="shared" ca="1" si="9"/>
        <v>#NAME?</v>
      </c>
    </row>
    <row r="46" spans="1:71" outlineLevel="2" x14ac:dyDescent="0.2">
      <c r="A46" s="82" t="s">
        <v>243</v>
      </c>
      <c r="B46" s="82" t="s">
        <v>263</v>
      </c>
      <c r="D46" s="82" t="s">
        <v>172</v>
      </c>
      <c r="E46" s="74" t="e">
        <f ca="1">GetCtLabel(B46,"CURINIT(AC)!LDESC","#Media Credits")</f>
        <v>#NAME?</v>
      </c>
      <c r="F46" s="137"/>
      <c r="G46" s="138"/>
      <c r="H46" s="137"/>
      <c r="I46" s="139"/>
      <c r="J46" s="139"/>
      <c r="K46" s="139"/>
      <c r="L46" s="139"/>
      <c r="M46" s="139"/>
      <c r="N46" s="130"/>
      <c r="O46" s="140">
        <f t="shared" si="10"/>
        <v>0</v>
      </c>
      <c r="P46" s="141">
        <f t="shared" si="6"/>
        <v>0</v>
      </c>
      <c r="Q46" s="141">
        <f t="shared" si="6"/>
        <v>0</v>
      </c>
      <c r="R46" s="133" t="e">
        <f t="shared" ca="1" si="11"/>
        <v>#NAME?</v>
      </c>
      <c r="S46" s="133" t="e">
        <f t="shared" ca="1" si="12"/>
        <v>#NAME?</v>
      </c>
      <c r="T46" s="134" t="e">
        <f t="shared" ca="1" si="13"/>
        <v>#NAME?</v>
      </c>
      <c r="U46" s="134" t="e">
        <f t="shared" ca="1" si="14"/>
        <v>#NAME?</v>
      </c>
      <c r="V46" s="144"/>
      <c r="W46" s="142" t="e">
        <f t="shared" ca="1" si="27"/>
        <v>#NAME?</v>
      </c>
      <c r="X46" s="142" t="e">
        <f t="shared" ca="1" si="28"/>
        <v>#NAME?</v>
      </c>
      <c r="Y46" s="122"/>
      <c r="Z46" s="135"/>
      <c r="AA46" s="135"/>
      <c r="AB46" s="135"/>
      <c r="AC46" s="135"/>
      <c r="AD46" s="122"/>
      <c r="AE46" s="142" t="e">
        <f ca="1">GetCtData("PKAMOUNT","AMOUNT",$AE$11:$AE$18,$B46:$D46,AE$19:AE$20,"#")</f>
        <v>#NAME?</v>
      </c>
      <c r="AF46" s="142"/>
      <c r="AG46" s="142"/>
      <c r="AH46" s="143"/>
      <c r="AI46" s="128"/>
      <c r="AJ46" s="142" t="e">
        <f t="shared" ca="1" si="15"/>
        <v>#NAME?</v>
      </c>
      <c r="AK46" s="142" t="e">
        <f t="shared" ca="1" si="22"/>
        <v>#NAME?</v>
      </c>
      <c r="AL46" s="143" t="e">
        <f t="shared" ca="1" si="5"/>
        <v>#NAME?</v>
      </c>
      <c r="AM46" s="122"/>
      <c r="AN46" s="142" t="e">
        <f ca="1">GetCtData("PKAMOUNT","AMOUNT",$AN$11:$AN$18,$B46:$D46,AN$19:AN$20,"#")</f>
        <v>#NAME?</v>
      </c>
      <c r="AO46" s="142" t="e">
        <f ca="1">GetCtData("PKAMOUNT","AMOUNT",$AO$11:$AO$18,$B46:$D46,AO$19:AO$20,"#")</f>
        <v>#NAME?</v>
      </c>
      <c r="AP46" s="122"/>
      <c r="AQ46" s="142" t="e">
        <f t="shared" ca="1" si="23"/>
        <v>#NAME?</v>
      </c>
      <c r="AR46" s="142" t="e">
        <f t="shared" ca="1" si="16"/>
        <v>#NAME?</v>
      </c>
      <c r="AS46" s="142"/>
      <c r="AT46" s="142" t="e">
        <f ca="1">GetCtData("PKAMOUNT","AMOUNT",AT$11:AT$18,$B46:$D46,AT$19:AT$20,"#")</f>
        <v>#NAME?</v>
      </c>
      <c r="AU46" s="142" t="e">
        <f t="shared" ca="1" si="17"/>
        <v>#NAME?</v>
      </c>
      <c r="AV46" s="72"/>
      <c r="AW46" s="72" t="e">
        <f t="shared" ca="1" si="18"/>
        <v>#NAME?</v>
      </c>
      <c r="AX46" s="72" t="e">
        <f t="shared" ca="1" si="19"/>
        <v>#NAME?</v>
      </c>
      <c r="AY46" s="72"/>
      <c r="AZ46" s="72" t="e">
        <f t="shared" ca="1" si="29"/>
        <v>#NAME?</v>
      </c>
      <c r="BA46" s="72" t="e">
        <f t="shared" ca="1" si="20"/>
        <v>#NAME?</v>
      </c>
      <c r="BB46" s="72"/>
      <c r="BC46" s="72" t="e">
        <f t="shared" ca="1" si="24"/>
        <v>#NAME?</v>
      </c>
      <c r="BD46" s="72" t="e">
        <f ca="1">#REF!-BC46</f>
        <v>#REF!</v>
      </c>
      <c r="BE46" s="72"/>
      <c r="BF46" s="72" t="e">
        <f t="shared" ca="1" si="25"/>
        <v>#NAME?</v>
      </c>
      <c r="BG46" s="72" t="e">
        <f ca="1">#REF!-BF46</f>
        <v>#REF!</v>
      </c>
      <c r="BH46" s="72"/>
      <c r="BI46" s="72" t="e">
        <f t="shared" ca="1" si="26"/>
        <v>#NAME?</v>
      </c>
      <c r="BJ46" s="72" t="e">
        <f t="shared" ca="1" si="21"/>
        <v>#NAME?</v>
      </c>
      <c r="BK46" s="72"/>
      <c r="BL46" s="72" t="e">
        <f t="shared" ca="1" si="30"/>
        <v>#NAME?</v>
      </c>
      <c r="BM46" s="72" t="e">
        <f t="shared" ca="1" si="7"/>
        <v>#NAME?</v>
      </c>
      <c r="BN46" s="72"/>
      <c r="BO46" s="72" t="e">
        <f t="shared" ca="1" si="31"/>
        <v>#NAME?</v>
      </c>
      <c r="BP46" s="72" t="e">
        <f t="shared" ca="1" si="8"/>
        <v>#NAME?</v>
      </c>
      <c r="BQ46" s="72"/>
      <c r="BR46" s="72" t="e">
        <f t="shared" ca="1" si="32"/>
        <v>#NAME?</v>
      </c>
      <c r="BS46" s="72" t="e">
        <f t="shared" ca="1" si="9"/>
        <v>#NAME?</v>
      </c>
    </row>
    <row r="47" spans="1:71" outlineLevel="2" x14ac:dyDescent="0.2">
      <c r="A47" s="82" t="s">
        <v>243</v>
      </c>
      <c r="B47" s="82" t="s">
        <v>264</v>
      </c>
      <c r="D47" s="82" t="s">
        <v>172</v>
      </c>
      <c r="E47" s="74" t="e">
        <f ca="1">GetCtLabel(B47,"CURINIT(AC)!LDESC","#WPP Discounts - Group Revenue")</f>
        <v>#NAME?</v>
      </c>
      <c r="F47" s="137"/>
      <c r="G47" s="138"/>
      <c r="H47" s="137"/>
      <c r="I47" s="139"/>
      <c r="J47" s="139"/>
      <c r="K47" s="139"/>
      <c r="L47" s="139"/>
      <c r="M47" s="139"/>
      <c r="N47" s="130"/>
      <c r="O47" s="140">
        <f t="shared" si="10"/>
        <v>0</v>
      </c>
      <c r="P47" s="141">
        <f t="shared" si="6"/>
        <v>0</v>
      </c>
      <c r="Q47" s="141">
        <f t="shared" si="6"/>
        <v>0</v>
      </c>
      <c r="R47" s="133" t="e">
        <f t="shared" ca="1" si="11"/>
        <v>#NAME?</v>
      </c>
      <c r="S47" s="133" t="e">
        <f t="shared" ca="1" si="12"/>
        <v>#NAME?</v>
      </c>
      <c r="T47" s="134" t="e">
        <f t="shared" ca="1" si="13"/>
        <v>#NAME?</v>
      </c>
      <c r="U47" s="134" t="e">
        <f t="shared" ca="1" si="14"/>
        <v>#NAME?</v>
      </c>
      <c r="V47" s="144"/>
      <c r="W47" s="142" t="e">
        <f t="shared" ca="1" si="27"/>
        <v>#NAME?</v>
      </c>
      <c r="X47" s="142" t="e">
        <f t="shared" ca="1" si="28"/>
        <v>#NAME?</v>
      </c>
      <c r="Y47" s="122"/>
      <c r="Z47" s="135"/>
      <c r="AA47" s="135"/>
      <c r="AB47" s="135"/>
      <c r="AC47" s="135"/>
      <c r="AD47" s="122"/>
      <c r="AE47" s="142" t="e">
        <f ca="1">GetCtData("PKAMOUNT","AMOUNT",$AE$11:$AE$18,$B47:$D47,AE$19:AE$20,"#")</f>
        <v>#NAME?</v>
      </c>
      <c r="AF47" s="142"/>
      <c r="AG47" s="142"/>
      <c r="AH47" s="143"/>
      <c r="AI47" s="128"/>
      <c r="AJ47" s="142" t="e">
        <f t="shared" ca="1" si="15"/>
        <v>#NAME?</v>
      </c>
      <c r="AK47" s="142" t="e">
        <f t="shared" ca="1" si="22"/>
        <v>#NAME?</v>
      </c>
      <c r="AL47" s="143" t="e">
        <f t="shared" ca="1" si="5"/>
        <v>#NAME?</v>
      </c>
      <c r="AM47" s="122"/>
      <c r="AN47" s="142" t="e">
        <f ca="1">GetCtData("PKAMOUNT","AMOUNT",$AN$11:$AN$18,$B47:$D47,AN$19:AN$20,"#")</f>
        <v>#NAME?</v>
      </c>
      <c r="AO47" s="142" t="e">
        <f ca="1">GetCtData("PKAMOUNT","AMOUNT",$AO$11:$AO$18,$B47:$D47,AO$19:AO$20,"#")</f>
        <v>#NAME?</v>
      </c>
      <c r="AP47" s="122"/>
      <c r="AQ47" s="142" t="e">
        <f t="shared" ca="1" si="23"/>
        <v>#NAME?</v>
      </c>
      <c r="AR47" s="142" t="e">
        <f t="shared" ca="1" si="16"/>
        <v>#NAME?</v>
      </c>
      <c r="AS47" s="142"/>
      <c r="AT47" s="142" t="e">
        <f ca="1">GetCtData("PKAMOUNT","AMOUNT",AT$11:AT$18,$B47:$D47,AT$19:AT$20,"#")</f>
        <v>#NAME?</v>
      </c>
      <c r="AU47" s="142" t="e">
        <f t="shared" ca="1" si="17"/>
        <v>#NAME?</v>
      </c>
      <c r="AV47" s="72"/>
      <c r="AW47" s="72" t="e">
        <f t="shared" ca="1" si="18"/>
        <v>#NAME?</v>
      </c>
      <c r="AX47" s="72" t="e">
        <f t="shared" ca="1" si="19"/>
        <v>#NAME?</v>
      </c>
      <c r="AY47" s="72"/>
      <c r="AZ47" s="72" t="e">
        <f t="shared" ca="1" si="29"/>
        <v>#NAME?</v>
      </c>
      <c r="BA47" s="72" t="e">
        <f t="shared" ca="1" si="20"/>
        <v>#NAME?</v>
      </c>
      <c r="BB47" s="72"/>
      <c r="BC47" s="72" t="e">
        <f t="shared" ca="1" si="24"/>
        <v>#NAME?</v>
      </c>
      <c r="BD47" s="72" t="e">
        <f ca="1">#REF!-BC47</f>
        <v>#REF!</v>
      </c>
      <c r="BE47" s="72"/>
      <c r="BF47" s="72" t="e">
        <f t="shared" ca="1" si="25"/>
        <v>#NAME?</v>
      </c>
      <c r="BG47" s="72" t="e">
        <f ca="1">#REF!-BF47</f>
        <v>#REF!</v>
      </c>
      <c r="BH47" s="72"/>
      <c r="BI47" s="72" t="e">
        <f t="shared" ca="1" si="26"/>
        <v>#NAME?</v>
      </c>
      <c r="BJ47" s="72" t="e">
        <f t="shared" ca="1" si="21"/>
        <v>#NAME?</v>
      </c>
      <c r="BK47" s="72"/>
      <c r="BL47" s="72" t="e">
        <f t="shared" ca="1" si="30"/>
        <v>#NAME?</v>
      </c>
      <c r="BM47" s="72" t="e">
        <f t="shared" ca="1" si="7"/>
        <v>#NAME?</v>
      </c>
      <c r="BN47" s="72"/>
      <c r="BO47" s="72" t="e">
        <f t="shared" ca="1" si="31"/>
        <v>#NAME?</v>
      </c>
      <c r="BP47" s="72" t="e">
        <f t="shared" ca="1" si="8"/>
        <v>#NAME?</v>
      </c>
      <c r="BQ47" s="72"/>
      <c r="BR47" s="72" t="e">
        <f t="shared" ca="1" si="32"/>
        <v>#NAME?</v>
      </c>
      <c r="BS47" s="72" t="e">
        <f t="shared" ca="1" si="9"/>
        <v>#NAME?</v>
      </c>
    </row>
    <row r="48" spans="1:71" outlineLevel="2" x14ac:dyDescent="0.2">
      <c r="A48" s="82" t="s">
        <v>243</v>
      </c>
      <c r="B48" s="82" t="s">
        <v>265</v>
      </c>
      <c r="D48" s="82" t="s">
        <v>172</v>
      </c>
      <c r="E48" s="74" t="e">
        <f ca="1">GetCtLabel(B48,"CURINIT(AC)!LDESC","#Client Incentive Revenue")</f>
        <v>#NAME?</v>
      </c>
      <c r="F48" s="137"/>
      <c r="G48" s="138"/>
      <c r="H48" s="137"/>
      <c r="I48" s="139"/>
      <c r="J48" s="139"/>
      <c r="K48" s="139"/>
      <c r="L48" s="139"/>
      <c r="M48" s="139"/>
      <c r="N48" s="130"/>
      <c r="O48" s="140">
        <f t="shared" si="10"/>
        <v>0</v>
      </c>
      <c r="P48" s="141">
        <f t="shared" si="6"/>
        <v>0</v>
      </c>
      <c r="Q48" s="141">
        <f t="shared" si="6"/>
        <v>0</v>
      </c>
      <c r="R48" s="133" t="e">
        <f t="shared" ca="1" si="11"/>
        <v>#NAME?</v>
      </c>
      <c r="S48" s="133" t="e">
        <f t="shared" ca="1" si="12"/>
        <v>#NAME?</v>
      </c>
      <c r="T48" s="134" t="e">
        <f t="shared" ca="1" si="13"/>
        <v>#NAME?</v>
      </c>
      <c r="U48" s="134" t="e">
        <f t="shared" ca="1" si="14"/>
        <v>#NAME?</v>
      </c>
      <c r="V48" s="144"/>
      <c r="W48" s="142" t="e">
        <f t="shared" ca="1" si="27"/>
        <v>#NAME?</v>
      </c>
      <c r="X48" s="142" t="e">
        <f t="shared" ca="1" si="28"/>
        <v>#NAME?</v>
      </c>
      <c r="Y48" s="122"/>
      <c r="Z48" s="135"/>
      <c r="AA48" s="135"/>
      <c r="AB48" s="135"/>
      <c r="AC48" s="135"/>
      <c r="AD48" s="122"/>
      <c r="AE48" s="142" t="e">
        <f ca="1">GetCtData("PKAMOUNT","AMOUNT",$AE$11:$AE$18,$B48:$D48,AE$19:AE$20,"#")</f>
        <v>#NAME?</v>
      </c>
      <c r="AF48" s="142"/>
      <c r="AG48" s="142"/>
      <c r="AH48" s="143"/>
      <c r="AI48" s="128"/>
      <c r="AJ48" s="142" t="e">
        <f t="shared" ca="1" si="15"/>
        <v>#NAME?</v>
      </c>
      <c r="AK48" s="142" t="e">
        <f t="shared" ca="1" si="22"/>
        <v>#NAME?</v>
      </c>
      <c r="AL48" s="143" t="e">
        <f t="shared" ca="1" si="5"/>
        <v>#NAME?</v>
      </c>
      <c r="AM48" s="122"/>
      <c r="AN48" s="142" t="e">
        <f ca="1">GetCtData("PKAMOUNT","AMOUNT",$AN$11:$AN$18,$B48:$D48,AN$19:AN$20,"#")</f>
        <v>#NAME?</v>
      </c>
      <c r="AO48" s="142" t="e">
        <f ca="1">GetCtData("PKAMOUNT","AMOUNT",$AO$11:$AO$18,$B48:$D48,AO$19:AO$20,"#")</f>
        <v>#NAME?</v>
      </c>
      <c r="AP48" s="122"/>
      <c r="AQ48" s="142" t="e">
        <f t="shared" ca="1" si="23"/>
        <v>#NAME?</v>
      </c>
      <c r="AR48" s="142" t="e">
        <f t="shared" ca="1" si="16"/>
        <v>#NAME?</v>
      </c>
      <c r="AS48" s="142"/>
      <c r="AT48" s="142" t="e">
        <f ca="1">GetCtData("PKAMOUNT","AMOUNT",AT$11:AT$18,$B48:$D48,AT$19:AT$20,"#")</f>
        <v>#NAME?</v>
      </c>
      <c r="AU48" s="142" t="e">
        <f t="shared" ca="1" si="17"/>
        <v>#NAME?</v>
      </c>
      <c r="AV48" s="72"/>
      <c r="AW48" s="72" t="e">
        <f t="shared" ca="1" si="18"/>
        <v>#NAME?</v>
      </c>
      <c r="AX48" s="72" t="e">
        <f t="shared" ca="1" si="19"/>
        <v>#NAME?</v>
      </c>
      <c r="AY48" s="72"/>
      <c r="AZ48" s="72" t="e">
        <f t="shared" ca="1" si="29"/>
        <v>#NAME?</v>
      </c>
      <c r="BA48" s="72" t="e">
        <f t="shared" ca="1" si="20"/>
        <v>#NAME?</v>
      </c>
      <c r="BB48" s="72"/>
      <c r="BC48" s="72" t="e">
        <f t="shared" ca="1" si="24"/>
        <v>#NAME?</v>
      </c>
      <c r="BD48" s="72" t="e">
        <f ca="1">#REF!-BC48</f>
        <v>#REF!</v>
      </c>
      <c r="BE48" s="72"/>
      <c r="BF48" s="72" t="e">
        <f t="shared" ca="1" si="25"/>
        <v>#NAME?</v>
      </c>
      <c r="BG48" s="72" t="e">
        <f ca="1">#REF!-BF48</f>
        <v>#REF!</v>
      </c>
      <c r="BH48" s="72"/>
      <c r="BI48" s="72" t="e">
        <f t="shared" ca="1" si="26"/>
        <v>#NAME?</v>
      </c>
      <c r="BJ48" s="72" t="e">
        <f t="shared" ca="1" si="21"/>
        <v>#NAME?</v>
      </c>
      <c r="BK48" s="72"/>
      <c r="BL48" s="72" t="e">
        <f t="shared" ca="1" si="30"/>
        <v>#NAME?</v>
      </c>
      <c r="BM48" s="72" t="e">
        <f t="shared" ca="1" si="7"/>
        <v>#NAME?</v>
      </c>
      <c r="BN48" s="72"/>
      <c r="BO48" s="72" t="e">
        <f t="shared" ca="1" si="31"/>
        <v>#NAME?</v>
      </c>
      <c r="BP48" s="72" t="e">
        <f t="shared" ca="1" si="8"/>
        <v>#NAME?</v>
      </c>
      <c r="BQ48" s="72"/>
      <c r="BR48" s="72" t="e">
        <f t="shared" ca="1" si="32"/>
        <v>#NAME?</v>
      </c>
      <c r="BS48" s="72" t="e">
        <f t="shared" ca="1" si="9"/>
        <v>#NAME?</v>
      </c>
    </row>
    <row r="49" spans="1:71" outlineLevel="2" x14ac:dyDescent="0.2">
      <c r="A49" s="82" t="s">
        <v>243</v>
      </c>
      <c r="B49" s="82" t="s">
        <v>266</v>
      </c>
      <c r="D49" s="82" t="s">
        <v>172</v>
      </c>
      <c r="E49" s="74" t="e">
        <f ca="1">GetCtLabel(B49,"CURINIT(AC)!LDESC","#Unclaimed Balances")</f>
        <v>#NAME?</v>
      </c>
      <c r="F49" s="137"/>
      <c r="G49" s="138"/>
      <c r="H49" s="137"/>
      <c r="I49" s="139"/>
      <c r="J49" s="139"/>
      <c r="K49" s="139"/>
      <c r="L49" s="139"/>
      <c r="M49" s="139"/>
      <c r="N49" s="130"/>
      <c r="O49" s="140">
        <f t="shared" si="10"/>
        <v>0</v>
      </c>
      <c r="P49" s="141">
        <f t="shared" si="6"/>
        <v>0</v>
      </c>
      <c r="Q49" s="141">
        <f t="shared" si="6"/>
        <v>0</v>
      </c>
      <c r="R49" s="133" t="e">
        <f t="shared" ca="1" si="11"/>
        <v>#NAME?</v>
      </c>
      <c r="S49" s="133" t="e">
        <f t="shared" ca="1" si="12"/>
        <v>#NAME?</v>
      </c>
      <c r="T49" s="134" t="e">
        <f t="shared" ca="1" si="13"/>
        <v>#NAME?</v>
      </c>
      <c r="U49" s="134" t="e">
        <f t="shared" ca="1" si="14"/>
        <v>#NAME?</v>
      </c>
      <c r="V49" s="144"/>
      <c r="W49" s="142" t="e">
        <f t="shared" ca="1" si="27"/>
        <v>#NAME?</v>
      </c>
      <c r="X49" s="142" t="e">
        <f t="shared" ca="1" si="28"/>
        <v>#NAME?</v>
      </c>
      <c r="Y49" s="122"/>
      <c r="Z49" s="135"/>
      <c r="AA49" s="135"/>
      <c r="AB49" s="135"/>
      <c r="AC49" s="135"/>
      <c r="AD49" s="122"/>
      <c r="AE49" s="142" t="e">
        <f ca="1">GetCtData("PKAMOUNT","AMOUNT",$AE$11:$AE$18,$B49:$D49,AE$19:AE$20,"#")</f>
        <v>#NAME?</v>
      </c>
      <c r="AF49" s="142"/>
      <c r="AG49" s="142"/>
      <c r="AH49" s="143"/>
      <c r="AI49" s="128"/>
      <c r="AJ49" s="142" t="e">
        <f t="shared" ca="1" si="15"/>
        <v>#NAME?</v>
      </c>
      <c r="AK49" s="142" t="e">
        <f t="shared" ca="1" si="22"/>
        <v>#NAME?</v>
      </c>
      <c r="AL49" s="143" t="e">
        <f t="shared" ca="1" si="5"/>
        <v>#NAME?</v>
      </c>
      <c r="AM49" s="122"/>
      <c r="AN49" s="142" t="e">
        <f ca="1">GetCtData("PKAMOUNT","AMOUNT",$AN$11:$AN$18,$B49:$D49,AN$19:AN$20,"#")</f>
        <v>#NAME?</v>
      </c>
      <c r="AO49" s="142" t="e">
        <f ca="1">GetCtData("PKAMOUNT","AMOUNT",$AO$11:$AO$18,$B49:$D49,AO$19:AO$20,"#")</f>
        <v>#NAME?</v>
      </c>
      <c r="AP49" s="122"/>
      <c r="AQ49" s="142" t="e">
        <f t="shared" ca="1" si="23"/>
        <v>#NAME?</v>
      </c>
      <c r="AR49" s="142" t="e">
        <f t="shared" ca="1" si="16"/>
        <v>#NAME?</v>
      </c>
      <c r="AS49" s="142"/>
      <c r="AT49" s="142" t="e">
        <f ca="1">GetCtData("PKAMOUNT","AMOUNT",AT$11:AT$18,$B49:$D49,AT$19:AT$20,"#")</f>
        <v>#NAME?</v>
      </c>
      <c r="AU49" s="142" t="e">
        <f t="shared" ca="1" si="17"/>
        <v>#NAME?</v>
      </c>
      <c r="AV49" s="72"/>
      <c r="AW49" s="72" t="e">
        <f t="shared" ca="1" si="18"/>
        <v>#NAME?</v>
      </c>
      <c r="AX49" s="72" t="e">
        <f t="shared" ca="1" si="19"/>
        <v>#NAME?</v>
      </c>
      <c r="AY49" s="72"/>
      <c r="AZ49" s="72" t="e">
        <f t="shared" ca="1" si="29"/>
        <v>#NAME?</v>
      </c>
      <c r="BA49" s="72" t="e">
        <f t="shared" ca="1" si="20"/>
        <v>#NAME?</v>
      </c>
      <c r="BB49" s="72"/>
      <c r="BC49" s="72" t="e">
        <f t="shared" ca="1" si="24"/>
        <v>#NAME?</v>
      </c>
      <c r="BD49" s="72" t="e">
        <f ca="1">#REF!-BC49</f>
        <v>#REF!</v>
      </c>
      <c r="BE49" s="72"/>
      <c r="BF49" s="72" t="e">
        <f t="shared" ca="1" si="25"/>
        <v>#NAME?</v>
      </c>
      <c r="BG49" s="72" t="e">
        <f ca="1">#REF!-BF49</f>
        <v>#REF!</v>
      </c>
      <c r="BH49" s="72"/>
      <c r="BI49" s="72" t="e">
        <f t="shared" ca="1" si="26"/>
        <v>#NAME?</v>
      </c>
      <c r="BJ49" s="72" t="e">
        <f t="shared" ca="1" si="21"/>
        <v>#NAME?</v>
      </c>
      <c r="BK49" s="72"/>
      <c r="BL49" s="72" t="e">
        <f t="shared" ca="1" si="30"/>
        <v>#NAME?</v>
      </c>
      <c r="BM49" s="72" t="e">
        <f t="shared" ca="1" si="7"/>
        <v>#NAME?</v>
      </c>
      <c r="BN49" s="72"/>
      <c r="BO49" s="72" t="e">
        <f t="shared" ca="1" si="31"/>
        <v>#NAME?</v>
      </c>
      <c r="BP49" s="72" t="e">
        <f t="shared" ca="1" si="8"/>
        <v>#NAME?</v>
      </c>
      <c r="BQ49" s="72"/>
      <c r="BR49" s="72" t="e">
        <f t="shared" ca="1" si="32"/>
        <v>#NAME?</v>
      </c>
      <c r="BS49" s="72" t="e">
        <f t="shared" ca="1" si="9"/>
        <v>#NAME?</v>
      </c>
    </row>
    <row r="50" spans="1:71" outlineLevel="1" x14ac:dyDescent="0.2">
      <c r="A50" s="82" t="s">
        <v>243</v>
      </c>
      <c r="B50" s="82" t="s">
        <v>267</v>
      </c>
      <c r="D50" s="82" t="s">
        <v>172</v>
      </c>
      <c r="E50" s="74" t="e">
        <f ca="1">GetCtLabel(B50,"CURINIT(AC)!LDESC","#New Business Revenue")</f>
        <v>#NAME?</v>
      </c>
      <c r="F50" s="137"/>
      <c r="G50" s="138"/>
      <c r="H50" s="137"/>
      <c r="I50" s="139"/>
      <c r="J50" s="139"/>
      <c r="K50" s="139"/>
      <c r="L50" s="139"/>
      <c r="M50" s="139"/>
      <c r="N50" s="130"/>
      <c r="O50" s="140">
        <f t="shared" si="10"/>
        <v>0</v>
      </c>
      <c r="P50" s="141">
        <f t="shared" si="6"/>
        <v>0</v>
      </c>
      <c r="Q50" s="141">
        <f t="shared" si="6"/>
        <v>0</v>
      </c>
      <c r="R50" s="133" t="e">
        <f t="shared" ca="1" si="11"/>
        <v>#NAME?</v>
      </c>
      <c r="S50" s="133" t="e">
        <f t="shared" ca="1" si="12"/>
        <v>#NAME?</v>
      </c>
      <c r="T50" s="134" t="e">
        <f t="shared" ca="1" si="13"/>
        <v>#NAME?</v>
      </c>
      <c r="U50" s="134" t="e">
        <f t="shared" ca="1" si="14"/>
        <v>#NAME?</v>
      </c>
      <c r="V50" s="144"/>
      <c r="W50" s="142"/>
      <c r="X50" s="142"/>
      <c r="Y50" s="122"/>
      <c r="Z50" s="135"/>
      <c r="AA50" s="135"/>
      <c r="AB50" s="135"/>
      <c r="AC50" s="135">
        <f>G50-AB50</f>
        <v>0</v>
      </c>
      <c r="AD50" s="122"/>
      <c r="AE50" s="142" t="e">
        <f ca="1">GetCtData("PKAMOUNT","AMOUNT",$AE$11:$AE$18,$B50:$D50,AE$19:AE$20,"#0")</f>
        <v>#NAME?</v>
      </c>
      <c r="AF50" s="142"/>
      <c r="AG50" s="142"/>
      <c r="AH50" s="143">
        <f>O50-AG50</f>
        <v>0</v>
      </c>
      <c r="AI50" s="128"/>
      <c r="AJ50" s="142" t="e">
        <f t="shared" ca="1" si="15"/>
        <v>#NAME?</v>
      </c>
      <c r="AK50" s="142" t="e">
        <f t="shared" ca="1" si="22"/>
        <v>#NAME?</v>
      </c>
      <c r="AL50" s="143" t="e">
        <f t="shared" ca="1" si="5"/>
        <v>#NAME?</v>
      </c>
      <c r="AM50" s="122"/>
      <c r="AN50" s="142" t="e">
        <f ca="1">GetCtData("PKAMOUNT","AMOUNT",$AN$11:$AN$18,$B50:$D50,AN$19:AN$20,"#0")</f>
        <v>#NAME?</v>
      </c>
      <c r="AO50" s="142" t="e">
        <f ca="1">GetCtData("PKAMOUNT","AMOUNT",$AO$11:$AO$18,$B50:$D50,AO$19:AO$20,"#0")</f>
        <v>#NAME?</v>
      </c>
      <c r="AP50" s="122"/>
      <c r="AQ50" s="142" t="e">
        <f ca="1">GetCtData("PKAMOUNT","AMOUNT",$AQ$11:$AQ$18,$B50:$D50,AQ$19:AQ$20,"#331")</f>
        <v>#NAME?</v>
      </c>
      <c r="AR50" s="142" t="e">
        <f t="shared" ca="1" si="16"/>
        <v>#NAME?</v>
      </c>
      <c r="AS50" s="142"/>
      <c r="AT50" s="142" t="e">
        <f ca="1">GetCtData("PKAMOUNT","AMOUNT",AT$11:AT$18,$B50:$D50,AT$19:AT$20,"#0")</f>
        <v>#NAME?</v>
      </c>
      <c r="AU50" s="142" t="e">
        <f t="shared" ca="1" si="17"/>
        <v>#NAME?</v>
      </c>
      <c r="AV50" s="72"/>
      <c r="AW50" s="72" t="e">
        <f t="shared" ca="1" si="18"/>
        <v>#NAME?</v>
      </c>
      <c r="AX50" s="72" t="e">
        <f t="shared" ca="1" si="19"/>
        <v>#NAME?</v>
      </c>
      <c r="AY50" s="72"/>
      <c r="AZ50" s="72" t="e">
        <f t="shared" ca="1" si="29"/>
        <v>#NAME?</v>
      </c>
      <c r="BA50" s="72" t="e">
        <f t="shared" ca="1" si="20"/>
        <v>#NAME?</v>
      </c>
      <c r="BB50" s="72"/>
      <c r="BC50" s="72" t="e">
        <f t="shared" ca="1" si="24"/>
        <v>#NAME?</v>
      </c>
      <c r="BD50" s="72" t="e">
        <f ca="1">#REF!-BC50</f>
        <v>#REF!</v>
      </c>
      <c r="BE50" s="72"/>
      <c r="BF50" s="72" t="e">
        <f t="shared" ca="1" si="25"/>
        <v>#NAME?</v>
      </c>
      <c r="BG50" s="72" t="e">
        <f ca="1">#REF!-BF50</f>
        <v>#REF!</v>
      </c>
      <c r="BH50" s="72"/>
      <c r="BI50" s="72" t="e">
        <f t="shared" ca="1" si="26"/>
        <v>#NAME?</v>
      </c>
      <c r="BJ50" s="72" t="e">
        <f t="shared" ca="1" si="21"/>
        <v>#NAME?</v>
      </c>
      <c r="BK50" s="72"/>
      <c r="BL50" s="72"/>
      <c r="BM50" s="72">
        <f t="shared" si="7"/>
        <v>0</v>
      </c>
      <c r="BN50" s="72"/>
      <c r="BO50" s="72"/>
      <c r="BP50" s="72">
        <f t="shared" si="8"/>
        <v>0</v>
      </c>
      <c r="BQ50" s="72"/>
      <c r="BR50" s="72"/>
      <c r="BS50" s="72" t="e">
        <f t="shared" ca="1" si="9"/>
        <v>#NAME?</v>
      </c>
    </row>
    <row r="51" spans="1:71" outlineLevel="1" x14ac:dyDescent="0.2">
      <c r="A51" s="82" t="s">
        <v>243</v>
      </c>
      <c r="B51" s="82" t="s">
        <v>268</v>
      </c>
      <c r="D51" s="82" t="s">
        <v>172</v>
      </c>
      <c r="E51" s="74" t="e">
        <f ca="1">GetCtLabel(B51,"CURINIT(AC)!LDESC","#Revenue - Accrued")</f>
        <v>#NAME?</v>
      </c>
      <c r="F51" s="137"/>
      <c r="G51" s="138"/>
      <c r="H51" s="137"/>
      <c r="I51" s="139"/>
      <c r="J51" s="139"/>
      <c r="K51" s="139"/>
      <c r="L51" s="139"/>
      <c r="M51" s="139"/>
      <c r="N51" s="130"/>
      <c r="O51" s="140">
        <f t="shared" si="10"/>
        <v>0</v>
      </c>
      <c r="P51" s="141">
        <f t="shared" si="6"/>
        <v>0</v>
      </c>
      <c r="Q51" s="141">
        <f t="shared" si="6"/>
        <v>0</v>
      </c>
      <c r="R51" s="133" t="e">
        <f t="shared" ca="1" si="11"/>
        <v>#NAME?</v>
      </c>
      <c r="S51" s="133" t="e">
        <f t="shared" ca="1" si="12"/>
        <v>#NAME?</v>
      </c>
      <c r="T51" s="134" t="e">
        <f t="shared" ca="1" si="13"/>
        <v>#NAME?</v>
      </c>
      <c r="U51" s="134" t="e">
        <f t="shared" ca="1" si="14"/>
        <v>#NAME?</v>
      </c>
      <c r="V51" s="144"/>
      <c r="W51" s="142"/>
      <c r="X51" s="142"/>
      <c r="Y51" s="122"/>
      <c r="Z51" s="135"/>
      <c r="AA51" s="135"/>
      <c r="AB51" s="135"/>
      <c r="AC51" s="135"/>
      <c r="AD51" s="122"/>
      <c r="AE51" s="142" t="e">
        <f ca="1">GetCtData("PKAMOUNT","AMOUNT",$AE$11:$AE$18,$B51:$D51,AE$19:AE$20,"#1530")</f>
        <v>#NAME?</v>
      </c>
      <c r="AF51" s="142"/>
      <c r="AG51" s="142"/>
      <c r="AH51" s="143"/>
      <c r="AI51" s="128"/>
      <c r="AJ51" s="142" t="e">
        <f t="shared" ca="1" si="15"/>
        <v>#NAME?</v>
      </c>
      <c r="AK51" s="142" t="e">
        <f t="shared" ca="1" si="22"/>
        <v>#NAME?</v>
      </c>
      <c r="AL51" s="143" t="e">
        <f t="shared" ca="1" si="5"/>
        <v>#NAME?</v>
      </c>
      <c r="AM51" s="122"/>
      <c r="AN51" s="142" t="e">
        <f ca="1">GetCtData("PKAMOUNT","AMOUNT",$AN$11:$AN$18,$B51:$D51,AN$19:AN$20,"#-209")</f>
        <v>#NAME?</v>
      </c>
      <c r="AO51" s="142" t="e">
        <f ca="1">GetCtData("PKAMOUNT","AMOUNT",$AO$11:$AO$18,$B51:$D51,AO$19:AO$20,"#1530")</f>
        <v>#NAME?</v>
      </c>
      <c r="AP51" s="122"/>
      <c r="AQ51" s="142" t="e">
        <f ca="1">GetCtData("PKAMOUNT","AMOUNT",$AQ$11:$AQ$18,$B51:$D51,AQ$19:AQ$20,"#")</f>
        <v>#NAME?</v>
      </c>
      <c r="AR51" s="142" t="e">
        <f t="shared" ca="1" si="16"/>
        <v>#NAME?</v>
      </c>
      <c r="AS51" s="142"/>
      <c r="AT51" s="142" t="e">
        <f ca="1">GetCtData("PKAMOUNT","AMOUNT",AT$11:AT$18,$B51:$D51,AT$19:AT$20,"#2254")</f>
        <v>#NAME?</v>
      </c>
      <c r="AU51" s="142" t="e">
        <f t="shared" ca="1" si="17"/>
        <v>#NAME?</v>
      </c>
      <c r="AV51" s="72"/>
      <c r="AW51" s="72" t="e">
        <f t="shared" ca="1" si="18"/>
        <v>#NAME?</v>
      </c>
      <c r="AX51" s="72" t="e">
        <f t="shared" ca="1" si="19"/>
        <v>#NAME?</v>
      </c>
      <c r="AY51" s="72"/>
      <c r="AZ51" s="72"/>
      <c r="BA51" s="72">
        <f t="shared" si="20"/>
        <v>0</v>
      </c>
      <c r="BB51" s="72"/>
      <c r="BC51" s="72"/>
      <c r="BD51" s="72" t="e">
        <f>#REF!-BC51</f>
        <v>#REF!</v>
      </c>
      <c r="BE51" s="72"/>
      <c r="BF51" s="72"/>
      <c r="BG51" s="72" t="e">
        <f>#REF!-BF51</f>
        <v>#REF!</v>
      </c>
      <c r="BH51" s="72"/>
      <c r="BI51" s="72"/>
      <c r="BJ51" s="72">
        <f t="shared" si="21"/>
        <v>0</v>
      </c>
      <c r="BK51" s="72"/>
      <c r="BL51" s="72" t="e">
        <f ca="1">GetCtData("COAMOUNT","AMOUNT",$AK$11:$AK$17,$B51,BL$19,BL$20,"#")</f>
        <v>#NAME?</v>
      </c>
      <c r="BM51" s="72" t="e">
        <f t="shared" ca="1" si="7"/>
        <v>#NAME?</v>
      </c>
      <c r="BN51" s="72"/>
      <c r="BO51" s="72" t="e">
        <f ca="1">GetCtData("COAMOUNT","AMOUNT",$AK$11:$AK$17,$B51,BO$19,BO$20,"#")</f>
        <v>#NAME?</v>
      </c>
      <c r="BP51" s="72" t="e">
        <f t="shared" ca="1" si="8"/>
        <v>#NAME?</v>
      </c>
      <c r="BQ51" s="72"/>
      <c r="BR51" s="72" t="e">
        <f ca="1">GetCtData("COAMOUNT","AMOUNT",$AK$11:$AK$17,$B51,BR$19,BR$20,"#")</f>
        <v>#NAME?</v>
      </c>
      <c r="BS51" s="72" t="e">
        <f t="shared" ca="1" si="9"/>
        <v>#NAME?</v>
      </c>
    </row>
    <row r="52" spans="1:71" outlineLevel="1" x14ac:dyDescent="0.2">
      <c r="E52" s="74"/>
      <c r="F52" s="130"/>
      <c r="G52" s="131"/>
      <c r="H52" s="130"/>
      <c r="I52" s="72"/>
      <c r="J52" s="72"/>
      <c r="K52" s="72"/>
      <c r="L52" s="72"/>
      <c r="M52" s="72"/>
      <c r="N52" s="130"/>
      <c r="O52" s="121"/>
      <c r="P52" s="141">
        <f t="shared" si="6"/>
        <v>0</v>
      </c>
      <c r="Q52" s="141"/>
      <c r="R52" s="122"/>
      <c r="S52" s="122"/>
      <c r="T52" s="122" t="e">
        <f ca="1">PutCtData("PKAMOUNT","AMOUNT",$T$11:$T$15,$B52,$T$18,$T$17,P52)</f>
        <v>#NAME?</v>
      </c>
      <c r="U52" s="122" t="e">
        <f ca="1">PutCtData("PKAMOUNT","AMOUNT",$U$11:$U$15,$B52,$U$18,$U$17,L52)</f>
        <v>#NAME?</v>
      </c>
      <c r="V52" s="144"/>
      <c r="W52" s="122"/>
      <c r="X52" s="122"/>
      <c r="Y52" s="122"/>
      <c r="Z52" s="135"/>
      <c r="AA52" s="135"/>
      <c r="AB52" s="135"/>
      <c r="AC52" s="135"/>
      <c r="AD52" s="122"/>
      <c r="AE52" s="122"/>
      <c r="AF52" s="122"/>
      <c r="AG52" s="122"/>
      <c r="AH52" s="136"/>
      <c r="AI52" s="128"/>
      <c r="AJ52" s="122">
        <f>AO52-O52</f>
        <v>0</v>
      </c>
      <c r="AK52" s="122"/>
      <c r="AL52" s="136">
        <f t="shared" si="5"/>
        <v>0</v>
      </c>
      <c r="AM52" s="122"/>
      <c r="AN52" s="122"/>
      <c r="AO52" s="122"/>
      <c r="AP52" s="122"/>
      <c r="AQ52" s="122"/>
      <c r="AR52" s="122"/>
      <c r="AS52" s="122"/>
      <c r="AT52" s="122"/>
      <c r="AU52" s="122"/>
      <c r="AV52" s="130"/>
      <c r="AW52" s="130"/>
      <c r="AX52" s="130"/>
      <c r="AY52" s="130"/>
      <c r="AZ52" s="130"/>
      <c r="BA52" s="130"/>
      <c r="BB52" s="130"/>
      <c r="BC52" s="130"/>
      <c r="BD52" s="130"/>
      <c r="BE52" s="130"/>
      <c r="BF52" s="130"/>
      <c r="BG52" s="130"/>
      <c r="BH52" s="130"/>
      <c r="BI52" s="130"/>
      <c r="BJ52" s="130"/>
      <c r="BK52" s="130"/>
      <c r="BL52" s="130"/>
      <c r="BM52" s="130">
        <f t="shared" si="7"/>
        <v>0</v>
      </c>
      <c r="BN52" s="130"/>
      <c r="BO52" s="130"/>
      <c r="BP52" s="130">
        <f t="shared" si="8"/>
        <v>0</v>
      </c>
      <c r="BQ52" s="130"/>
      <c r="BR52" s="130"/>
      <c r="BS52" s="130">
        <f t="shared" si="9"/>
        <v>0</v>
      </c>
    </row>
    <row r="53" spans="1:71" s="163" customFormat="1" x14ac:dyDescent="0.2">
      <c r="A53" s="146"/>
      <c r="B53" s="146" t="s">
        <v>269</v>
      </c>
      <c r="C53" s="146"/>
      <c r="D53" s="146" t="s">
        <v>250</v>
      </c>
      <c r="E53" s="147" t="e">
        <f ca="1">GetCtLabel(B53,"CURINIT(AC)!LDESC","#REVENUE")</f>
        <v>#NAME?</v>
      </c>
      <c r="F53" s="148">
        <f>F30-F38</f>
        <v>9148</v>
      </c>
      <c r="G53" s="148">
        <f>G30-G38</f>
        <v>118</v>
      </c>
      <c r="H53" s="148"/>
      <c r="I53" s="148">
        <f>I30-I38</f>
        <v>0</v>
      </c>
      <c r="J53" s="148">
        <f>J30-J38</f>
        <v>0</v>
      </c>
      <c r="K53" s="148">
        <f>K30-K38</f>
        <v>-2991</v>
      </c>
      <c r="L53" s="148">
        <f>L30-L38</f>
        <v>112</v>
      </c>
      <c r="M53" s="148">
        <f>M30-M38</f>
        <v>0</v>
      </c>
      <c r="N53" s="148"/>
      <c r="O53" s="149">
        <f>SUM(F53:M53)</f>
        <v>6387</v>
      </c>
      <c r="P53" s="123">
        <f t="shared" si="6"/>
        <v>2991</v>
      </c>
      <c r="Q53" s="123"/>
      <c r="R53" s="148" t="e">
        <f ca="1">R30-R38</f>
        <v>#NAME?</v>
      </c>
      <c r="S53" s="148" t="e">
        <f ca="1">S30-S38</f>
        <v>#NAME?</v>
      </c>
      <c r="T53" s="148" t="e">
        <f ca="1">T30-T38</f>
        <v>#NAME?</v>
      </c>
      <c r="U53" s="148" t="e">
        <f ca="1">U30-U38</f>
        <v>#NAME?</v>
      </c>
      <c r="V53" s="144"/>
      <c r="W53" s="148"/>
      <c r="X53" s="148">
        <f>+O53-W53</f>
        <v>6387</v>
      </c>
      <c r="Y53" s="136"/>
      <c r="Z53" s="150">
        <f>3904+927</f>
        <v>4831</v>
      </c>
      <c r="AA53" s="150">
        <f>AA30-AA38</f>
        <v>0</v>
      </c>
      <c r="AB53" s="150">
        <f t="shared" ref="AB53:AB128" si="33">Z53+AA53</f>
        <v>4831</v>
      </c>
      <c r="AC53" s="150">
        <f>+O53-AB53</f>
        <v>1556</v>
      </c>
      <c r="AD53" s="136"/>
      <c r="AE53" s="148" t="e">
        <f ca="1">GetCtData("PKAMOUNT","AMOUNT",$AE$11:$AE$18,$B53:$D53,AE$19:AE$20,"#6374")</f>
        <v>#NAME?</v>
      </c>
      <c r="AF53" s="148">
        <f>AF30-AF38</f>
        <v>0</v>
      </c>
      <c r="AG53" s="148" t="e">
        <f ca="1">AE53+AF53</f>
        <v>#NAME?</v>
      </c>
      <c r="AH53" s="148" t="e">
        <f ca="1">+O53-AG53</f>
        <v>#NAME?</v>
      </c>
      <c r="AI53" s="128"/>
      <c r="AJ53" s="148" t="e">
        <f ca="1">O53-AO53</f>
        <v>#NAME?</v>
      </c>
      <c r="AK53" s="148" t="e">
        <f ca="1">GetCtData("PKAMOUNT","AMOUNT",$AK$11:$AK$18,$B53:$D53,AK$19:AK$20,"#858")</f>
        <v>#NAME?</v>
      </c>
      <c r="AL53" s="148" t="e">
        <f t="shared" ca="1" si="5"/>
        <v>#NAME?</v>
      </c>
      <c r="AM53" s="136"/>
      <c r="AN53" s="148" t="e">
        <f ca="1">GetCtData("PKAMOUNT","AMOUNT",$AN$11:$AN$18,$B53:$D53,AN$19:AN$20,"#1005")</f>
        <v>#NAME?</v>
      </c>
      <c r="AO53" s="148" t="e">
        <f ca="1">GetCtData("PKAMOUNT","AMOUNT",$AO$11:$AO$18,$B53:$D53,AO$19:AO$20,"#5516")</f>
        <v>#NAME?</v>
      </c>
      <c r="AP53" s="136"/>
      <c r="AQ53" s="148" t="e">
        <f ca="1">GetCtData("PKAMOUNT","AMOUNT",$AQ$11:$AQ$18,$B53:$D53,AQ$19:AQ$20,"#6814")</f>
        <v>#NAME?</v>
      </c>
      <c r="AR53" s="148" t="e">
        <f ca="1">O53-AQ53</f>
        <v>#NAME?</v>
      </c>
      <c r="AS53" s="148"/>
      <c r="AT53" s="148" t="e">
        <f ca="1">GetCtData("COAMOUNT","AMOUNT",$AZ$11:$AZ$17,$B53,AT$19,AT$20,"#6883")</f>
        <v>#NAME?</v>
      </c>
      <c r="AU53" s="148" t="e">
        <f ca="1">O53-AT53</f>
        <v>#NAME?</v>
      </c>
      <c r="AV53" s="148"/>
      <c r="AW53" s="148" t="e">
        <f ca="1">GetCtData("COAMOUNT","AMOUNT",$AZ$11:$AZ$17,$B53,AW$19,AW$20,"#")</f>
        <v>#NAME?</v>
      </c>
      <c r="AX53" s="148" t="e">
        <f ca="1">O53-AW53</f>
        <v>#NAME?</v>
      </c>
      <c r="AY53" s="148"/>
      <c r="AZ53" s="148" t="e">
        <f ca="1">GetCtData("COAMOUNT","AMOUNT",$AZ$11:$AZ$17,$B53,AZ$19,AZ$20,"#")</f>
        <v>#NAME?</v>
      </c>
      <c r="BA53" s="148" t="e">
        <f ca="1">O53-AZ53</f>
        <v>#NAME?</v>
      </c>
      <c r="BB53" s="148"/>
      <c r="BC53" s="148" t="e">
        <f ca="1">GetCtData("COAMOUNT","AMOUNT",$BF$11:$BF$17,$B53,BC$19,BC$20,"#")</f>
        <v>#NAME?</v>
      </c>
      <c r="BD53" s="148" t="e">
        <f ca="1">K53-BC53</f>
        <v>#NAME?</v>
      </c>
      <c r="BE53" s="148"/>
      <c r="BF53" s="148" t="e">
        <f ca="1">GetCtData("COAMOUNT","AMOUNT",$BF$11:$BF$17,$B53,BF$19,BF$20,"#")</f>
        <v>#NAME?</v>
      </c>
      <c r="BG53" s="148" t="e">
        <f ca="1">O53-BF53</f>
        <v>#NAME?</v>
      </c>
      <c r="BH53" s="148"/>
      <c r="BI53" s="148" t="e">
        <f ca="1">GetCtData("COAMOUNT","AMOUNT",$AO$11:$AO$17,$B53,BI$19,BI$20,"#")</f>
        <v>#NAME?</v>
      </c>
      <c r="BJ53" s="148" t="e">
        <f ca="1">O53-BI53</f>
        <v>#NAME?</v>
      </c>
      <c r="BK53" s="148"/>
      <c r="BL53" s="148" t="e">
        <f ca="1">GetCtData("COAMOUNT","AMOUNT",$BO$11:$BO$17,$B53,BL$19,BL$20,"#")</f>
        <v>#NAME?</v>
      </c>
      <c r="BM53" s="148" t="e">
        <f ca="1">J53-BL53</f>
        <v>#NAME?</v>
      </c>
      <c r="BN53" s="148"/>
      <c r="BO53" s="148" t="e">
        <f ca="1">GetCtData("COAMOUNT","AMOUNT",$BO$11:$BO$17,$B53,BO$19,BO$20,"#")</f>
        <v>#NAME?</v>
      </c>
      <c r="BP53" s="148" t="e">
        <f ca="1">O53-BO53</f>
        <v>#NAME?</v>
      </c>
      <c r="BQ53" s="148"/>
      <c r="BR53" s="148" t="e">
        <f ca="1">GetCtData("COAMOUNT","AMOUNT",$BO$11:$BO$17,$B53,BR$19,BR$20,"#")</f>
        <v>#NAME?</v>
      </c>
      <c r="BS53" s="148" t="e">
        <f ca="1">#REF!-BR53</f>
        <v>#REF!</v>
      </c>
    </row>
    <row r="54" spans="1:71" ht="9.75" customHeight="1" x14ac:dyDescent="0.2">
      <c r="E54" s="74"/>
      <c r="F54" s="130"/>
      <c r="G54" s="130"/>
      <c r="H54" s="130"/>
      <c r="I54" s="72"/>
      <c r="J54" s="72"/>
      <c r="K54" s="72"/>
      <c r="L54" s="72"/>
      <c r="M54" s="72"/>
      <c r="N54" s="130"/>
      <c r="O54" s="121"/>
      <c r="P54" s="141">
        <f t="shared" si="6"/>
        <v>0</v>
      </c>
      <c r="Q54" s="141"/>
      <c r="R54" s="122"/>
      <c r="S54" s="122"/>
      <c r="T54" s="122"/>
      <c r="U54" s="122"/>
      <c r="V54" s="144"/>
      <c r="W54" s="122"/>
      <c r="X54" s="122"/>
      <c r="Y54" s="122"/>
      <c r="Z54" s="135"/>
      <c r="AA54" s="135"/>
      <c r="AB54" s="135">
        <f t="shared" si="33"/>
        <v>0</v>
      </c>
      <c r="AC54" s="135"/>
      <c r="AD54" s="122"/>
      <c r="AE54" s="164" t="e">
        <f ca="1">SUM(AE39:AE52)-AE53</f>
        <v>#NAME?</v>
      </c>
      <c r="AF54" s="164">
        <f t="shared" ref="AF54:AH54" si="34">SUM(AF39:AF52)-AF53</f>
        <v>0</v>
      </c>
      <c r="AG54" s="164" t="e">
        <f t="shared" ca="1" si="34"/>
        <v>#NAME?</v>
      </c>
      <c r="AH54" s="164" t="e">
        <f t="shared" ca="1" si="34"/>
        <v>#NAME?</v>
      </c>
      <c r="AI54" s="128"/>
      <c r="AJ54" s="164" t="e">
        <f t="shared" ref="AJ54:AL54" ca="1" si="35">SUM(AJ39:AJ52)-AJ53</f>
        <v>#NAME?</v>
      </c>
      <c r="AK54" s="164" t="e">
        <f t="shared" ca="1" si="35"/>
        <v>#NAME?</v>
      </c>
      <c r="AL54" s="164" t="e">
        <f t="shared" ca="1" si="35"/>
        <v>#NAME?</v>
      </c>
      <c r="AM54" s="122"/>
      <c r="AN54" s="122"/>
      <c r="AO54" s="122"/>
      <c r="AP54" s="122"/>
      <c r="AQ54" s="122"/>
      <c r="AR54" s="122"/>
      <c r="AS54" s="122"/>
      <c r="AT54" s="122"/>
      <c r="AU54" s="122"/>
      <c r="AV54" s="130"/>
      <c r="AW54" s="130"/>
      <c r="AX54" s="130"/>
      <c r="AY54" s="130"/>
      <c r="AZ54" s="130"/>
      <c r="BA54" s="130"/>
      <c r="BB54" s="130"/>
      <c r="BC54" s="130"/>
      <c r="BD54" s="130"/>
      <c r="BE54" s="130"/>
      <c r="BF54" s="130"/>
      <c r="BG54" s="130"/>
      <c r="BH54" s="130"/>
      <c r="BI54" s="130"/>
      <c r="BJ54" s="130"/>
      <c r="BK54" s="130"/>
      <c r="BL54" s="130"/>
      <c r="BM54" s="130"/>
      <c r="BN54" s="130"/>
      <c r="BO54" s="130"/>
      <c r="BP54" s="130"/>
      <c r="BQ54" s="130"/>
      <c r="BR54" s="130"/>
      <c r="BS54" s="130"/>
    </row>
    <row r="55" spans="1:71" s="174" customFormat="1" x14ac:dyDescent="0.2">
      <c r="A55" s="165"/>
      <c r="B55" s="165" t="s">
        <v>270</v>
      </c>
      <c r="C55" s="165"/>
      <c r="D55" s="165" t="s">
        <v>250</v>
      </c>
      <c r="E55" s="166" t="e">
        <f ca="1">GetCtLabel(B55,"CURINIT(AC)!LDESC","#GROSS MARGIN / NET SALES")</f>
        <v>#NAME?</v>
      </c>
      <c r="F55" s="167">
        <f>F53</f>
        <v>9148</v>
      </c>
      <c r="G55" s="167">
        <f>G53</f>
        <v>118</v>
      </c>
      <c r="H55" s="167"/>
      <c r="I55" s="167">
        <f>I53</f>
        <v>0</v>
      </c>
      <c r="J55" s="167">
        <f>J53</f>
        <v>0</v>
      </c>
      <c r="K55" s="167">
        <f>K53</f>
        <v>-2991</v>
      </c>
      <c r="L55" s="167">
        <f>L53</f>
        <v>112</v>
      </c>
      <c r="M55" s="167">
        <f>M53</f>
        <v>0</v>
      </c>
      <c r="N55" s="167"/>
      <c r="O55" s="168">
        <f>SUM(F55:M55)</f>
        <v>6387</v>
      </c>
      <c r="P55" s="169">
        <f t="shared" ref="P55:Q91" si="36">-K55</f>
        <v>2991</v>
      </c>
      <c r="Q55" s="169"/>
      <c r="R55" s="167" t="e">
        <f ca="1">R30-R38</f>
        <v>#NAME?</v>
      </c>
      <c r="S55" s="167" t="e">
        <f ca="1">S30-S38</f>
        <v>#NAME?</v>
      </c>
      <c r="T55" s="167" t="e">
        <f ca="1">T30-T38</f>
        <v>#NAME?</v>
      </c>
      <c r="U55" s="167" t="e">
        <f ca="1">U30-U38</f>
        <v>#NAME?</v>
      </c>
      <c r="V55" s="170"/>
      <c r="W55" s="167">
        <f>W53</f>
        <v>0</v>
      </c>
      <c r="X55" s="167">
        <f>O55-W55</f>
        <v>6387</v>
      </c>
      <c r="Y55" s="171"/>
      <c r="Z55" s="172">
        <f>Z53</f>
        <v>4831</v>
      </c>
      <c r="AA55" s="172">
        <f>AA53</f>
        <v>0</v>
      </c>
      <c r="AB55" s="172">
        <f t="shared" si="33"/>
        <v>4831</v>
      </c>
      <c r="AC55" s="172">
        <f>AC53</f>
        <v>1556</v>
      </c>
      <c r="AD55" s="171"/>
      <c r="AE55" s="167" t="e">
        <f ca="1">GetCtData("PKAMOUNT","AMOUNT",$AE$11:$AE$18,$B55:$D55,AE$19:AE$20,"#6374")</f>
        <v>#NAME?</v>
      </c>
      <c r="AF55" s="167">
        <f>AF53</f>
        <v>0</v>
      </c>
      <c r="AG55" s="167" t="e">
        <f ca="1">AE55+AF55</f>
        <v>#NAME?</v>
      </c>
      <c r="AH55" s="167" t="e">
        <f t="shared" ref="AH55:AH118" ca="1" si="37">+O55-AG55</f>
        <v>#NAME?</v>
      </c>
      <c r="AI55" s="173"/>
      <c r="AJ55" s="167" t="e">
        <f t="shared" ref="AJ55:AJ91" ca="1" si="38">O55-AO55</f>
        <v>#NAME?</v>
      </c>
      <c r="AK55" s="167" t="e">
        <f ca="1">GetCtData("PKAMOUNT","AMOUNT",$AK$11:$AK$18,$B55:$D55,AK$19:AK$20,"#858")</f>
        <v>#NAME?</v>
      </c>
      <c r="AL55" s="167" t="e">
        <f t="shared" ref="AL55:AL91" ca="1" si="39">(O55-AO55)-AK55</f>
        <v>#NAME?</v>
      </c>
      <c r="AM55" s="171"/>
      <c r="AN55" s="167" t="e">
        <f ca="1">GetCtData("PKAMOUNT","AMOUNT",$AN$11:$AN$18,$B55:$D55,AN$19:AN$20,"#1005")</f>
        <v>#NAME?</v>
      </c>
      <c r="AO55" s="167" t="e">
        <f ca="1">GetCtData("PKAMOUNT","AMOUNT",$AO$11:$AO$18,$B55:$D55,AO$19:AO$20,"#5516")</f>
        <v>#NAME?</v>
      </c>
      <c r="AP55" s="171"/>
      <c r="AQ55" s="167" t="e">
        <f ca="1">GetCtData("PKAMOUNT","AMOUNT",$AQ$11:$AQ$18,$B55:$D55,AQ$19:AQ$20,"#6814")</f>
        <v>#NAME?</v>
      </c>
      <c r="AR55" s="167" t="e">
        <f ca="1">O55-AQ55</f>
        <v>#NAME?</v>
      </c>
      <c r="AS55" s="167"/>
      <c r="AT55" s="167" t="e">
        <f ca="1">GetCtData("PKAMOUNT","AMOUNT",AT$11:AT$18,$B55:$D55,AT$19:AT$20,"#6883")</f>
        <v>#NAME?</v>
      </c>
      <c r="AU55" s="167" t="e">
        <f ca="1">O55-AT55</f>
        <v>#NAME?</v>
      </c>
      <c r="AV55" s="167"/>
      <c r="AW55" s="167" t="e">
        <f ca="1">GetCtData("PKAMOUNT","AMOUNT",AW$11:AW$18,$B55:$D55,AW$19:AW$20,"#")</f>
        <v>#NAME?</v>
      </c>
      <c r="AX55" s="167" t="e">
        <f ca="1">O55-AW55</f>
        <v>#NAME?</v>
      </c>
      <c r="AY55" s="167"/>
      <c r="AZ55" s="167" t="e">
        <f ca="1">GetCtData("COAMOUNT","AMOUNT",$AZ$11:$AZ$17,$B55,AZ$19,AZ$20,"#")</f>
        <v>#NAME?</v>
      </c>
      <c r="BA55" s="167" t="e">
        <f ca="1">O55-AZ55</f>
        <v>#NAME?</v>
      </c>
      <c r="BB55" s="167"/>
      <c r="BC55" s="167" t="e">
        <f ca="1">GetCtData("COAMOUNT","AMOUNT",$BF$11:$BF$17,$B55,BC$19,BC$20,"#")</f>
        <v>#NAME?</v>
      </c>
      <c r="BD55" s="167" t="e">
        <f t="shared" ref="BD55:BD91" ca="1" si="40">K55-BC55</f>
        <v>#NAME?</v>
      </c>
      <c r="BE55" s="167"/>
      <c r="BF55" s="167" t="e">
        <f ca="1">GetCtData("COAMOUNT","AMOUNT",$BF$11:$BF$17,$B55,BF$19,BF$20,"#")</f>
        <v>#NAME?</v>
      </c>
      <c r="BG55" s="167" t="e">
        <f t="shared" ref="BG55:BG91" ca="1" si="41">O55-BF55</f>
        <v>#NAME?</v>
      </c>
      <c r="BH55" s="167"/>
      <c r="BI55" s="167" t="e">
        <f ca="1">GetCtData("COAMOUNT","AMOUNT",$AO$11:$AO$17,$B55,BI$19,BI$20,"#")</f>
        <v>#NAME?</v>
      </c>
      <c r="BJ55" s="167" t="e">
        <f t="shared" ref="BJ55:BJ91" ca="1" si="42">O55-BI55</f>
        <v>#NAME?</v>
      </c>
      <c r="BK55" s="167"/>
      <c r="BL55" s="167" t="e">
        <f ca="1">BL53</f>
        <v>#NAME?</v>
      </c>
      <c r="BM55" s="167" t="e">
        <f ca="1">(AI55-BP55)-BL55</f>
        <v>#NAME?</v>
      </c>
      <c r="BN55" s="167"/>
      <c r="BO55" s="167" t="e">
        <f ca="1">BO53</f>
        <v>#NAME?</v>
      </c>
      <c r="BP55" s="167" t="e">
        <f ca="1">(AM55-BT55)-BO55</f>
        <v>#NAME?</v>
      </c>
      <c r="BQ55" s="167"/>
      <c r="BR55" s="167" t="e">
        <f ca="1">BR53</f>
        <v>#NAME?</v>
      </c>
      <c r="BS55" s="167" t="e">
        <f ca="1">(AO55-BW55)-BR55</f>
        <v>#NAME?</v>
      </c>
    </row>
    <row r="56" spans="1:71" x14ac:dyDescent="0.2">
      <c r="E56" s="74"/>
      <c r="F56" s="130"/>
      <c r="G56" s="131"/>
      <c r="H56" s="130"/>
      <c r="I56" s="130"/>
      <c r="J56" s="130"/>
      <c r="K56" s="130"/>
      <c r="L56" s="72"/>
      <c r="M56" s="72"/>
      <c r="N56" s="130"/>
      <c r="O56" s="121"/>
      <c r="P56" s="141">
        <f t="shared" si="36"/>
        <v>0</v>
      </c>
      <c r="Q56" s="141"/>
      <c r="R56" s="122"/>
      <c r="S56" s="122"/>
      <c r="T56" s="122"/>
      <c r="U56" s="122"/>
      <c r="V56" s="144"/>
      <c r="W56" s="122"/>
      <c r="X56" s="122"/>
      <c r="Y56" s="122"/>
      <c r="Z56" s="135"/>
      <c r="AA56" s="135"/>
      <c r="AB56" s="135">
        <f t="shared" si="33"/>
        <v>0</v>
      </c>
      <c r="AC56" s="135"/>
      <c r="AD56" s="122"/>
      <c r="AE56" s="122"/>
      <c r="AF56" s="122"/>
      <c r="AG56" s="122">
        <f>AE56+AF56</f>
        <v>0</v>
      </c>
      <c r="AH56" s="136">
        <f t="shared" si="37"/>
        <v>0</v>
      </c>
      <c r="AI56" s="128"/>
      <c r="AJ56" s="122">
        <f t="shared" si="38"/>
        <v>0</v>
      </c>
      <c r="AK56" s="122"/>
      <c r="AL56" s="136">
        <f t="shared" si="39"/>
        <v>0</v>
      </c>
      <c r="AM56" s="122"/>
      <c r="AN56" s="122"/>
      <c r="AO56" s="122"/>
      <c r="AP56" s="122"/>
      <c r="AQ56" s="122"/>
      <c r="AR56" s="122"/>
      <c r="AS56" s="122"/>
      <c r="AT56" s="122"/>
      <c r="AU56" s="122"/>
      <c r="AV56" s="130"/>
      <c r="AW56" s="130"/>
      <c r="AX56" s="130"/>
      <c r="AY56" s="130"/>
      <c r="AZ56" s="130"/>
      <c r="BA56" s="130"/>
      <c r="BB56" s="130"/>
      <c r="BC56" s="130"/>
      <c r="BD56" s="130">
        <f t="shared" si="40"/>
        <v>0</v>
      </c>
      <c r="BE56" s="130"/>
      <c r="BF56" s="130"/>
      <c r="BG56" s="130">
        <f t="shared" si="41"/>
        <v>0</v>
      </c>
      <c r="BH56" s="130"/>
      <c r="BI56" s="130"/>
      <c r="BJ56" s="130">
        <f t="shared" si="42"/>
        <v>0</v>
      </c>
      <c r="BK56" s="130"/>
      <c r="BL56" s="130"/>
      <c r="BM56" s="130">
        <f>(AI56-BP56)-BL56</f>
        <v>0</v>
      </c>
      <c r="BN56" s="130"/>
      <c r="BO56" s="130"/>
      <c r="BP56" s="130">
        <f>(AM56-BT56)-BO56</f>
        <v>0</v>
      </c>
      <c r="BQ56" s="130"/>
      <c r="BR56" s="130"/>
      <c r="BS56" s="130">
        <f>(AO56-BW56)-BR56</f>
        <v>0</v>
      </c>
    </row>
    <row r="57" spans="1:71" x14ac:dyDescent="0.2">
      <c r="A57" s="82" t="s">
        <v>243</v>
      </c>
      <c r="B57" s="82" t="s">
        <v>271</v>
      </c>
      <c r="D57" s="82" t="s">
        <v>172</v>
      </c>
      <c r="E57" s="74" t="e">
        <f ca="1">GetCtLabel(B57,"CURINIT(AC)!LDESC","#Staff salaries")</f>
        <v>#NAME?</v>
      </c>
      <c r="F57" s="137">
        <v>4172</v>
      </c>
      <c r="G57" s="138">
        <v>2</v>
      </c>
      <c r="H57" s="137"/>
      <c r="I57" s="139"/>
      <c r="J57" s="139">
        <f>-33</f>
        <v>-33</v>
      </c>
      <c r="K57" s="139">
        <f>-1127-33+33-2-14</f>
        <v>-1143</v>
      </c>
      <c r="L57" s="139">
        <f>47-15-10</f>
        <v>22</v>
      </c>
      <c r="M57" s="139"/>
      <c r="N57" s="130"/>
      <c r="O57" s="140">
        <f t="shared" ref="O57:O89" si="43">SUM(F57:M57)</f>
        <v>3020</v>
      </c>
      <c r="P57" s="141">
        <f t="shared" si="36"/>
        <v>1143</v>
      </c>
      <c r="Q57" s="141">
        <f t="shared" si="36"/>
        <v>-22</v>
      </c>
      <c r="R57" s="133" t="e">
        <f t="shared" ref="R57:R63" ca="1" si="44">PutCtData("PKAMOUNT","AMOUNT",R$11:R$14,$B57:$D57,R$17:R$18,$O57)</f>
        <v>#NAME?</v>
      </c>
      <c r="S57" s="133" t="e">
        <f t="shared" ref="S57:S63" ca="1" si="45">PutCtData("PKAMOUNT","AMOUNT",S$11:S$14,$B57:$D57,S$17,$M57)</f>
        <v>#NAME?</v>
      </c>
      <c r="T57" s="134" t="e">
        <f t="shared" ref="T57:T63" ca="1" si="46">PutCtData("PKAMOUNT","AMOUNT",T$11:T$14,$B57:$D57,T$17:T$18,$P57)</f>
        <v>#NAME?</v>
      </c>
      <c r="U57" s="134" t="e">
        <f t="shared" ref="U57:U89" ca="1" si="47">PutCtData("PKAMOUNT","AMOUNT",$U$11:$U$14,$B57:$D57,U$17:U$18,Q57)</f>
        <v>#NAME?</v>
      </c>
      <c r="V57" s="144"/>
      <c r="W57" s="142"/>
      <c r="X57" s="142"/>
      <c r="Y57" s="122"/>
      <c r="Z57" s="135">
        <f>1771+430</f>
        <v>2201</v>
      </c>
      <c r="AA57" s="135"/>
      <c r="AB57" s="135">
        <f t="shared" si="33"/>
        <v>2201</v>
      </c>
      <c r="AC57" s="135">
        <f t="shared" ref="AC57:AC89" si="48">+O57-AB57</f>
        <v>819</v>
      </c>
      <c r="AD57" s="122"/>
      <c r="AE57" s="142" t="e">
        <f ca="1">GetCtData("PKAMOUNT","AMOUNT",$AE$11:$AE$18,$B57:$D57,AE$19:AE$20,"#3018")</f>
        <v>#NAME?</v>
      </c>
      <c r="AF57" s="142"/>
      <c r="AG57" s="142" t="e">
        <f ca="1">AE57+AF57</f>
        <v>#NAME?</v>
      </c>
      <c r="AH57" s="175" t="e">
        <f t="shared" ca="1" si="37"/>
        <v>#NAME?</v>
      </c>
      <c r="AI57" s="128"/>
      <c r="AJ57" s="142" t="e">
        <f t="shared" ca="1" si="38"/>
        <v>#NAME?</v>
      </c>
      <c r="AK57" s="142" t="e">
        <f ca="1">GetCtData("PKAMOUNT","AMOUNT",$AK$11:$AK$18,$B57:$D57,AK$19:AK$20,"#408")</f>
        <v>#NAME?</v>
      </c>
      <c r="AL57" s="143" t="e">
        <f t="shared" ca="1" si="39"/>
        <v>#NAME?</v>
      </c>
      <c r="AM57" s="122"/>
      <c r="AN57" s="142" t="e">
        <f ca="1">GetCtData("PKAMOUNT","AMOUNT",$AN$11:$AN$18,$B57:$D57,AN$19:AN$20,"#456")</f>
        <v>#NAME?</v>
      </c>
      <c r="AO57" s="142" t="e">
        <f ca="1">GetCtData("PKAMOUNT","AMOUNT",$AO$11:$AO$18,$B57:$D57,AO$19:AO$20,"#2610")</f>
        <v>#NAME?</v>
      </c>
      <c r="AP57" s="122"/>
      <c r="AQ57" s="142" t="e">
        <f ca="1">GetCtData("PKAMOUNT","AMOUNT",$AQ$11:$AQ$18,$B57:$D57,AQ$19:AQ$20,"#3020")</f>
        <v>#NAME?</v>
      </c>
      <c r="AR57" s="142" t="e">
        <f t="shared" ref="AR57:AR89" ca="1" si="49">O57-AQ57</f>
        <v>#NAME?</v>
      </c>
      <c r="AS57" s="142"/>
      <c r="AT57" s="142" t="e">
        <f ca="1">GetCtData("PKAMOUNT","AMOUNT",AT$11:AT$18,$B57:$D57,AT$19:AT$20,"#3143")</f>
        <v>#NAME?</v>
      </c>
      <c r="AU57" s="142" t="e">
        <f t="shared" ref="AU57:AU89" ca="1" si="50">O57-AT57</f>
        <v>#NAME?</v>
      </c>
      <c r="AV57" s="72"/>
      <c r="AW57" s="72" t="e">
        <f t="shared" ref="AW57:AW89" ca="1" si="51">GetCtData("PKAMOUNT","AMOUNT",AW$11:AW$18,$B57:$D57,AW$19:AW$20,"#")</f>
        <v>#NAME?</v>
      </c>
      <c r="AX57" s="72" t="e">
        <f t="shared" ref="AX57:AX89" ca="1" si="52">O57-AW57</f>
        <v>#NAME?</v>
      </c>
      <c r="AY57" s="72"/>
      <c r="AZ57" s="72" t="e">
        <f t="shared" ref="AZ57:AZ89" ca="1" si="53">GetCtData("COAMOUNT","AMOUNT",$AZ$11:$AZ$17,$B57,AZ$19,AZ$20,"#")</f>
        <v>#NAME?</v>
      </c>
      <c r="BA57" s="72" t="e">
        <f t="shared" ref="BA57:BA89" ca="1" si="54">O57-AZ57</f>
        <v>#NAME?</v>
      </c>
      <c r="BB57" s="72"/>
      <c r="BC57" s="72" t="e">
        <f t="shared" ref="BC57:BC89" ca="1" si="55">GetCtData("COAMOUNT","AMOUNT",$BF$11:$BF$17,$B57,BC$19,BC$20,"#")</f>
        <v>#NAME?</v>
      </c>
      <c r="BD57" s="72" t="e">
        <f t="shared" ca="1" si="40"/>
        <v>#NAME?</v>
      </c>
      <c r="BE57" s="72"/>
      <c r="BF57" s="72" t="e">
        <f t="shared" ref="BF57:BF89" ca="1" si="56">GetCtData("COAMOUNT","AMOUNT",$BF$11:$BF$17,$B57,BF$19,BF$20,"#")</f>
        <v>#NAME?</v>
      </c>
      <c r="BG57" s="72" t="e">
        <f t="shared" ca="1" si="41"/>
        <v>#NAME?</v>
      </c>
      <c r="BH57" s="72"/>
      <c r="BI57" s="72" t="e">
        <f t="shared" ref="BI57:BI89" ca="1" si="57">GetCtData("COAMOUNT","AMOUNT",$AO$11:$AO$17,$B57,BI$19,BI$20,"#")</f>
        <v>#NAME?</v>
      </c>
      <c r="BJ57" s="72" t="e">
        <f t="shared" ca="1" si="42"/>
        <v>#NAME?</v>
      </c>
      <c r="BK57" s="72"/>
      <c r="BL57" s="72" t="e">
        <f t="shared" ref="BL57:BL89" ca="1" si="58">GetCtData("COAMOUNT","AMOUNT",$BO$11:$BO$17,$B57,BL$19,BL$20,"#")</f>
        <v>#NAME?</v>
      </c>
      <c r="BM57" s="72" t="e">
        <f t="shared" ref="BM57:BM89" ca="1" si="59">O57-BL57</f>
        <v>#NAME?</v>
      </c>
      <c r="BN57" s="72"/>
      <c r="BO57" s="72" t="e">
        <f t="shared" ref="BO57:BO89" ca="1" si="60">GetCtData("COAMOUNT","AMOUNT",$BO$11:$BO$17,$B57,BO$19,BO$20,"#")</f>
        <v>#NAME?</v>
      </c>
      <c r="BP57" s="72" t="e">
        <f t="shared" ref="BP57:BP91" ca="1" si="61">O57-BO57</f>
        <v>#NAME?</v>
      </c>
      <c r="BQ57" s="72"/>
      <c r="BR57" s="72" t="e">
        <f t="shared" ref="BR57:BR89" ca="1" si="62">GetCtData("COAMOUNT","AMOUNT",$BO$11:$BO$17,$B57,BR$19,BR$20,"#")</f>
        <v>#NAME?</v>
      </c>
      <c r="BS57" s="72" t="e">
        <f ca="1">#REF!-BR57</f>
        <v>#REF!</v>
      </c>
    </row>
    <row r="58" spans="1:71" x14ac:dyDescent="0.2">
      <c r="A58" s="82" t="s">
        <v>243</v>
      </c>
      <c r="B58" s="82" t="s">
        <v>272</v>
      </c>
      <c r="D58" s="82" t="s">
        <v>172</v>
      </c>
      <c r="E58" s="74" t="e">
        <f ca="1">GetCtLabel(B58,"CURINIT(AC)!LDESC","#Employers Social Taxes")</f>
        <v>#NAME?</v>
      </c>
      <c r="F58" s="137">
        <v>1815</v>
      </c>
      <c r="G58" s="138">
        <v>30</v>
      </c>
      <c r="H58" s="137"/>
      <c r="I58" s="139"/>
      <c r="J58" s="139"/>
      <c r="K58" s="139">
        <f>-491-18-6-6</f>
        <v>-521</v>
      </c>
      <c r="L58" s="139">
        <f>22-7-5</f>
        <v>10</v>
      </c>
      <c r="M58" s="139"/>
      <c r="N58" s="130"/>
      <c r="O58" s="140">
        <f t="shared" si="43"/>
        <v>1334</v>
      </c>
      <c r="P58" s="141">
        <f t="shared" si="36"/>
        <v>521</v>
      </c>
      <c r="Q58" s="141">
        <f t="shared" si="36"/>
        <v>-10</v>
      </c>
      <c r="R58" s="133" t="e">
        <f t="shared" ca="1" si="44"/>
        <v>#NAME?</v>
      </c>
      <c r="S58" s="133" t="e">
        <f t="shared" ca="1" si="45"/>
        <v>#NAME?</v>
      </c>
      <c r="T58" s="134" t="e">
        <f t="shared" ca="1" si="46"/>
        <v>#NAME?</v>
      </c>
      <c r="U58" s="134" t="e">
        <f t="shared" ca="1" si="47"/>
        <v>#NAME?</v>
      </c>
      <c r="V58" s="144"/>
      <c r="W58" s="142"/>
      <c r="X58" s="142"/>
      <c r="Y58" s="122"/>
      <c r="Z58" s="135">
        <f>816+191</f>
        <v>1007</v>
      </c>
      <c r="AA58" s="135"/>
      <c r="AB58" s="135">
        <f t="shared" si="33"/>
        <v>1007</v>
      </c>
      <c r="AC58" s="135">
        <f t="shared" si="48"/>
        <v>327</v>
      </c>
      <c r="AD58" s="122"/>
      <c r="AE58" s="142" t="e">
        <f ca="1">GetCtData("PKAMOUNT","AMOUNT",$AE$11:$AE$18,$B58:$D58,AE$19:AE$20,"#1337")</f>
        <v>#NAME?</v>
      </c>
      <c r="AF58" s="142"/>
      <c r="AG58" s="142" t="e">
        <f t="shared" ref="AG58:AG125" ca="1" si="63">AE58+AF58</f>
        <v>#NAME?</v>
      </c>
      <c r="AH58" s="175" t="e">
        <f t="shared" ca="1" si="37"/>
        <v>#NAME?</v>
      </c>
      <c r="AI58" s="128"/>
      <c r="AJ58" s="142" t="e">
        <f t="shared" ca="1" si="38"/>
        <v>#NAME?</v>
      </c>
      <c r="AK58" s="142" t="e">
        <f ca="1">GetCtData("PKAMOUNT","AMOUNT",$AK$11:$AK$18,$B58:$D58,AK$19:AK$20,"#180")</f>
        <v>#NAME?</v>
      </c>
      <c r="AL58" s="143" t="e">
        <f t="shared" ca="1" si="39"/>
        <v>#NAME?</v>
      </c>
      <c r="AM58" s="122"/>
      <c r="AN58" s="142" t="e">
        <f ca="1">GetCtData("PKAMOUNT","AMOUNT",$AN$11:$AN$18,$B58:$D58,AN$19:AN$20,"#206")</f>
        <v>#NAME?</v>
      </c>
      <c r="AO58" s="142" t="e">
        <f ca="1">GetCtData("PKAMOUNT","AMOUNT",$AO$11:$AO$18,$B58:$D58,AO$19:AO$20,"#1157")</f>
        <v>#NAME?</v>
      </c>
      <c r="AP58" s="122"/>
      <c r="AQ58" s="142" t="e">
        <f ca="1">GetCtData("PKAMOUNT","AMOUNT",$AQ$11:$AQ$18,$B58:$D58,AQ$19:AQ$20,"#1341")</f>
        <v>#NAME?</v>
      </c>
      <c r="AR58" s="142" t="e">
        <f t="shared" ca="1" si="49"/>
        <v>#NAME?</v>
      </c>
      <c r="AS58" s="142"/>
      <c r="AT58" s="142" t="e">
        <f ca="1">GetCtData("PKAMOUNT","AMOUNT",AT$11:AT$18,$B58:$D58,AT$19:AT$20,"#1392")</f>
        <v>#NAME?</v>
      </c>
      <c r="AU58" s="142" t="e">
        <f t="shared" ca="1" si="50"/>
        <v>#NAME?</v>
      </c>
      <c r="AV58" s="72"/>
      <c r="AW58" s="72" t="e">
        <f t="shared" ca="1" si="51"/>
        <v>#NAME?</v>
      </c>
      <c r="AX58" s="72" t="e">
        <f t="shared" ca="1" si="52"/>
        <v>#NAME?</v>
      </c>
      <c r="AY58" s="72"/>
      <c r="AZ58" s="72" t="e">
        <f t="shared" ca="1" si="53"/>
        <v>#NAME?</v>
      </c>
      <c r="BA58" s="72" t="e">
        <f t="shared" ca="1" si="54"/>
        <v>#NAME?</v>
      </c>
      <c r="BB58" s="72"/>
      <c r="BC58" s="72" t="e">
        <f t="shared" ca="1" si="55"/>
        <v>#NAME?</v>
      </c>
      <c r="BD58" s="72" t="e">
        <f t="shared" ca="1" si="40"/>
        <v>#NAME?</v>
      </c>
      <c r="BE58" s="72"/>
      <c r="BF58" s="72" t="e">
        <f t="shared" ca="1" si="56"/>
        <v>#NAME?</v>
      </c>
      <c r="BG58" s="72" t="e">
        <f t="shared" ca="1" si="41"/>
        <v>#NAME?</v>
      </c>
      <c r="BH58" s="72"/>
      <c r="BI58" s="72" t="e">
        <f t="shared" ca="1" si="57"/>
        <v>#NAME?</v>
      </c>
      <c r="BJ58" s="72" t="e">
        <f t="shared" ca="1" si="42"/>
        <v>#NAME?</v>
      </c>
      <c r="BK58" s="72"/>
      <c r="BL58" s="72" t="e">
        <f t="shared" ca="1" si="58"/>
        <v>#NAME?</v>
      </c>
      <c r="BM58" s="72" t="e">
        <f t="shared" ca="1" si="59"/>
        <v>#NAME?</v>
      </c>
      <c r="BN58" s="72"/>
      <c r="BO58" s="72" t="e">
        <f t="shared" ca="1" si="60"/>
        <v>#NAME?</v>
      </c>
      <c r="BP58" s="72" t="e">
        <f t="shared" ca="1" si="61"/>
        <v>#NAME?</v>
      </c>
      <c r="BQ58" s="72"/>
      <c r="BR58" s="72" t="e">
        <f t="shared" ca="1" si="62"/>
        <v>#NAME?</v>
      </c>
      <c r="BS58" s="72" t="e">
        <f ca="1">#REF!-BR58</f>
        <v>#REF!</v>
      </c>
    </row>
    <row r="59" spans="1:71" outlineLevel="1" x14ac:dyDescent="0.2">
      <c r="A59" s="82" t="s">
        <v>243</v>
      </c>
      <c r="B59" s="82" t="s">
        <v>273</v>
      </c>
      <c r="D59" s="82" t="s">
        <v>172</v>
      </c>
      <c r="E59" s="74" t="e">
        <f ca="1">GetCtLabel(B59,"CURINIT(AC)!LDESC","#Pensions - defined contribution schemes")</f>
        <v>#NAME?</v>
      </c>
      <c r="F59" s="137"/>
      <c r="G59" s="138"/>
      <c r="H59" s="137"/>
      <c r="I59" s="139"/>
      <c r="J59" s="139"/>
      <c r="K59" s="139"/>
      <c r="L59" s="139"/>
      <c r="M59" s="139"/>
      <c r="N59" s="130"/>
      <c r="O59" s="140">
        <f t="shared" si="43"/>
        <v>0</v>
      </c>
      <c r="P59" s="141">
        <f t="shared" si="36"/>
        <v>0</v>
      </c>
      <c r="Q59" s="141">
        <f t="shared" si="36"/>
        <v>0</v>
      </c>
      <c r="R59" s="133" t="e">
        <f t="shared" ca="1" si="44"/>
        <v>#NAME?</v>
      </c>
      <c r="S59" s="133" t="e">
        <f t="shared" ca="1" si="45"/>
        <v>#NAME?</v>
      </c>
      <c r="T59" s="134" t="e">
        <f t="shared" ca="1" si="46"/>
        <v>#NAME?</v>
      </c>
      <c r="U59" s="134" t="e">
        <f t="shared" ca="1" si="47"/>
        <v>#NAME?</v>
      </c>
      <c r="V59" s="144"/>
      <c r="W59" s="142"/>
      <c r="X59" s="142"/>
      <c r="Y59" s="122"/>
      <c r="Z59" s="135"/>
      <c r="AA59" s="135"/>
      <c r="AB59" s="135">
        <f t="shared" si="33"/>
        <v>0</v>
      </c>
      <c r="AC59" s="135">
        <f t="shared" si="48"/>
        <v>0</v>
      </c>
      <c r="AD59" s="122"/>
      <c r="AE59" s="142" t="e">
        <f ca="1">GetCtData("PKAMOUNT","AMOUNT",$AE$11:$AE$18,$B59:$D59,AE$19:AE$20,"#0")</f>
        <v>#NAME?</v>
      </c>
      <c r="AF59" s="142"/>
      <c r="AG59" s="142" t="e">
        <f t="shared" ca="1" si="63"/>
        <v>#NAME?</v>
      </c>
      <c r="AH59" s="143" t="e">
        <f t="shared" ca="1" si="37"/>
        <v>#NAME?</v>
      </c>
      <c r="AI59" s="128"/>
      <c r="AJ59" s="142" t="e">
        <f t="shared" ca="1" si="38"/>
        <v>#NAME?</v>
      </c>
      <c r="AK59" s="142" t="e">
        <f ca="1">GetCtData("PKAMOUNT","AMOUNT",$AK$11:$AK$18,$B59:$D59,AK$19:AK$20,"#0")</f>
        <v>#NAME?</v>
      </c>
      <c r="AL59" s="143" t="e">
        <f t="shared" ca="1" si="39"/>
        <v>#NAME?</v>
      </c>
      <c r="AM59" s="122"/>
      <c r="AN59" s="142" t="e">
        <f ca="1">GetCtData("PKAMOUNT","AMOUNT",$AN$11:$AN$18,$B59:$D59,AN$19:AN$20,"#0")</f>
        <v>#NAME?</v>
      </c>
      <c r="AO59" s="142" t="e">
        <f ca="1">GetCtData("PKAMOUNT","AMOUNT",$AO$11:$AO$18,$B59:$D59,AO$19:AO$20,"#0")</f>
        <v>#NAME?</v>
      </c>
      <c r="AP59" s="122"/>
      <c r="AQ59" s="142" t="e">
        <f ca="1">GetCtData("PKAMOUNT","AMOUNT",$AQ$11:$AQ$18,$B59:$D59,AQ$19:AQ$20,"#0")</f>
        <v>#NAME?</v>
      </c>
      <c r="AR59" s="142" t="e">
        <f t="shared" ca="1" si="49"/>
        <v>#NAME?</v>
      </c>
      <c r="AS59" s="142"/>
      <c r="AT59" s="142" t="e">
        <f ca="1">GetCtData("PKAMOUNT","AMOUNT",AT$11:AT$18,$B59:$D59,AT$19:AT$20,"#0")</f>
        <v>#NAME?</v>
      </c>
      <c r="AU59" s="142" t="e">
        <f t="shared" ca="1" si="50"/>
        <v>#NAME?</v>
      </c>
      <c r="AV59" s="72"/>
      <c r="AW59" s="72" t="e">
        <f t="shared" ca="1" si="51"/>
        <v>#NAME?</v>
      </c>
      <c r="AX59" s="72" t="e">
        <f t="shared" ca="1" si="52"/>
        <v>#NAME?</v>
      </c>
      <c r="AY59" s="72"/>
      <c r="AZ59" s="72" t="e">
        <f t="shared" ca="1" si="53"/>
        <v>#NAME?</v>
      </c>
      <c r="BA59" s="72" t="e">
        <f t="shared" ca="1" si="54"/>
        <v>#NAME?</v>
      </c>
      <c r="BB59" s="72"/>
      <c r="BC59" s="72" t="e">
        <f t="shared" ca="1" si="55"/>
        <v>#NAME?</v>
      </c>
      <c r="BD59" s="72" t="e">
        <f t="shared" ca="1" si="40"/>
        <v>#NAME?</v>
      </c>
      <c r="BE59" s="72"/>
      <c r="BF59" s="72" t="e">
        <f t="shared" ca="1" si="56"/>
        <v>#NAME?</v>
      </c>
      <c r="BG59" s="72" t="e">
        <f t="shared" ca="1" si="41"/>
        <v>#NAME?</v>
      </c>
      <c r="BH59" s="72"/>
      <c r="BI59" s="72" t="e">
        <f t="shared" ca="1" si="57"/>
        <v>#NAME?</v>
      </c>
      <c r="BJ59" s="72" t="e">
        <f t="shared" ca="1" si="42"/>
        <v>#NAME?</v>
      </c>
      <c r="BK59" s="72"/>
      <c r="BL59" s="72" t="e">
        <f t="shared" ca="1" si="58"/>
        <v>#NAME?</v>
      </c>
      <c r="BM59" s="72" t="e">
        <f t="shared" ca="1" si="59"/>
        <v>#NAME?</v>
      </c>
      <c r="BN59" s="72"/>
      <c r="BO59" s="72" t="e">
        <f t="shared" ca="1" si="60"/>
        <v>#NAME?</v>
      </c>
      <c r="BP59" s="72" t="e">
        <f t="shared" ca="1" si="61"/>
        <v>#NAME?</v>
      </c>
      <c r="BQ59" s="72"/>
      <c r="BR59" s="72" t="e">
        <f t="shared" ca="1" si="62"/>
        <v>#NAME?</v>
      </c>
      <c r="BS59" s="72" t="e">
        <f ca="1">#REF!-BR59</f>
        <v>#REF!</v>
      </c>
    </row>
    <row r="60" spans="1:71" x14ac:dyDescent="0.2">
      <c r="A60" s="82" t="s">
        <v>243</v>
      </c>
      <c r="B60" s="82" t="s">
        <v>274</v>
      </c>
      <c r="D60" s="82" t="s">
        <v>172</v>
      </c>
      <c r="E60" s="74" t="e">
        <f ca="1">GetCtLabel(B60,"CURINIT(AC)!LDESC","#Recruitment costs")</f>
        <v>#NAME?</v>
      </c>
      <c r="F60" s="145">
        <f>-3+18</f>
        <v>15</v>
      </c>
      <c r="G60" s="138"/>
      <c r="H60" s="137"/>
      <c r="I60" s="145"/>
      <c r="J60" s="139"/>
      <c r="K60" s="139">
        <v>15</v>
      </c>
      <c r="L60" s="139"/>
      <c r="M60" s="139"/>
      <c r="N60" s="130"/>
      <c r="O60" s="140">
        <f>SUM(F60:M60)</f>
        <v>30</v>
      </c>
      <c r="P60" s="141">
        <f t="shared" si="36"/>
        <v>-15</v>
      </c>
      <c r="Q60" s="141">
        <f t="shared" si="36"/>
        <v>0</v>
      </c>
      <c r="R60" s="133" t="e">
        <f t="shared" ca="1" si="44"/>
        <v>#NAME?</v>
      </c>
      <c r="S60" s="133" t="e">
        <f t="shared" ca="1" si="45"/>
        <v>#NAME?</v>
      </c>
      <c r="T60" s="134" t="e">
        <f t="shared" ca="1" si="46"/>
        <v>#NAME?</v>
      </c>
      <c r="U60" s="134" t="e">
        <f t="shared" ca="1" si="47"/>
        <v>#NAME?</v>
      </c>
      <c r="V60" s="144"/>
      <c r="W60" s="142"/>
      <c r="X60" s="142"/>
      <c r="Y60" s="122"/>
      <c r="Z60" s="135">
        <f>10+4</f>
        <v>14</v>
      </c>
      <c r="AA60" s="135"/>
      <c r="AB60" s="135">
        <f>Z60+AA60</f>
        <v>14</v>
      </c>
      <c r="AC60" s="135">
        <f t="shared" si="48"/>
        <v>16</v>
      </c>
      <c r="AD60" s="122"/>
      <c r="AE60" s="142" t="e">
        <f ca="1">GetCtData("PKAMOUNT","AMOUNT",$AE$11:$AE$18,$B60:$D60,AE$19:AE$20,"#30")</f>
        <v>#NAME?</v>
      </c>
      <c r="AF60" s="142"/>
      <c r="AG60" s="142" t="e">
        <f t="shared" ca="1" si="63"/>
        <v>#NAME?</v>
      </c>
      <c r="AH60" s="143" t="e">
        <f t="shared" ca="1" si="37"/>
        <v>#NAME?</v>
      </c>
      <c r="AI60" s="128"/>
      <c r="AJ60" s="142" t="e">
        <f t="shared" ca="1" si="38"/>
        <v>#NAME?</v>
      </c>
      <c r="AK60" s="142" t="e">
        <f ca="1">GetCtData("PKAMOUNT","AMOUNT",$AK$11:$AK$18,$B60:$D60,AK$19:AK$20,"#5")</f>
        <v>#NAME?</v>
      </c>
      <c r="AL60" s="143" t="e">
        <f t="shared" ca="1" si="39"/>
        <v>#NAME?</v>
      </c>
      <c r="AM60" s="122"/>
      <c r="AN60" s="142" t="e">
        <f ca="1">GetCtData("PKAMOUNT","AMOUNT",$AN$11:$AN$18,$B60:$D60,AN$19:AN$20,"#11")</f>
        <v>#NAME?</v>
      </c>
      <c r="AO60" s="142" t="e">
        <f ca="1">GetCtData("PKAMOUNT","AMOUNT",$AO$11:$AO$18,$B60:$D60,AO$19:AO$20,"#25")</f>
        <v>#NAME?</v>
      </c>
      <c r="AP60" s="122"/>
      <c r="AQ60" s="142" t="e">
        <f ca="1">GetCtData("PKAMOUNT","AMOUNT",$AQ$11:$AQ$18,$B60:$D60,AQ$19:AQ$20,"#26")</f>
        <v>#NAME?</v>
      </c>
      <c r="AR60" s="142" t="e">
        <f t="shared" ca="1" si="49"/>
        <v>#NAME?</v>
      </c>
      <c r="AS60" s="142"/>
      <c r="AT60" s="142" t="e">
        <f ca="1">GetCtData("PKAMOUNT","AMOUNT",AT$11:AT$18,$B60:$D60,AT$19:AT$20,"#22")</f>
        <v>#NAME?</v>
      </c>
      <c r="AU60" s="142" t="e">
        <f t="shared" ca="1" si="50"/>
        <v>#NAME?</v>
      </c>
      <c r="AV60" s="72"/>
      <c r="AW60" s="72" t="e">
        <f t="shared" ca="1" si="51"/>
        <v>#NAME?</v>
      </c>
      <c r="AX60" s="72" t="e">
        <f t="shared" ca="1" si="52"/>
        <v>#NAME?</v>
      </c>
      <c r="AY60" s="72"/>
      <c r="AZ60" s="72" t="e">
        <f t="shared" ca="1" si="53"/>
        <v>#NAME?</v>
      </c>
      <c r="BA60" s="72" t="e">
        <f t="shared" ca="1" si="54"/>
        <v>#NAME?</v>
      </c>
      <c r="BB60" s="72"/>
      <c r="BC60" s="72" t="e">
        <f t="shared" ca="1" si="55"/>
        <v>#NAME?</v>
      </c>
      <c r="BD60" s="72" t="e">
        <f t="shared" ca="1" si="40"/>
        <v>#NAME?</v>
      </c>
      <c r="BE60" s="72"/>
      <c r="BF60" s="72" t="e">
        <f t="shared" ca="1" si="56"/>
        <v>#NAME?</v>
      </c>
      <c r="BG60" s="72" t="e">
        <f t="shared" ca="1" si="41"/>
        <v>#NAME?</v>
      </c>
      <c r="BH60" s="72"/>
      <c r="BI60" s="72" t="e">
        <f t="shared" ca="1" si="57"/>
        <v>#NAME?</v>
      </c>
      <c r="BJ60" s="72" t="e">
        <f t="shared" ca="1" si="42"/>
        <v>#NAME?</v>
      </c>
      <c r="BK60" s="72"/>
      <c r="BL60" s="72" t="e">
        <f t="shared" ca="1" si="58"/>
        <v>#NAME?</v>
      </c>
      <c r="BM60" s="72" t="e">
        <f t="shared" ca="1" si="59"/>
        <v>#NAME?</v>
      </c>
      <c r="BN60" s="72"/>
      <c r="BO60" s="72" t="e">
        <f t="shared" ca="1" si="60"/>
        <v>#NAME?</v>
      </c>
      <c r="BP60" s="72" t="e">
        <f t="shared" ca="1" si="61"/>
        <v>#NAME?</v>
      </c>
      <c r="BQ60" s="72"/>
      <c r="BR60" s="72" t="e">
        <f t="shared" ca="1" si="62"/>
        <v>#NAME?</v>
      </c>
      <c r="BS60" s="72" t="e">
        <f ca="1">#REF!-BR60</f>
        <v>#REF!</v>
      </c>
    </row>
    <row r="61" spans="1:71" collapsed="1" x14ac:dyDescent="0.2">
      <c r="A61" s="82" t="s">
        <v>243</v>
      </c>
      <c r="B61" s="82" t="s">
        <v>275</v>
      </c>
      <c r="D61" s="82" t="s">
        <v>172</v>
      </c>
      <c r="E61" s="74" t="e">
        <f ca="1">GetCtLabel(B61,"CURINIT(AC)!LDESC","#Pensions - defined benefit schemes")</f>
        <v>#NAME?</v>
      </c>
      <c r="F61" s="137">
        <v>48</v>
      </c>
      <c r="G61" s="138"/>
      <c r="H61" s="137"/>
      <c r="I61" s="139"/>
      <c r="J61" s="139"/>
      <c r="K61" s="139">
        <v>-7</v>
      </c>
      <c r="L61" s="139"/>
      <c r="M61" s="139"/>
      <c r="N61" s="130"/>
      <c r="O61" s="140">
        <f t="shared" si="43"/>
        <v>41</v>
      </c>
      <c r="P61" s="141">
        <f t="shared" si="36"/>
        <v>7</v>
      </c>
      <c r="Q61" s="141">
        <f t="shared" si="36"/>
        <v>0</v>
      </c>
      <c r="R61" s="133" t="e">
        <f t="shared" ca="1" si="44"/>
        <v>#NAME?</v>
      </c>
      <c r="S61" s="133" t="e">
        <f t="shared" ca="1" si="45"/>
        <v>#NAME?</v>
      </c>
      <c r="T61" s="134" t="e">
        <f t="shared" ca="1" si="46"/>
        <v>#NAME?</v>
      </c>
      <c r="U61" s="134" t="e">
        <f t="shared" ca="1" si="47"/>
        <v>#NAME?</v>
      </c>
      <c r="V61" s="144"/>
      <c r="W61" s="142"/>
      <c r="X61" s="142"/>
      <c r="Y61" s="122"/>
      <c r="Z61" s="135">
        <f>16+5</f>
        <v>21</v>
      </c>
      <c r="AA61" s="135"/>
      <c r="AB61" s="135">
        <f t="shared" si="33"/>
        <v>21</v>
      </c>
      <c r="AC61" s="135">
        <f t="shared" si="48"/>
        <v>20</v>
      </c>
      <c r="AD61" s="122"/>
      <c r="AE61" s="142" t="e">
        <f ca="1">GetCtData("PKAMOUNT","AMOUNT",$AE$11:$AE$18,$B61:$D61,AE$19:AE$20,"#41")</f>
        <v>#NAME?</v>
      </c>
      <c r="AF61" s="142"/>
      <c r="AG61" s="142" t="e">
        <f t="shared" ca="1" si="63"/>
        <v>#NAME?</v>
      </c>
      <c r="AH61" s="143" t="e">
        <f t="shared" ca="1" si="37"/>
        <v>#NAME?</v>
      </c>
      <c r="AI61" s="128"/>
      <c r="AJ61" s="142" t="e">
        <f t="shared" ca="1" si="38"/>
        <v>#NAME?</v>
      </c>
      <c r="AK61" s="142" t="e">
        <f ca="1">GetCtData("PKAMOUNT","AMOUNT",$AK$11:$AK$18,$B61:$D61,AK$19:AK$20,"#6")</f>
        <v>#NAME?</v>
      </c>
      <c r="AL61" s="143" t="e">
        <f t="shared" ca="1" si="39"/>
        <v>#NAME?</v>
      </c>
      <c r="AM61" s="122"/>
      <c r="AN61" s="142" t="e">
        <f ca="1">GetCtData("PKAMOUNT","AMOUNT",$AN$11:$AN$18,$B61:$D61,AN$19:AN$20,"#6")</f>
        <v>#NAME?</v>
      </c>
      <c r="AO61" s="142" t="e">
        <f ca="1">GetCtData("PKAMOUNT","AMOUNT",$AO$11:$AO$18,$B61:$D61,AO$19:AO$20,"#35")</f>
        <v>#NAME?</v>
      </c>
      <c r="AP61" s="122"/>
      <c r="AQ61" s="142" t="e">
        <f ca="1">GetCtData("PKAMOUNT","AMOUNT",$AQ$11:$AQ$18,$B61:$D61,AQ$19:AQ$20,"#30")</f>
        <v>#NAME?</v>
      </c>
      <c r="AR61" s="142" t="e">
        <f t="shared" ca="1" si="49"/>
        <v>#NAME?</v>
      </c>
      <c r="AS61" s="142"/>
      <c r="AT61" s="142" t="e">
        <f ca="1">GetCtData("PKAMOUNT","AMOUNT",AT$11:AT$18,$B61:$D61,AT$19:AT$20,"#29")</f>
        <v>#NAME?</v>
      </c>
      <c r="AU61" s="142" t="e">
        <f t="shared" ca="1" si="50"/>
        <v>#NAME?</v>
      </c>
      <c r="AV61" s="72"/>
      <c r="AW61" s="72" t="e">
        <f t="shared" ca="1" si="51"/>
        <v>#NAME?</v>
      </c>
      <c r="AX61" s="72" t="e">
        <f t="shared" ca="1" si="52"/>
        <v>#NAME?</v>
      </c>
      <c r="AY61" s="72"/>
      <c r="AZ61" s="72" t="e">
        <f t="shared" ca="1" si="53"/>
        <v>#NAME?</v>
      </c>
      <c r="BA61" s="72" t="e">
        <f t="shared" ca="1" si="54"/>
        <v>#NAME?</v>
      </c>
      <c r="BB61" s="72"/>
      <c r="BC61" s="72" t="e">
        <f t="shared" ca="1" si="55"/>
        <v>#NAME?</v>
      </c>
      <c r="BD61" s="72" t="e">
        <f t="shared" ca="1" si="40"/>
        <v>#NAME?</v>
      </c>
      <c r="BE61" s="72"/>
      <c r="BF61" s="72" t="e">
        <f t="shared" ca="1" si="56"/>
        <v>#NAME?</v>
      </c>
      <c r="BG61" s="72" t="e">
        <f t="shared" ca="1" si="41"/>
        <v>#NAME?</v>
      </c>
      <c r="BH61" s="72"/>
      <c r="BI61" s="72" t="e">
        <f t="shared" ca="1" si="57"/>
        <v>#NAME?</v>
      </c>
      <c r="BJ61" s="72" t="e">
        <f t="shared" ca="1" si="42"/>
        <v>#NAME?</v>
      </c>
      <c r="BK61" s="72"/>
      <c r="BL61" s="72" t="e">
        <f t="shared" ca="1" si="58"/>
        <v>#NAME?</v>
      </c>
      <c r="BM61" s="72" t="e">
        <f t="shared" ca="1" si="59"/>
        <v>#NAME?</v>
      </c>
      <c r="BN61" s="72"/>
      <c r="BO61" s="72" t="e">
        <f t="shared" ca="1" si="60"/>
        <v>#NAME?</v>
      </c>
      <c r="BP61" s="72" t="e">
        <f t="shared" ca="1" si="61"/>
        <v>#NAME?</v>
      </c>
      <c r="BQ61" s="72"/>
      <c r="BR61" s="72" t="e">
        <f t="shared" ca="1" si="62"/>
        <v>#NAME?</v>
      </c>
      <c r="BS61" s="72" t="e">
        <f ca="1">#REF!-BR61</f>
        <v>#REF!</v>
      </c>
    </row>
    <row r="62" spans="1:71" outlineLevel="1" x14ac:dyDescent="0.2">
      <c r="A62" s="82" t="s">
        <v>243</v>
      </c>
      <c r="B62" s="82" t="s">
        <v>276</v>
      </c>
      <c r="D62" s="82" t="s">
        <v>172</v>
      </c>
      <c r="E62" s="74" t="e">
        <f ca="1">GetCtLabel(B62,"CURINIT(AC)!LDESC","#Other IAS 19 Plans - Service cost")</f>
        <v>#NAME?</v>
      </c>
      <c r="F62" s="137"/>
      <c r="G62" s="138"/>
      <c r="H62" s="137"/>
      <c r="I62" s="139"/>
      <c r="J62" s="139"/>
      <c r="K62" s="139"/>
      <c r="L62" s="139"/>
      <c r="M62" s="139"/>
      <c r="N62" s="130"/>
      <c r="O62" s="140">
        <f t="shared" si="43"/>
        <v>0</v>
      </c>
      <c r="P62" s="141">
        <f t="shared" si="36"/>
        <v>0</v>
      </c>
      <c r="Q62" s="141">
        <f t="shared" si="36"/>
        <v>0</v>
      </c>
      <c r="R62" s="133" t="e">
        <f t="shared" ca="1" si="44"/>
        <v>#NAME?</v>
      </c>
      <c r="S62" s="133" t="e">
        <f t="shared" ca="1" si="45"/>
        <v>#NAME?</v>
      </c>
      <c r="T62" s="134" t="e">
        <f t="shared" ca="1" si="46"/>
        <v>#NAME?</v>
      </c>
      <c r="U62" s="134" t="e">
        <f t="shared" ca="1" si="47"/>
        <v>#NAME?</v>
      </c>
      <c r="V62" s="144"/>
      <c r="W62" s="142"/>
      <c r="X62" s="142"/>
      <c r="Y62" s="122"/>
      <c r="Z62" s="135"/>
      <c r="AA62" s="135"/>
      <c r="AB62" s="135">
        <f t="shared" si="33"/>
        <v>0</v>
      </c>
      <c r="AC62" s="135">
        <f t="shared" si="48"/>
        <v>0</v>
      </c>
      <c r="AD62" s="122"/>
      <c r="AE62" s="142" t="e">
        <f ca="1">GetCtData("PKAMOUNT","AMOUNT",$AE$11:$AE$18,$B62:$D62,AE$19:AE$20,"#0")</f>
        <v>#NAME?</v>
      </c>
      <c r="AF62" s="142"/>
      <c r="AG62" s="142" t="e">
        <f t="shared" ca="1" si="63"/>
        <v>#NAME?</v>
      </c>
      <c r="AH62" s="143" t="e">
        <f t="shared" ca="1" si="37"/>
        <v>#NAME?</v>
      </c>
      <c r="AI62" s="128"/>
      <c r="AJ62" s="142" t="e">
        <f t="shared" ca="1" si="38"/>
        <v>#NAME?</v>
      </c>
      <c r="AK62" s="142" t="e">
        <f ca="1">GetCtData("PKAMOUNT","AMOUNT",$AK$11:$AK$18,$B62:$D62,AK$19:AK$20,"#0")</f>
        <v>#NAME?</v>
      </c>
      <c r="AL62" s="143" t="e">
        <f t="shared" ca="1" si="39"/>
        <v>#NAME?</v>
      </c>
      <c r="AM62" s="122"/>
      <c r="AN62" s="142" t="e">
        <f ca="1">GetCtData("PKAMOUNT","AMOUNT",$AN$11:$AN$18,$B62:$D62,AN$19:AN$20,"#0")</f>
        <v>#NAME?</v>
      </c>
      <c r="AO62" s="142" t="e">
        <f ca="1">GetCtData("PKAMOUNT","AMOUNT",$AO$11:$AO$18,$B62:$D62,AO$19:AO$20,"#0")</f>
        <v>#NAME?</v>
      </c>
      <c r="AP62" s="122"/>
      <c r="AQ62" s="142" t="e">
        <f ca="1">GetCtData("PKAMOUNT","AMOUNT",$AQ$11:$AQ$18,$B62:$D62,AQ$19:AQ$20,"#0")</f>
        <v>#NAME?</v>
      </c>
      <c r="AR62" s="142" t="e">
        <f t="shared" ca="1" si="49"/>
        <v>#NAME?</v>
      </c>
      <c r="AS62" s="142"/>
      <c r="AT62" s="142" t="e">
        <f ca="1">GetCtData("PKAMOUNT","AMOUNT",AT$11:AT$18,$B62:$D62,AT$19:AT$20,"#0")</f>
        <v>#NAME?</v>
      </c>
      <c r="AU62" s="142" t="e">
        <f t="shared" ca="1" si="50"/>
        <v>#NAME?</v>
      </c>
      <c r="AV62" s="72"/>
      <c r="AW62" s="72" t="e">
        <f t="shared" ca="1" si="51"/>
        <v>#NAME?</v>
      </c>
      <c r="AX62" s="72" t="e">
        <f t="shared" ca="1" si="52"/>
        <v>#NAME?</v>
      </c>
      <c r="AY62" s="72"/>
      <c r="AZ62" s="72" t="e">
        <f t="shared" ca="1" si="53"/>
        <v>#NAME?</v>
      </c>
      <c r="BA62" s="72" t="e">
        <f t="shared" ca="1" si="54"/>
        <v>#NAME?</v>
      </c>
      <c r="BB62" s="72"/>
      <c r="BC62" s="72" t="e">
        <f t="shared" ca="1" si="55"/>
        <v>#NAME?</v>
      </c>
      <c r="BD62" s="72" t="e">
        <f t="shared" ca="1" si="40"/>
        <v>#NAME?</v>
      </c>
      <c r="BE62" s="72"/>
      <c r="BF62" s="72" t="e">
        <f t="shared" ca="1" si="56"/>
        <v>#NAME?</v>
      </c>
      <c r="BG62" s="72" t="e">
        <f t="shared" ca="1" si="41"/>
        <v>#NAME?</v>
      </c>
      <c r="BH62" s="72"/>
      <c r="BI62" s="72" t="e">
        <f t="shared" ca="1" si="57"/>
        <v>#NAME?</v>
      </c>
      <c r="BJ62" s="72" t="e">
        <f t="shared" ca="1" si="42"/>
        <v>#NAME?</v>
      </c>
      <c r="BK62" s="72"/>
      <c r="BL62" s="72" t="e">
        <f t="shared" ca="1" si="58"/>
        <v>#NAME?</v>
      </c>
      <c r="BM62" s="72" t="e">
        <f t="shared" ca="1" si="59"/>
        <v>#NAME?</v>
      </c>
      <c r="BN62" s="72"/>
      <c r="BO62" s="72" t="e">
        <f t="shared" ca="1" si="60"/>
        <v>#NAME?</v>
      </c>
      <c r="BP62" s="72" t="e">
        <f t="shared" ca="1" si="61"/>
        <v>#NAME?</v>
      </c>
      <c r="BQ62" s="72"/>
      <c r="BR62" s="72" t="e">
        <f t="shared" ca="1" si="62"/>
        <v>#NAME?</v>
      </c>
      <c r="BS62" s="72" t="e">
        <f ca="1">#REF!-BR62</f>
        <v>#REF!</v>
      </c>
    </row>
    <row r="63" spans="1:71" x14ac:dyDescent="0.2">
      <c r="A63" s="82" t="s">
        <v>243</v>
      </c>
      <c r="B63" s="82" t="s">
        <v>277</v>
      </c>
      <c r="D63" s="82" t="s">
        <v>172</v>
      </c>
      <c r="E63" s="74" t="e">
        <f ca="1">GetCtLabel(B63,"CURINIT(AC)!LDESC","#Severances")</f>
        <v>#NAME?</v>
      </c>
      <c r="F63" s="145">
        <f>56-52</f>
        <v>4</v>
      </c>
      <c r="G63" s="138">
        <f>5-2</f>
        <v>3</v>
      </c>
      <c r="H63" s="137"/>
      <c r="I63" s="145"/>
      <c r="J63" s="139"/>
      <c r="K63" s="139">
        <f>-2+2</f>
        <v>0</v>
      </c>
      <c r="L63" s="139"/>
      <c r="M63" s="139"/>
      <c r="N63" s="130"/>
      <c r="O63" s="140">
        <f>SUM(F63:M63)</f>
        <v>7</v>
      </c>
      <c r="P63" s="141">
        <f t="shared" si="36"/>
        <v>0</v>
      </c>
      <c r="Q63" s="141">
        <f t="shared" si="36"/>
        <v>0</v>
      </c>
      <c r="R63" s="133" t="e">
        <f t="shared" ca="1" si="44"/>
        <v>#NAME?</v>
      </c>
      <c r="S63" s="133" t="e">
        <f t="shared" ca="1" si="45"/>
        <v>#NAME?</v>
      </c>
      <c r="T63" s="134" t="e">
        <f t="shared" ca="1" si="46"/>
        <v>#NAME?</v>
      </c>
      <c r="U63" s="134" t="e">
        <f t="shared" ca="1" si="47"/>
        <v>#NAME?</v>
      </c>
      <c r="V63" s="144"/>
      <c r="W63" s="142"/>
      <c r="X63" s="142"/>
      <c r="Y63" s="122"/>
      <c r="Z63" s="135">
        <f>300+20</f>
        <v>320</v>
      </c>
      <c r="AA63" s="135"/>
      <c r="AB63" s="135">
        <f t="shared" si="33"/>
        <v>320</v>
      </c>
      <c r="AC63" s="135">
        <f t="shared" si="48"/>
        <v>-313</v>
      </c>
      <c r="AD63" s="122"/>
      <c r="AE63" s="142" t="e">
        <f ca="1">GetCtData("PKAMOUNT","AMOUNT",$AE$11:$AE$18,$B63:$D63,AE$19:AE$20,"#7")</f>
        <v>#NAME?</v>
      </c>
      <c r="AF63" s="142"/>
      <c r="AG63" s="142" t="e">
        <f t="shared" ca="1" si="63"/>
        <v>#NAME?</v>
      </c>
      <c r="AH63" s="143" t="e">
        <f t="shared" ca="1" si="37"/>
        <v>#NAME?</v>
      </c>
      <c r="AI63" s="128"/>
      <c r="AJ63" s="142" t="e">
        <f t="shared" ca="1" si="38"/>
        <v>#NAME?</v>
      </c>
      <c r="AK63" s="142" t="e">
        <f ca="1">GetCtData("PKAMOUNT","AMOUNT",$AK$11:$AK$18,$B63:$D63,AK$19:AK$20,"#-59")</f>
        <v>#NAME?</v>
      </c>
      <c r="AL63" s="143" t="e">
        <f t="shared" ca="1" si="39"/>
        <v>#NAME?</v>
      </c>
      <c r="AM63" s="122"/>
      <c r="AN63" s="142" t="e">
        <f ca="1">GetCtData("PKAMOUNT","AMOUNT",$AN$11:$AN$18,$B63:$D63,AN$19:AN$20,"#-42")</f>
        <v>#NAME?</v>
      </c>
      <c r="AO63" s="142" t="e">
        <f ca="1">GetCtData("PKAMOUNT","AMOUNT",$AO$11:$AO$18,$B63:$D63,AO$19:AO$20,"#66")</f>
        <v>#NAME?</v>
      </c>
      <c r="AP63" s="122"/>
      <c r="AQ63" s="142" t="e">
        <f ca="1">GetCtData("PKAMOUNT","AMOUNT",$AQ$11:$AQ$18,$B63:$D63,AQ$19:AQ$20,"#694")</f>
        <v>#NAME?</v>
      </c>
      <c r="AR63" s="142" t="e">
        <f t="shared" ca="1" si="49"/>
        <v>#NAME?</v>
      </c>
      <c r="AS63" s="142"/>
      <c r="AT63" s="142" t="e">
        <f ca="1">GetCtData("PKAMOUNT","AMOUNT",AT$11:AT$18,$B63:$D63,AT$19:AT$20,"#380")</f>
        <v>#NAME?</v>
      </c>
      <c r="AU63" s="142" t="e">
        <f t="shared" ca="1" si="50"/>
        <v>#NAME?</v>
      </c>
      <c r="AV63" s="72"/>
      <c r="AW63" s="72" t="e">
        <f t="shared" ca="1" si="51"/>
        <v>#NAME?</v>
      </c>
      <c r="AX63" s="72" t="e">
        <f t="shared" ca="1" si="52"/>
        <v>#NAME?</v>
      </c>
      <c r="AY63" s="72"/>
      <c r="AZ63" s="72" t="e">
        <f t="shared" ca="1" si="53"/>
        <v>#NAME?</v>
      </c>
      <c r="BA63" s="72" t="e">
        <f t="shared" ca="1" si="54"/>
        <v>#NAME?</v>
      </c>
      <c r="BB63" s="72"/>
      <c r="BC63" s="72" t="e">
        <f t="shared" ca="1" si="55"/>
        <v>#NAME?</v>
      </c>
      <c r="BD63" s="72" t="e">
        <f t="shared" ca="1" si="40"/>
        <v>#NAME?</v>
      </c>
      <c r="BE63" s="72"/>
      <c r="BF63" s="72" t="e">
        <f t="shared" ca="1" si="56"/>
        <v>#NAME?</v>
      </c>
      <c r="BG63" s="72" t="e">
        <f t="shared" ca="1" si="41"/>
        <v>#NAME?</v>
      </c>
      <c r="BH63" s="72"/>
      <c r="BI63" s="72" t="e">
        <f t="shared" ca="1" si="57"/>
        <v>#NAME?</v>
      </c>
      <c r="BJ63" s="72" t="e">
        <f t="shared" ca="1" si="42"/>
        <v>#NAME?</v>
      </c>
      <c r="BK63" s="72"/>
      <c r="BL63" s="72" t="e">
        <f t="shared" ca="1" si="58"/>
        <v>#NAME?</v>
      </c>
      <c r="BM63" s="72" t="e">
        <f t="shared" ca="1" si="59"/>
        <v>#NAME?</v>
      </c>
      <c r="BN63" s="72"/>
      <c r="BO63" s="72" t="e">
        <f t="shared" ca="1" si="60"/>
        <v>#NAME?</v>
      </c>
      <c r="BP63" s="72" t="e">
        <f t="shared" ca="1" si="61"/>
        <v>#NAME?</v>
      </c>
      <c r="BQ63" s="72"/>
      <c r="BR63" s="72" t="e">
        <f t="shared" ca="1" si="62"/>
        <v>#NAME?</v>
      </c>
      <c r="BS63" s="72" t="e">
        <f ca="1">#REF!-BR63</f>
        <v>#REF!</v>
      </c>
    </row>
    <row r="64" spans="1:71" x14ac:dyDescent="0.2">
      <c r="A64" s="82" t="s">
        <v>243</v>
      </c>
      <c r="B64" s="82" t="s">
        <v>277</v>
      </c>
      <c r="C64" s="82" t="s">
        <v>278</v>
      </c>
      <c r="D64" s="82" t="s">
        <v>279</v>
      </c>
      <c r="E64" s="74" t="e">
        <f ca="1">GetCtLabel(B64,"CURINIT(AC)!LDESC","#Severances")</f>
        <v>#NAME?</v>
      </c>
      <c r="F64" s="137"/>
      <c r="G64" s="138"/>
      <c r="H64" s="137"/>
      <c r="I64" s="139"/>
      <c r="J64" s="139"/>
      <c r="K64" s="139"/>
      <c r="L64" s="139"/>
      <c r="M64" s="139">
        <v>44</v>
      </c>
      <c r="N64" s="130"/>
      <c r="O64" s="121">
        <f>SUM(F64:M64)</f>
        <v>44</v>
      </c>
      <c r="P64" s="141">
        <f>-M64</f>
        <v>-44</v>
      </c>
      <c r="Q64" s="141">
        <f t="shared" si="36"/>
        <v>0</v>
      </c>
      <c r="R64" s="176" t="e">
        <f ca="1">PutCtData("PKAMOUNT","AMOUNT",R$11:R$14,$B64,$D64,R$17:R$18,$O64)</f>
        <v>#NAME?</v>
      </c>
      <c r="S64" s="176" t="e">
        <f ca="1">PutCtData("PKAMOUNT","AMOUNT",S$11:S$14,$B64:$D64,S$17,$P64)</f>
        <v>#NAME?</v>
      </c>
      <c r="T64" s="134"/>
      <c r="U64" s="134" t="e">
        <f t="shared" ca="1" si="47"/>
        <v>#NAME?</v>
      </c>
      <c r="V64" s="144"/>
      <c r="W64" s="142"/>
      <c r="X64" s="142"/>
      <c r="Y64" s="122"/>
      <c r="Z64" s="135">
        <f>300+20</f>
        <v>320</v>
      </c>
      <c r="AA64" s="135"/>
      <c r="AB64" s="135">
        <f>Z64+AA64</f>
        <v>320</v>
      </c>
      <c r="AC64" s="135">
        <f t="shared" si="48"/>
        <v>-276</v>
      </c>
      <c r="AD64" s="122"/>
      <c r="AE64" s="142" t="e">
        <f ca="1">GetCtData("PKAMOUNT","AMOUNT",$AE$11:$AE$18,$B64,$D64,AE$19:AE$20,"#44")</f>
        <v>#NAME?</v>
      </c>
      <c r="AF64" s="142"/>
      <c r="AG64" s="142" t="e">
        <f t="shared" ca="1" si="63"/>
        <v>#NAME?</v>
      </c>
      <c r="AH64" s="143" t="e">
        <f t="shared" ca="1" si="37"/>
        <v>#NAME?</v>
      </c>
      <c r="AI64" s="128"/>
      <c r="AJ64" s="142" t="e">
        <f t="shared" ca="1" si="38"/>
        <v>#NAME?</v>
      </c>
      <c r="AK64" s="142" t="e">
        <f ca="1">GetCtData("PKAMOUNT","AMOUNT",$AK$11:$AK$18,$B64,$D64,AK$19:AK$20,"#")</f>
        <v>#NAME?</v>
      </c>
      <c r="AL64" s="143" t="e">
        <f t="shared" ca="1" si="39"/>
        <v>#NAME?</v>
      </c>
      <c r="AM64" s="122"/>
      <c r="AN64" s="142" t="e">
        <f ca="1">GetCtData("PKAMOUNT","AMOUNT",$AN$11:$AN$18,$B64,$D64,AN$19:AN$20,"#0")</f>
        <v>#NAME?</v>
      </c>
      <c r="AO64" s="142" t="e">
        <f ca="1">GetCtData("PKAMOUNT","AMOUNT",$AO$11:$AO$18,$B64,$D64,AO$19:AO$20,"#44")</f>
        <v>#NAME?</v>
      </c>
      <c r="AP64" s="122"/>
      <c r="AQ64" s="142" t="e">
        <f ca="1">GetCtData("PKAMOUNT","AMOUNT",$AQ$11:$AQ$18,$B64,$D64,AQ$19:AQ$20,"#")</f>
        <v>#NAME?</v>
      </c>
      <c r="AR64" s="142" t="e">
        <f t="shared" ca="1" si="49"/>
        <v>#NAME?</v>
      </c>
      <c r="AS64" s="142"/>
      <c r="AT64" s="142" t="e">
        <f ca="1">GetCtData("PKAMOUNT","AMOUNT",AT$11:AT$18,$B64:$D64,AT$19:AT$20,"#")</f>
        <v>#NAME?</v>
      </c>
      <c r="AU64" s="142" t="e">
        <f t="shared" ca="1" si="50"/>
        <v>#NAME?</v>
      </c>
      <c r="AV64" s="72"/>
      <c r="AW64" s="72" t="e">
        <f t="shared" ca="1" si="51"/>
        <v>#NAME?</v>
      </c>
      <c r="AX64" s="72" t="e">
        <f t="shared" ca="1" si="52"/>
        <v>#NAME?</v>
      </c>
      <c r="AY64" s="72"/>
      <c r="AZ64" s="72" t="e">
        <f t="shared" ca="1" si="53"/>
        <v>#NAME?</v>
      </c>
      <c r="BA64" s="72" t="e">
        <f t="shared" ca="1" si="54"/>
        <v>#NAME?</v>
      </c>
      <c r="BB64" s="72"/>
      <c r="BC64" s="72" t="e">
        <f t="shared" ca="1" si="55"/>
        <v>#NAME?</v>
      </c>
      <c r="BD64" s="72" t="e">
        <f t="shared" ca="1" si="40"/>
        <v>#NAME?</v>
      </c>
      <c r="BE64" s="72"/>
      <c r="BF64" s="72" t="e">
        <f t="shared" ca="1" si="56"/>
        <v>#NAME?</v>
      </c>
      <c r="BG64" s="72" t="e">
        <f t="shared" ca="1" si="41"/>
        <v>#NAME?</v>
      </c>
      <c r="BH64" s="72"/>
      <c r="BI64" s="72" t="e">
        <f t="shared" ca="1" si="57"/>
        <v>#NAME?</v>
      </c>
      <c r="BJ64" s="72" t="e">
        <f t="shared" ca="1" si="42"/>
        <v>#NAME?</v>
      </c>
      <c r="BK64" s="72"/>
      <c r="BL64" s="72" t="e">
        <f t="shared" ca="1" si="58"/>
        <v>#NAME?</v>
      </c>
      <c r="BM64" s="72" t="e">
        <f t="shared" ca="1" si="59"/>
        <v>#NAME?</v>
      </c>
      <c r="BN64" s="72"/>
      <c r="BO64" s="72" t="e">
        <f t="shared" ca="1" si="60"/>
        <v>#NAME?</v>
      </c>
      <c r="BP64" s="72" t="e">
        <f t="shared" ca="1" si="61"/>
        <v>#NAME?</v>
      </c>
      <c r="BQ64" s="72"/>
      <c r="BR64" s="72" t="e">
        <f t="shared" ca="1" si="62"/>
        <v>#NAME?</v>
      </c>
      <c r="BS64" s="72" t="e">
        <f ca="1">#REF!-BR64</f>
        <v>#REF!</v>
      </c>
    </row>
    <row r="65" spans="1:71" ht="15" x14ac:dyDescent="0.25">
      <c r="A65" s="82" t="s">
        <v>243</v>
      </c>
      <c r="B65" s="82" t="s">
        <v>280</v>
      </c>
      <c r="D65" s="82" t="s">
        <v>172</v>
      </c>
      <c r="E65" s="74" t="e">
        <f ca="1">GetCtLabel(B65,"CURINIT(AC)!LDESC","#Consultants/freelances/temps")</f>
        <v>#NAME?</v>
      </c>
      <c r="F65" s="137">
        <v>174</v>
      </c>
      <c r="G65" s="138"/>
      <c r="H65" s="137"/>
      <c r="I65" s="177"/>
      <c r="J65" s="139"/>
      <c r="K65" s="139">
        <v>-15</v>
      </c>
      <c r="L65" s="139">
        <v>1</v>
      </c>
      <c r="M65" s="139"/>
      <c r="N65" s="130"/>
      <c r="O65" s="140">
        <f t="shared" si="43"/>
        <v>160</v>
      </c>
      <c r="P65" s="141">
        <f t="shared" si="36"/>
        <v>15</v>
      </c>
      <c r="Q65" s="141">
        <f t="shared" si="36"/>
        <v>-1</v>
      </c>
      <c r="R65" s="133" t="e">
        <f t="shared" ref="R65:R77" ca="1" si="64">PutCtData("PKAMOUNT","AMOUNT",R$11:R$14,$B65:$D65,R$17:R$18,$O65)</f>
        <v>#NAME?</v>
      </c>
      <c r="S65" s="133" t="e">
        <f t="shared" ref="S65:S77" ca="1" si="65">PutCtData("PKAMOUNT","AMOUNT",S$11:S$14,$B65:$D65,S$17,$M65)</f>
        <v>#NAME?</v>
      </c>
      <c r="T65" s="134" t="e">
        <f t="shared" ref="T65:T77" ca="1" si="66">PutCtData("PKAMOUNT","AMOUNT",T$11:T$14,$B65:$D65,T$17:T$18,$P65)</f>
        <v>#NAME?</v>
      </c>
      <c r="U65" s="134" t="e">
        <f t="shared" ca="1" si="47"/>
        <v>#NAME?</v>
      </c>
      <c r="V65" s="144"/>
      <c r="W65" s="142"/>
      <c r="X65" s="142"/>
      <c r="Y65" s="122"/>
      <c r="Z65" s="135">
        <f>105+56</f>
        <v>161</v>
      </c>
      <c r="AA65" s="135"/>
      <c r="AB65" s="135">
        <f t="shared" si="33"/>
        <v>161</v>
      </c>
      <c r="AC65" s="135">
        <f t="shared" si="48"/>
        <v>-1</v>
      </c>
      <c r="AD65" s="122"/>
      <c r="AE65" s="142" t="e">
        <f ca="1">GetCtData("PKAMOUNT","AMOUNT",$AE$11:$AE$18,$B65:$D65,AE$19:AE$20,"#161")</f>
        <v>#NAME?</v>
      </c>
      <c r="AF65" s="142"/>
      <c r="AG65" s="142" t="e">
        <f t="shared" ca="1" si="63"/>
        <v>#NAME?</v>
      </c>
      <c r="AH65" s="143" t="e">
        <f t="shared" ca="1" si="37"/>
        <v>#NAME?</v>
      </c>
      <c r="AI65" s="128"/>
      <c r="AJ65" s="142" t="e">
        <f t="shared" ca="1" si="38"/>
        <v>#NAME?</v>
      </c>
      <c r="AK65" s="142" t="e">
        <f ca="1">GetCtData("PKAMOUNT","AMOUNT",$AK$11:$AK$18,$B65:$D65,AK$19:AK$20,"#20")</f>
        <v>#NAME?</v>
      </c>
      <c r="AL65" s="143" t="e">
        <f t="shared" ca="1" si="39"/>
        <v>#NAME?</v>
      </c>
      <c r="AM65" s="122"/>
      <c r="AN65" s="142" t="e">
        <f ca="1">GetCtData("PKAMOUNT","AMOUNT",$AN$11:$AN$18,$B65:$D65,AN$19:AN$20,"#27")</f>
        <v>#NAME?</v>
      </c>
      <c r="AO65" s="142" t="e">
        <f ca="1">GetCtData("PKAMOUNT","AMOUNT",$AO$11:$AO$18,$B65:$D65,AO$19:AO$20,"#141")</f>
        <v>#NAME?</v>
      </c>
      <c r="AP65" s="122"/>
      <c r="AQ65" s="142" t="e">
        <f ca="1">GetCtData("PKAMOUNT","AMOUNT",$AQ$11:$AQ$18,$B65:$D65,AQ$19:AQ$20,"#86")</f>
        <v>#NAME?</v>
      </c>
      <c r="AR65" s="142" t="e">
        <f t="shared" ca="1" si="49"/>
        <v>#NAME?</v>
      </c>
      <c r="AS65" s="142"/>
      <c r="AT65" s="142" t="e">
        <f ca="1">GetCtData("PKAMOUNT","AMOUNT",AT$11:AT$18,$B65:$D65,AT$19:AT$20,"#216")</f>
        <v>#NAME?</v>
      </c>
      <c r="AU65" s="142" t="e">
        <f t="shared" ca="1" si="50"/>
        <v>#NAME?</v>
      </c>
      <c r="AV65" s="72"/>
      <c r="AW65" s="72" t="e">
        <f t="shared" ca="1" si="51"/>
        <v>#NAME?</v>
      </c>
      <c r="AX65" s="72" t="e">
        <f t="shared" ca="1" si="52"/>
        <v>#NAME?</v>
      </c>
      <c r="AY65" s="72"/>
      <c r="AZ65" s="72" t="e">
        <f t="shared" ca="1" si="53"/>
        <v>#NAME?</v>
      </c>
      <c r="BA65" s="72" t="e">
        <f t="shared" ca="1" si="54"/>
        <v>#NAME?</v>
      </c>
      <c r="BB65" s="72"/>
      <c r="BC65" s="72" t="e">
        <f t="shared" ca="1" si="55"/>
        <v>#NAME?</v>
      </c>
      <c r="BD65" s="72" t="e">
        <f t="shared" ca="1" si="40"/>
        <v>#NAME?</v>
      </c>
      <c r="BE65" s="72"/>
      <c r="BF65" s="72" t="e">
        <f t="shared" ca="1" si="56"/>
        <v>#NAME?</v>
      </c>
      <c r="BG65" s="72" t="e">
        <f t="shared" ca="1" si="41"/>
        <v>#NAME?</v>
      </c>
      <c r="BH65" s="72"/>
      <c r="BI65" s="72" t="e">
        <f t="shared" ca="1" si="57"/>
        <v>#NAME?</v>
      </c>
      <c r="BJ65" s="72" t="e">
        <f t="shared" ca="1" si="42"/>
        <v>#NAME?</v>
      </c>
      <c r="BK65" s="72"/>
      <c r="BL65" s="72" t="e">
        <f t="shared" ca="1" si="58"/>
        <v>#NAME?</v>
      </c>
      <c r="BM65" s="72" t="e">
        <f t="shared" ca="1" si="59"/>
        <v>#NAME?</v>
      </c>
      <c r="BN65" s="72"/>
      <c r="BO65" s="72" t="e">
        <f t="shared" ca="1" si="60"/>
        <v>#NAME?</v>
      </c>
      <c r="BP65" s="72" t="e">
        <f t="shared" ca="1" si="61"/>
        <v>#NAME?</v>
      </c>
      <c r="BQ65" s="72"/>
      <c r="BR65" s="72" t="e">
        <f t="shared" ca="1" si="62"/>
        <v>#NAME?</v>
      </c>
      <c r="BS65" s="72" t="e">
        <f ca="1">#REF!-BR65</f>
        <v>#REF!</v>
      </c>
    </row>
    <row r="66" spans="1:71" outlineLevel="2" x14ac:dyDescent="0.2">
      <c r="A66" s="82" t="s">
        <v>243</v>
      </c>
      <c r="B66" s="82" t="s">
        <v>281</v>
      </c>
      <c r="D66" s="82" t="s">
        <v>172</v>
      </c>
      <c r="E66" s="74" t="e">
        <f ca="1">GetCtLabel(B66,"CURINIT(AC)!LDESC","#Short-term incentive bonus")</f>
        <v>#NAME?</v>
      </c>
      <c r="F66" s="137"/>
      <c r="G66" s="138"/>
      <c r="H66" s="137"/>
      <c r="I66" s="139"/>
      <c r="J66" s="139"/>
      <c r="K66" s="139"/>
      <c r="L66" s="139"/>
      <c r="M66" s="139"/>
      <c r="N66" s="130"/>
      <c r="O66" s="140">
        <f t="shared" si="43"/>
        <v>0</v>
      </c>
      <c r="P66" s="141">
        <f t="shared" si="36"/>
        <v>0</v>
      </c>
      <c r="Q66" s="141">
        <f t="shared" si="36"/>
        <v>0</v>
      </c>
      <c r="R66" s="133" t="e">
        <f t="shared" ca="1" si="64"/>
        <v>#NAME?</v>
      </c>
      <c r="S66" s="133" t="e">
        <f t="shared" ca="1" si="65"/>
        <v>#NAME?</v>
      </c>
      <c r="T66" s="134" t="e">
        <f t="shared" ca="1" si="66"/>
        <v>#NAME?</v>
      </c>
      <c r="U66" s="134" t="e">
        <f t="shared" ca="1" si="47"/>
        <v>#NAME?</v>
      </c>
      <c r="V66" s="144"/>
      <c r="W66" s="142"/>
      <c r="X66" s="142"/>
      <c r="Y66" s="122"/>
      <c r="Z66" s="135"/>
      <c r="AA66" s="135"/>
      <c r="AB66" s="135">
        <f t="shared" si="33"/>
        <v>0</v>
      </c>
      <c r="AC66" s="135">
        <f t="shared" si="48"/>
        <v>0</v>
      </c>
      <c r="AD66" s="122"/>
      <c r="AE66" s="142" t="e">
        <f ca="1">GetCtData("PKAMOUNT","AMOUNT",$AE$11:$AE$18,$B66:$D66,AE$19:AE$20,"#0")</f>
        <v>#NAME?</v>
      </c>
      <c r="AF66" s="142"/>
      <c r="AG66" s="142" t="e">
        <f t="shared" ca="1" si="63"/>
        <v>#NAME?</v>
      </c>
      <c r="AH66" s="143" t="e">
        <f t="shared" ca="1" si="37"/>
        <v>#NAME?</v>
      </c>
      <c r="AI66" s="128"/>
      <c r="AJ66" s="142" t="e">
        <f t="shared" ca="1" si="38"/>
        <v>#NAME?</v>
      </c>
      <c r="AK66" s="142" t="e">
        <f ca="1">GetCtData("PKAMOUNT","AMOUNT",$AK$11:$AK$18,$B66:$D66,AK$19:AK$20,"#0")</f>
        <v>#NAME?</v>
      </c>
      <c r="AL66" s="143" t="e">
        <f t="shared" ca="1" si="39"/>
        <v>#NAME?</v>
      </c>
      <c r="AM66" s="122"/>
      <c r="AN66" s="142" t="e">
        <f ca="1">GetCtData("PKAMOUNT","AMOUNT",$AN$11:$AN$18,$B66:$D66,AN$19:AN$20,"#0")</f>
        <v>#NAME?</v>
      </c>
      <c r="AO66" s="142" t="e">
        <f ca="1">GetCtData("PKAMOUNT","AMOUNT",$AO$11:$AO$18,$B66:$D66,AO$19:AO$20,"#0")</f>
        <v>#NAME?</v>
      </c>
      <c r="AP66" s="122"/>
      <c r="AQ66" s="142" t="e">
        <f ca="1">GetCtData("PKAMOUNT","AMOUNT",$AQ$11:$AQ$18,$B66:$D66,AQ$19:AQ$20,"#0")</f>
        <v>#NAME?</v>
      </c>
      <c r="AR66" s="142" t="e">
        <f t="shared" ca="1" si="49"/>
        <v>#NAME?</v>
      </c>
      <c r="AS66" s="142"/>
      <c r="AT66" s="142" t="e">
        <f ca="1">GetCtData("PKAMOUNT","AMOUNT",AT$11:AT$18,$B66:$D66,AT$19:AT$20,"#0")</f>
        <v>#NAME?</v>
      </c>
      <c r="AU66" s="142" t="e">
        <f t="shared" ca="1" si="50"/>
        <v>#NAME?</v>
      </c>
      <c r="AV66" s="72"/>
      <c r="AW66" s="72" t="e">
        <f t="shared" ca="1" si="51"/>
        <v>#NAME?</v>
      </c>
      <c r="AX66" s="72" t="e">
        <f t="shared" ca="1" si="52"/>
        <v>#NAME?</v>
      </c>
      <c r="AY66" s="72"/>
      <c r="AZ66" s="72" t="e">
        <f t="shared" ca="1" si="53"/>
        <v>#NAME?</v>
      </c>
      <c r="BA66" s="72" t="e">
        <f t="shared" ca="1" si="54"/>
        <v>#NAME?</v>
      </c>
      <c r="BB66" s="72"/>
      <c r="BC66" s="72" t="e">
        <f t="shared" ca="1" si="55"/>
        <v>#NAME?</v>
      </c>
      <c r="BD66" s="72" t="e">
        <f t="shared" ca="1" si="40"/>
        <v>#NAME?</v>
      </c>
      <c r="BE66" s="72"/>
      <c r="BF66" s="72" t="e">
        <f t="shared" ca="1" si="56"/>
        <v>#NAME?</v>
      </c>
      <c r="BG66" s="72" t="e">
        <f t="shared" ca="1" si="41"/>
        <v>#NAME?</v>
      </c>
      <c r="BH66" s="72"/>
      <c r="BI66" s="72" t="e">
        <f t="shared" ca="1" si="57"/>
        <v>#NAME?</v>
      </c>
      <c r="BJ66" s="72" t="e">
        <f t="shared" ca="1" si="42"/>
        <v>#NAME?</v>
      </c>
      <c r="BK66" s="72"/>
      <c r="BL66" s="72" t="e">
        <f t="shared" ca="1" si="58"/>
        <v>#NAME?</v>
      </c>
      <c r="BM66" s="72" t="e">
        <f t="shared" ca="1" si="59"/>
        <v>#NAME?</v>
      </c>
      <c r="BN66" s="72"/>
      <c r="BO66" s="72" t="e">
        <f t="shared" ca="1" si="60"/>
        <v>#NAME?</v>
      </c>
      <c r="BP66" s="72" t="e">
        <f t="shared" ca="1" si="61"/>
        <v>#NAME?</v>
      </c>
      <c r="BQ66" s="72"/>
      <c r="BR66" s="72" t="e">
        <f t="shared" ca="1" si="62"/>
        <v>#NAME?</v>
      </c>
      <c r="BS66" s="72" t="e">
        <f ca="1">#REF!-BR66</f>
        <v>#REF!</v>
      </c>
    </row>
    <row r="67" spans="1:71" outlineLevel="2" x14ac:dyDescent="0.2">
      <c r="A67" s="82" t="s">
        <v>243</v>
      </c>
      <c r="B67" s="82" t="s">
        <v>282</v>
      </c>
      <c r="D67" s="82" t="s">
        <v>172</v>
      </c>
      <c r="E67" s="74" t="e">
        <f ca="1">GetCtLabel(B67,"CURINIT(AC)!LDESC","#Performance Stock Awards (PSA)")</f>
        <v>#NAME?</v>
      </c>
      <c r="F67" s="137"/>
      <c r="G67" s="138"/>
      <c r="H67" s="137"/>
      <c r="I67" s="139"/>
      <c r="J67" s="139"/>
      <c r="K67" s="139"/>
      <c r="L67" s="139"/>
      <c r="M67" s="139"/>
      <c r="N67" s="130"/>
      <c r="O67" s="140">
        <f t="shared" si="43"/>
        <v>0</v>
      </c>
      <c r="P67" s="141">
        <f t="shared" si="36"/>
        <v>0</v>
      </c>
      <c r="Q67" s="141">
        <f t="shared" si="36"/>
        <v>0</v>
      </c>
      <c r="R67" s="133" t="e">
        <f t="shared" ca="1" si="64"/>
        <v>#NAME?</v>
      </c>
      <c r="S67" s="133" t="e">
        <f t="shared" ca="1" si="65"/>
        <v>#NAME?</v>
      </c>
      <c r="T67" s="134" t="e">
        <f t="shared" ca="1" si="66"/>
        <v>#NAME?</v>
      </c>
      <c r="U67" s="134" t="e">
        <f t="shared" ca="1" si="47"/>
        <v>#NAME?</v>
      </c>
      <c r="V67" s="144"/>
      <c r="W67" s="142"/>
      <c r="X67" s="142"/>
      <c r="Y67" s="122"/>
      <c r="Z67" s="135"/>
      <c r="AA67" s="135"/>
      <c r="AB67" s="135">
        <f t="shared" si="33"/>
        <v>0</v>
      </c>
      <c r="AC67" s="135">
        <f t="shared" si="48"/>
        <v>0</v>
      </c>
      <c r="AD67" s="122"/>
      <c r="AE67" s="142" t="e">
        <f ca="1">GetCtData("PKAMOUNT","AMOUNT",$AE$11:$AE$18,$B67:$D67,AE$19:AE$20,"#")</f>
        <v>#NAME?</v>
      </c>
      <c r="AF67" s="142"/>
      <c r="AG67" s="142" t="e">
        <f t="shared" ca="1" si="63"/>
        <v>#NAME?</v>
      </c>
      <c r="AH67" s="143" t="e">
        <f t="shared" ca="1" si="37"/>
        <v>#NAME?</v>
      </c>
      <c r="AI67" s="128"/>
      <c r="AJ67" s="142" t="e">
        <f t="shared" ca="1" si="38"/>
        <v>#NAME?</v>
      </c>
      <c r="AK67" s="142" t="e">
        <f ca="1">GetCtData("PKAMOUNT","AMOUNT",$AK$11:$AK$18,$B67:$D67,AK$19:AK$20,"#")</f>
        <v>#NAME?</v>
      </c>
      <c r="AL67" s="143" t="e">
        <f t="shared" ca="1" si="39"/>
        <v>#NAME?</v>
      </c>
      <c r="AM67" s="122"/>
      <c r="AN67" s="142" t="e">
        <f ca="1">GetCtData("PKAMOUNT","AMOUNT",$AN$11:$AN$18,$B67:$D67,AN$19:AN$20,"#")</f>
        <v>#NAME?</v>
      </c>
      <c r="AO67" s="142" t="e">
        <f ca="1">GetCtData("PKAMOUNT","AMOUNT",$AO$11:$AO$18,$B67:$D67,AO$19:AO$20,"#")</f>
        <v>#NAME?</v>
      </c>
      <c r="AP67" s="122"/>
      <c r="AQ67" s="142" t="e">
        <f ca="1">GetCtData("PKAMOUNT","AMOUNT",$AQ$11:$AQ$18,$B67:$D67,AQ$19:AQ$20,"#")</f>
        <v>#NAME?</v>
      </c>
      <c r="AR67" s="142" t="e">
        <f t="shared" ca="1" si="49"/>
        <v>#NAME?</v>
      </c>
      <c r="AS67" s="142"/>
      <c r="AT67" s="142" t="e">
        <f ca="1">GetCtData("PKAMOUNT","AMOUNT",AT$11:AT$18,$B67:$D67,AT$19:AT$20,"#")</f>
        <v>#NAME?</v>
      </c>
      <c r="AU67" s="142" t="e">
        <f t="shared" ca="1" si="50"/>
        <v>#NAME?</v>
      </c>
      <c r="AV67" s="72"/>
      <c r="AW67" s="72" t="e">
        <f t="shared" ca="1" si="51"/>
        <v>#NAME?</v>
      </c>
      <c r="AX67" s="72" t="e">
        <f t="shared" ca="1" si="52"/>
        <v>#NAME?</v>
      </c>
      <c r="AY67" s="72"/>
      <c r="AZ67" s="72" t="e">
        <f t="shared" ca="1" si="53"/>
        <v>#NAME?</v>
      </c>
      <c r="BA67" s="72" t="e">
        <f t="shared" ca="1" si="54"/>
        <v>#NAME?</v>
      </c>
      <c r="BB67" s="72"/>
      <c r="BC67" s="72" t="e">
        <f t="shared" ca="1" si="55"/>
        <v>#NAME?</v>
      </c>
      <c r="BD67" s="72" t="e">
        <f t="shared" ca="1" si="40"/>
        <v>#NAME?</v>
      </c>
      <c r="BE67" s="72"/>
      <c r="BF67" s="72" t="e">
        <f t="shared" ca="1" si="56"/>
        <v>#NAME?</v>
      </c>
      <c r="BG67" s="72" t="e">
        <f t="shared" ca="1" si="41"/>
        <v>#NAME?</v>
      </c>
      <c r="BH67" s="72"/>
      <c r="BI67" s="72" t="e">
        <f t="shared" ca="1" si="57"/>
        <v>#NAME?</v>
      </c>
      <c r="BJ67" s="72" t="e">
        <f t="shared" ca="1" si="42"/>
        <v>#NAME?</v>
      </c>
      <c r="BK67" s="72"/>
      <c r="BL67" s="72" t="e">
        <f t="shared" ca="1" si="58"/>
        <v>#NAME?</v>
      </c>
      <c r="BM67" s="72" t="e">
        <f t="shared" ca="1" si="59"/>
        <v>#NAME?</v>
      </c>
      <c r="BN67" s="72"/>
      <c r="BO67" s="72" t="e">
        <f t="shared" ca="1" si="60"/>
        <v>#NAME?</v>
      </c>
      <c r="BP67" s="72" t="e">
        <f t="shared" ca="1" si="61"/>
        <v>#NAME?</v>
      </c>
      <c r="BQ67" s="72"/>
      <c r="BR67" s="72" t="e">
        <f t="shared" ca="1" si="62"/>
        <v>#NAME?</v>
      </c>
      <c r="BS67" s="72" t="e">
        <f ca="1">#REF!-BR67</f>
        <v>#REF!</v>
      </c>
    </row>
    <row r="68" spans="1:71" outlineLevel="2" x14ac:dyDescent="0.2">
      <c r="A68" s="82" t="s">
        <v>243</v>
      </c>
      <c r="B68" s="82" t="s">
        <v>283</v>
      </c>
      <c r="D68" s="82" t="s">
        <v>172</v>
      </c>
      <c r="E68" s="74" t="e">
        <f ca="1">GetCtLabel(B68,"CURINIT(AC)!LDESC","#Contractual STIP")</f>
        <v>#NAME?</v>
      </c>
      <c r="F68" s="137"/>
      <c r="G68" s="138"/>
      <c r="H68" s="137"/>
      <c r="I68" s="139"/>
      <c r="J68" s="139"/>
      <c r="K68" s="139"/>
      <c r="L68" s="139"/>
      <c r="M68" s="139"/>
      <c r="N68" s="130"/>
      <c r="O68" s="140">
        <f t="shared" si="43"/>
        <v>0</v>
      </c>
      <c r="P68" s="141">
        <f t="shared" si="36"/>
        <v>0</v>
      </c>
      <c r="Q68" s="141">
        <f t="shared" si="36"/>
        <v>0</v>
      </c>
      <c r="R68" s="133" t="e">
        <f t="shared" ca="1" si="64"/>
        <v>#NAME?</v>
      </c>
      <c r="S68" s="133" t="e">
        <f t="shared" ca="1" si="65"/>
        <v>#NAME?</v>
      </c>
      <c r="T68" s="134" t="e">
        <f t="shared" ca="1" si="66"/>
        <v>#NAME?</v>
      </c>
      <c r="U68" s="134" t="e">
        <f t="shared" ca="1" si="47"/>
        <v>#NAME?</v>
      </c>
      <c r="V68" s="144"/>
      <c r="W68" s="142"/>
      <c r="X68" s="142"/>
      <c r="Y68" s="122"/>
      <c r="Z68" s="135"/>
      <c r="AA68" s="135"/>
      <c r="AB68" s="135">
        <f t="shared" si="33"/>
        <v>0</v>
      </c>
      <c r="AC68" s="135">
        <f t="shared" si="48"/>
        <v>0</v>
      </c>
      <c r="AD68" s="122"/>
      <c r="AE68" s="142" t="e">
        <f ca="1">GetCtData("PKAMOUNT","AMOUNT",$AE$11:$AE$18,$B68:$D68,AE$19:AE$20,"#0")</f>
        <v>#NAME?</v>
      </c>
      <c r="AF68" s="142"/>
      <c r="AG68" s="142" t="e">
        <f t="shared" ca="1" si="63"/>
        <v>#NAME?</v>
      </c>
      <c r="AH68" s="143" t="e">
        <f t="shared" ca="1" si="37"/>
        <v>#NAME?</v>
      </c>
      <c r="AI68" s="128"/>
      <c r="AJ68" s="142" t="e">
        <f t="shared" ca="1" si="38"/>
        <v>#NAME?</v>
      </c>
      <c r="AK68" s="142" t="e">
        <f ca="1">GetCtData("PKAMOUNT","AMOUNT",$AK$11:$AK$18,$B68:$D68,AK$19:AK$20,"#0")</f>
        <v>#NAME?</v>
      </c>
      <c r="AL68" s="143" t="e">
        <f t="shared" ca="1" si="39"/>
        <v>#NAME?</v>
      </c>
      <c r="AM68" s="122"/>
      <c r="AN68" s="142" t="e">
        <f ca="1">GetCtData("PKAMOUNT","AMOUNT",$AN$11:$AN$18,$B68:$D68,AN$19:AN$20,"#0")</f>
        <v>#NAME?</v>
      </c>
      <c r="AO68" s="142" t="e">
        <f ca="1">GetCtData("PKAMOUNT","AMOUNT",$AO$11:$AO$18,$B68:$D68,AO$19:AO$20,"#0")</f>
        <v>#NAME?</v>
      </c>
      <c r="AP68" s="122"/>
      <c r="AQ68" s="142" t="e">
        <f ca="1">GetCtData("PKAMOUNT","AMOUNT",$AQ$11:$AQ$18,$B68:$D68,AQ$19:AQ$20,"#0")</f>
        <v>#NAME?</v>
      </c>
      <c r="AR68" s="142" t="e">
        <f t="shared" ca="1" si="49"/>
        <v>#NAME?</v>
      </c>
      <c r="AS68" s="142"/>
      <c r="AT68" s="142" t="e">
        <f ca="1">GetCtData("PKAMOUNT","AMOUNT",AT$11:AT$18,$B68:$D68,AT$19:AT$20,"#0")</f>
        <v>#NAME?</v>
      </c>
      <c r="AU68" s="142" t="e">
        <f t="shared" ca="1" si="50"/>
        <v>#NAME?</v>
      </c>
      <c r="AV68" s="72"/>
      <c r="AW68" s="72" t="e">
        <f t="shared" ca="1" si="51"/>
        <v>#NAME?</v>
      </c>
      <c r="AX68" s="72" t="e">
        <f t="shared" ca="1" si="52"/>
        <v>#NAME?</v>
      </c>
      <c r="AY68" s="72"/>
      <c r="AZ68" s="72" t="e">
        <f t="shared" ca="1" si="53"/>
        <v>#NAME?</v>
      </c>
      <c r="BA68" s="72" t="e">
        <f t="shared" ca="1" si="54"/>
        <v>#NAME?</v>
      </c>
      <c r="BB68" s="72"/>
      <c r="BC68" s="72" t="e">
        <f t="shared" ca="1" si="55"/>
        <v>#NAME?</v>
      </c>
      <c r="BD68" s="72" t="e">
        <f t="shared" ca="1" si="40"/>
        <v>#NAME?</v>
      </c>
      <c r="BE68" s="72"/>
      <c r="BF68" s="72" t="e">
        <f t="shared" ca="1" si="56"/>
        <v>#NAME?</v>
      </c>
      <c r="BG68" s="72" t="e">
        <f t="shared" ca="1" si="41"/>
        <v>#NAME?</v>
      </c>
      <c r="BH68" s="72"/>
      <c r="BI68" s="72" t="e">
        <f t="shared" ca="1" si="57"/>
        <v>#NAME?</v>
      </c>
      <c r="BJ68" s="72" t="e">
        <f t="shared" ca="1" si="42"/>
        <v>#NAME?</v>
      </c>
      <c r="BK68" s="72"/>
      <c r="BL68" s="72" t="e">
        <f t="shared" ca="1" si="58"/>
        <v>#NAME?</v>
      </c>
      <c r="BM68" s="72" t="e">
        <f t="shared" ca="1" si="59"/>
        <v>#NAME?</v>
      </c>
      <c r="BN68" s="72"/>
      <c r="BO68" s="72" t="e">
        <f t="shared" ca="1" si="60"/>
        <v>#NAME?</v>
      </c>
      <c r="BP68" s="72" t="e">
        <f t="shared" ca="1" si="61"/>
        <v>#NAME?</v>
      </c>
      <c r="BQ68" s="72"/>
      <c r="BR68" s="72" t="e">
        <f t="shared" ca="1" si="62"/>
        <v>#NAME?</v>
      </c>
      <c r="BS68" s="72" t="e">
        <f ca="1">#REF!-BR68</f>
        <v>#REF!</v>
      </c>
    </row>
    <row r="69" spans="1:71" outlineLevel="2" x14ac:dyDescent="0.2">
      <c r="A69" s="82" t="s">
        <v>243</v>
      </c>
      <c r="B69" s="82" t="s">
        <v>284</v>
      </c>
      <c r="D69" s="82" t="s">
        <v>172</v>
      </c>
      <c r="E69" s="74" t="e">
        <f ca="1">GetCtLabel(B69,"CURINIT(AC)!LDESC","#Long-term incentive bonus")</f>
        <v>#NAME?</v>
      </c>
      <c r="F69" s="137"/>
      <c r="G69" s="138"/>
      <c r="H69" s="137"/>
      <c r="I69" s="139"/>
      <c r="J69" s="139"/>
      <c r="K69" s="139"/>
      <c r="L69" s="139"/>
      <c r="M69" s="139"/>
      <c r="N69" s="130"/>
      <c r="O69" s="140">
        <f t="shared" si="43"/>
        <v>0</v>
      </c>
      <c r="P69" s="141">
        <f t="shared" si="36"/>
        <v>0</v>
      </c>
      <c r="Q69" s="141">
        <f t="shared" si="36"/>
        <v>0</v>
      </c>
      <c r="R69" s="133" t="e">
        <f t="shared" ca="1" si="64"/>
        <v>#NAME?</v>
      </c>
      <c r="S69" s="133" t="e">
        <f t="shared" ca="1" si="65"/>
        <v>#NAME?</v>
      </c>
      <c r="T69" s="134" t="e">
        <f t="shared" ca="1" si="66"/>
        <v>#NAME?</v>
      </c>
      <c r="U69" s="134" t="e">
        <f t="shared" ca="1" si="47"/>
        <v>#NAME?</v>
      </c>
      <c r="V69" s="144"/>
      <c r="W69" s="142"/>
      <c r="X69" s="142"/>
      <c r="Y69" s="122"/>
      <c r="Z69" s="135"/>
      <c r="AA69" s="135"/>
      <c r="AB69" s="135">
        <f t="shared" si="33"/>
        <v>0</v>
      </c>
      <c r="AC69" s="135">
        <f t="shared" si="48"/>
        <v>0</v>
      </c>
      <c r="AD69" s="122"/>
      <c r="AE69" s="142" t="e">
        <f ca="1">GetCtData("PKAMOUNT","AMOUNT",$AE$11:$AE$18,$B69:$D69,AE$19:AE$20,"#")</f>
        <v>#NAME?</v>
      </c>
      <c r="AF69" s="142"/>
      <c r="AG69" s="142" t="e">
        <f t="shared" ca="1" si="63"/>
        <v>#NAME?</v>
      </c>
      <c r="AH69" s="143" t="e">
        <f t="shared" ca="1" si="37"/>
        <v>#NAME?</v>
      </c>
      <c r="AI69" s="128"/>
      <c r="AJ69" s="142" t="e">
        <f t="shared" ca="1" si="38"/>
        <v>#NAME?</v>
      </c>
      <c r="AK69" s="142" t="e">
        <f ca="1">GetCtData("PKAMOUNT","AMOUNT",$AK$11:$AK$18,$B69:$D69,AK$19:AK$20,"#")</f>
        <v>#NAME?</v>
      </c>
      <c r="AL69" s="143" t="e">
        <f t="shared" ca="1" si="39"/>
        <v>#NAME?</v>
      </c>
      <c r="AM69" s="122"/>
      <c r="AN69" s="142" t="e">
        <f ca="1">GetCtData("PKAMOUNT","AMOUNT",$AN$11:$AN$18,$B69:$D69,AN$19:AN$20,"#")</f>
        <v>#NAME?</v>
      </c>
      <c r="AO69" s="142" t="e">
        <f ca="1">GetCtData("PKAMOUNT","AMOUNT",$AO$11:$AO$18,$B69:$D69,AO$19:AO$20,"#")</f>
        <v>#NAME?</v>
      </c>
      <c r="AP69" s="122"/>
      <c r="AQ69" s="142" t="e">
        <f ca="1">GetCtData("PKAMOUNT","AMOUNT",$AQ$11:$AQ$18,$B69:$D69,AQ$19:AQ$20,"#")</f>
        <v>#NAME?</v>
      </c>
      <c r="AR69" s="142" t="e">
        <f t="shared" ca="1" si="49"/>
        <v>#NAME?</v>
      </c>
      <c r="AS69" s="142"/>
      <c r="AT69" s="142" t="e">
        <f ca="1">GetCtData("PKAMOUNT","AMOUNT",AT$11:AT$18,$B69:$D69,AT$19:AT$20,"#")</f>
        <v>#NAME?</v>
      </c>
      <c r="AU69" s="142" t="e">
        <f t="shared" ca="1" si="50"/>
        <v>#NAME?</v>
      </c>
      <c r="AV69" s="72"/>
      <c r="AW69" s="72" t="e">
        <f t="shared" ca="1" si="51"/>
        <v>#NAME?</v>
      </c>
      <c r="AX69" s="72" t="e">
        <f t="shared" ca="1" si="52"/>
        <v>#NAME?</v>
      </c>
      <c r="AY69" s="72"/>
      <c r="AZ69" s="72" t="e">
        <f t="shared" ca="1" si="53"/>
        <v>#NAME?</v>
      </c>
      <c r="BA69" s="72" t="e">
        <f t="shared" ca="1" si="54"/>
        <v>#NAME?</v>
      </c>
      <c r="BB69" s="72"/>
      <c r="BC69" s="72" t="e">
        <f t="shared" ca="1" si="55"/>
        <v>#NAME?</v>
      </c>
      <c r="BD69" s="72" t="e">
        <f t="shared" ca="1" si="40"/>
        <v>#NAME?</v>
      </c>
      <c r="BE69" s="72"/>
      <c r="BF69" s="72" t="e">
        <f t="shared" ca="1" si="56"/>
        <v>#NAME?</v>
      </c>
      <c r="BG69" s="72" t="e">
        <f t="shared" ca="1" si="41"/>
        <v>#NAME?</v>
      </c>
      <c r="BH69" s="72"/>
      <c r="BI69" s="72" t="e">
        <f t="shared" ca="1" si="57"/>
        <v>#NAME?</v>
      </c>
      <c r="BJ69" s="72" t="e">
        <f t="shared" ca="1" si="42"/>
        <v>#NAME?</v>
      </c>
      <c r="BK69" s="72"/>
      <c r="BL69" s="72" t="e">
        <f t="shared" ca="1" si="58"/>
        <v>#NAME?</v>
      </c>
      <c r="BM69" s="72" t="e">
        <f t="shared" ca="1" si="59"/>
        <v>#NAME?</v>
      </c>
      <c r="BN69" s="72"/>
      <c r="BO69" s="72" t="e">
        <f t="shared" ca="1" si="60"/>
        <v>#NAME?</v>
      </c>
      <c r="BP69" s="72" t="e">
        <f t="shared" ca="1" si="61"/>
        <v>#NAME?</v>
      </c>
      <c r="BQ69" s="72"/>
      <c r="BR69" s="72" t="e">
        <f t="shared" ca="1" si="62"/>
        <v>#NAME?</v>
      </c>
      <c r="BS69" s="72" t="e">
        <f ca="1">#REF!-BR69</f>
        <v>#REF!</v>
      </c>
    </row>
    <row r="70" spans="1:71" outlineLevel="2" x14ac:dyDescent="0.2">
      <c r="A70" s="82" t="s">
        <v>243</v>
      </c>
      <c r="B70" s="82" t="s">
        <v>285</v>
      </c>
      <c r="D70" s="82" t="s">
        <v>172</v>
      </c>
      <c r="E70" s="74" t="e">
        <f ca="1">GetCtLabel(B70,"CURINIT(AC)!LDESC","#LEAP bonus")</f>
        <v>#NAME?</v>
      </c>
      <c r="F70" s="137"/>
      <c r="G70" s="138"/>
      <c r="H70" s="137"/>
      <c r="I70" s="139"/>
      <c r="J70" s="139"/>
      <c r="K70" s="139"/>
      <c r="L70" s="139"/>
      <c r="M70" s="139"/>
      <c r="N70" s="130"/>
      <c r="O70" s="140">
        <f t="shared" si="43"/>
        <v>0</v>
      </c>
      <c r="P70" s="141">
        <f t="shared" si="36"/>
        <v>0</v>
      </c>
      <c r="Q70" s="141">
        <f t="shared" si="36"/>
        <v>0</v>
      </c>
      <c r="R70" s="133" t="e">
        <f t="shared" ca="1" si="64"/>
        <v>#NAME?</v>
      </c>
      <c r="S70" s="133" t="e">
        <f t="shared" ca="1" si="65"/>
        <v>#NAME?</v>
      </c>
      <c r="T70" s="134" t="e">
        <f t="shared" ca="1" si="66"/>
        <v>#NAME?</v>
      </c>
      <c r="U70" s="134" t="e">
        <f t="shared" ca="1" si="47"/>
        <v>#NAME?</v>
      </c>
      <c r="V70" s="144"/>
      <c r="W70" s="142"/>
      <c r="X70" s="142"/>
      <c r="Y70" s="122"/>
      <c r="Z70" s="135"/>
      <c r="AA70" s="135"/>
      <c r="AB70" s="135">
        <f t="shared" si="33"/>
        <v>0</v>
      </c>
      <c r="AC70" s="135">
        <f t="shared" si="48"/>
        <v>0</v>
      </c>
      <c r="AD70" s="122"/>
      <c r="AE70" s="142" t="e">
        <f ca="1">GetCtData("PKAMOUNT","AMOUNT",$AE$11:$AE$18,$B70:$D70,AE$19:AE$20,"#0")</f>
        <v>#NAME?</v>
      </c>
      <c r="AF70" s="142"/>
      <c r="AG70" s="142" t="e">
        <f t="shared" ca="1" si="63"/>
        <v>#NAME?</v>
      </c>
      <c r="AH70" s="143" t="e">
        <f t="shared" ca="1" si="37"/>
        <v>#NAME?</v>
      </c>
      <c r="AI70" s="128"/>
      <c r="AJ70" s="142" t="e">
        <f t="shared" ca="1" si="38"/>
        <v>#NAME?</v>
      </c>
      <c r="AK70" s="142" t="e">
        <f ca="1">GetCtData("PKAMOUNT","AMOUNT",$AK$11:$AK$18,$B70:$D70,AK$19:AK$20,"#0")</f>
        <v>#NAME?</v>
      </c>
      <c r="AL70" s="143" t="e">
        <f t="shared" ca="1" si="39"/>
        <v>#NAME?</v>
      </c>
      <c r="AM70" s="122"/>
      <c r="AN70" s="142" t="e">
        <f ca="1">GetCtData("PKAMOUNT","AMOUNT",$AN$11:$AN$18,$B70:$D70,AN$19:AN$20,"#0")</f>
        <v>#NAME?</v>
      </c>
      <c r="AO70" s="142" t="e">
        <f ca="1">GetCtData("PKAMOUNT","AMOUNT",$AO$11:$AO$18,$B70:$D70,AO$19:AO$20,"#0")</f>
        <v>#NAME?</v>
      </c>
      <c r="AP70" s="122"/>
      <c r="AQ70" s="142" t="e">
        <f ca="1">GetCtData("PKAMOUNT","AMOUNT",$AQ$11:$AQ$18,$B70:$D70,AQ$19:AQ$20,"#0")</f>
        <v>#NAME?</v>
      </c>
      <c r="AR70" s="142" t="e">
        <f t="shared" ca="1" si="49"/>
        <v>#NAME?</v>
      </c>
      <c r="AS70" s="142"/>
      <c r="AT70" s="142" t="e">
        <f ca="1">GetCtData("PKAMOUNT","AMOUNT",AT$11:AT$18,$B70:$D70,AT$19:AT$20,"#0")</f>
        <v>#NAME?</v>
      </c>
      <c r="AU70" s="142" t="e">
        <f t="shared" ca="1" si="50"/>
        <v>#NAME?</v>
      </c>
      <c r="AV70" s="72"/>
      <c r="AW70" s="72" t="e">
        <f t="shared" ca="1" si="51"/>
        <v>#NAME?</v>
      </c>
      <c r="AX70" s="72" t="e">
        <f t="shared" ca="1" si="52"/>
        <v>#NAME?</v>
      </c>
      <c r="AY70" s="72"/>
      <c r="AZ70" s="72" t="e">
        <f t="shared" ca="1" si="53"/>
        <v>#NAME?</v>
      </c>
      <c r="BA70" s="72" t="e">
        <f t="shared" ca="1" si="54"/>
        <v>#NAME?</v>
      </c>
      <c r="BB70" s="72"/>
      <c r="BC70" s="72" t="e">
        <f t="shared" ca="1" si="55"/>
        <v>#NAME?</v>
      </c>
      <c r="BD70" s="72" t="e">
        <f t="shared" ca="1" si="40"/>
        <v>#NAME?</v>
      </c>
      <c r="BE70" s="72"/>
      <c r="BF70" s="72" t="e">
        <f t="shared" ca="1" si="56"/>
        <v>#NAME?</v>
      </c>
      <c r="BG70" s="72" t="e">
        <f t="shared" ca="1" si="41"/>
        <v>#NAME?</v>
      </c>
      <c r="BH70" s="72"/>
      <c r="BI70" s="72" t="e">
        <f t="shared" ca="1" si="57"/>
        <v>#NAME?</v>
      </c>
      <c r="BJ70" s="72" t="e">
        <f t="shared" ca="1" si="42"/>
        <v>#NAME?</v>
      </c>
      <c r="BK70" s="72"/>
      <c r="BL70" s="72" t="e">
        <f t="shared" ca="1" si="58"/>
        <v>#NAME?</v>
      </c>
      <c r="BM70" s="72" t="e">
        <f t="shared" ca="1" si="59"/>
        <v>#NAME?</v>
      </c>
      <c r="BN70" s="72"/>
      <c r="BO70" s="72" t="e">
        <f t="shared" ca="1" si="60"/>
        <v>#NAME?</v>
      </c>
      <c r="BP70" s="72" t="e">
        <f t="shared" ca="1" si="61"/>
        <v>#NAME?</v>
      </c>
      <c r="BQ70" s="72"/>
      <c r="BR70" s="72" t="e">
        <f t="shared" ca="1" si="62"/>
        <v>#NAME?</v>
      </c>
      <c r="BS70" s="72" t="e">
        <f ca="1">#REF!-BR70</f>
        <v>#REF!</v>
      </c>
    </row>
    <row r="71" spans="1:71" outlineLevel="2" x14ac:dyDescent="0.2">
      <c r="A71" s="82" t="s">
        <v>243</v>
      </c>
      <c r="B71" s="82" t="s">
        <v>286</v>
      </c>
      <c r="D71" s="82" t="s">
        <v>172</v>
      </c>
      <c r="E71" s="74" t="e">
        <f ca="1">GetCtLabel(B71,"CURINIT(AC)!LDESC","#Leaders, Partners &amp; High Potential Group stock plans")</f>
        <v>#NAME?</v>
      </c>
      <c r="F71" s="137"/>
      <c r="G71" s="138"/>
      <c r="H71" s="137"/>
      <c r="I71" s="139"/>
      <c r="J71" s="139"/>
      <c r="K71" s="139"/>
      <c r="L71" s="139"/>
      <c r="M71" s="139"/>
      <c r="N71" s="130"/>
      <c r="O71" s="140">
        <f t="shared" si="43"/>
        <v>0</v>
      </c>
      <c r="P71" s="141">
        <f t="shared" si="36"/>
        <v>0</v>
      </c>
      <c r="Q71" s="141">
        <f t="shared" si="36"/>
        <v>0</v>
      </c>
      <c r="R71" s="133" t="e">
        <f t="shared" ca="1" si="64"/>
        <v>#NAME?</v>
      </c>
      <c r="S71" s="133" t="e">
        <f t="shared" ca="1" si="65"/>
        <v>#NAME?</v>
      </c>
      <c r="T71" s="134" t="e">
        <f t="shared" ca="1" si="66"/>
        <v>#NAME?</v>
      </c>
      <c r="U71" s="134" t="e">
        <f t="shared" ca="1" si="47"/>
        <v>#NAME?</v>
      </c>
      <c r="V71" s="144"/>
      <c r="W71" s="142"/>
      <c r="X71" s="142"/>
      <c r="Y71" s="122"/>
      <c r="Z71" s="135"/>
      <c r="AA71" s="135"/>
      <c r="AB71" s="135">
        <f t="shared" si="33"/>
        <v>0</v>
      </c>
      <c r="AC71" s="135">
        <f t="shared" si="48"/>
        <v>0</v>
      </c>
      <c r="AD71" s="122"/>
      <c r="AE71" s="142" t="e">
        <f ca="1">GetCtData("PKAMOUNT","AMOUNT",$AE$11:$AE$18,$B71:$D71,AE$19:AE$20,"#")</f>
        <v>#NAME?</v>
      </c>
      <c r="AF71" s="142"/>
      <c r="AG71" s="142" t="e">
        <f t="shared" ca="1" si="63"/>
        <v>#NAME?</v>
      </c>
      <c r="AH71" s="143" t="e">
        <f t="shared" ca="1" si="37"/>
        <v>#NAME?</v>
      </c>
      <c r="AI71" s="128"/>
      <c r="AJ71" s="142" t="e">
        <f t="shared" ca="1" si="38"/>
        <v>#NAME?</v>
      </c>
      <c r="AK71" s="142" t="e">
        <f ca="1">GetCtData("PKAMOUNT","AMOUNT",$AK$11:$AK$18,$B71:$D71,AK$19:AK$20,"#")</f>
        <v>#NAME?</v>
      </c>
      <c r="AL71" s="143" t="e">
        <f t="shared" ca="1" si="39"/>
        <v>#NAME?</v>
      </c>
      <c r="AM71" s="122"/>
      <c r="AN71" s="142" t="e">
        <f ca="1">GetCtData("PKAMOUNT","AMOUNT",$AN$11:$AN$18,$B71:$D71,AN$19:AN$20,"#")</f>
        <v>#NAME?</v>
      </c>
      <c r="AO71" s="142" t="e">
        <f ca="1">GetCtData("PKAMOUNT","AMOUNT",$AO$11:$AO$18,$B71:$D71,AO$19:AO$20,"#")</f>
        <v>#NAME?</v>
      </c>
      <c r="AP71" s="122"/>
      <c r="AQ71" s="142" t="e">
        <f ca="1">GetCtData("PKAMOUNT","AMOUNT",$AQ$11:$AQ$18,$B71:$D71,AQ$19:AQ$20,"#")</f>
        <v>#NAME?</v>
      </c>
      <c r="AR71" s="142" t="e">
        <f t="shared" ca="1" si="49"/>
        <v>#NAME?</v>
      </c>
      <c r="AS71" s="142"/>
      <c r="AT71" s="142" t="e">
        <f ca="1">GetCtData("PKAMOUNT","AMOUNT",AT$11:AT$18,$B71:$D71,AT$19:AT$20,"#")</f>
        <v>#NAME?</v>
      </c>
      <c r="AU71" s="142" t="e">
        <f t="shared" ca="1" si="50"/>
        <v>#NAME?</v>
      </c>
      <c r="AV71" s="72"/>
      <c r="AW71" s="72" t="e">
        <f t="shared" ca="1" si="51"/>
        <v>#NAME?</v>
      </c>
      <c r="AX71" s="72" t="e">
        <f t="shared" ca="1" si="52"/>
        <v>#NAME?</v>
      </c>
      <c r="AY71" s="72"/>
      <c r="AZ71" s="72" t="e">
        <f t="shared" ca="1" si="53"/>
        <v>#NAME?</v>
      </c>
      <c r="BA71" s="72" t="e">
        <f t="shared" ca="1" si="54"/>
        <v>#NAME?</v>
      </c>
      <c r="BB71" s="72"/>
      <c r="BC71" s="72" t="e">
        <f t="shared" ca="1" si="55"/>
        <v>#NAME?</v>
      </c>
      <c r="BD71" s="72" t="e">
        <f t="shared" ca="1" si="40"/>
        <v>#NAME?</v>
      </c>
      <c r="BE71" s="72"/>
      <c r="BF71" s="72" t="e">
        <f t="shared" ca="1" si="56"/>
        <v>#NAME?</v>
      </c>
      <c r="BG71" s="72" t="e">
        <f t="shared" ca="1" si="41"/>
        <v>#NAME?</v>
      </c>
      <c r="BH71" s="72"/>
      <c r="BI71" s="72" t="e">
        <f t="shared" ca="1" si="57"/>
        <v>#NAME?</v>
      </c>
      <c r="BJ71" s="72" t="e">
        <f t="shared" ca="1" si="42"/>
        <v>#NAME?</v>
      </c>
      <c r="BK71" s="72"/>
      <c r="BL71" s="72" t="e">
        <f t="shared" ca="1" si="58"/>
        <v>#NAME?</v>
      </c>
      <c r="BM71" s="72" t="e">
        <f t="shared" ca="1" si="59"/>
        <v>#NAME?</v>
      </c>
      <c r="BN71" s="72"/>
      <c r="BO71" s="72" t="e">
        <f t="shared" ca="1" si="60"/>
        <v>#NAME?</v>
      </c>
      <c r="BP71" s="72" t="e">
        <f t="shared" ca="1" si="61"/>
        <v>#NAME?</v>
      </c>
      <c r="BQ71" s="72"/>
      <c r="BR71" s="72" t="e">
        <f t="shared" ca="1" si="62"/>
        <v>#NAME?</v>
      </c>
      <c r="BS71" s="72" t="e">
        <f ca="1">#REF!-BR71</f>
        <v>#REF!</v>
      </c>
    </row>
    <row r="72" spans="1:71" outlineLevel="2" x14ac:dyDescent="0.2">
      <c r="A72" s="82" t="s">
        <v>243</v>
      </c>
      <c r="B72" s="82" t="s">
        <v>287</v>
      </c>
      <c r="D72" s="82" t="s">
        <v>172</v>
      </c>
      <c r="E72" s="74" t="e">
        <f ca="1">GetCtLabel(B72,"CURINIT(AC)!LDESC","#Worldwide ownership plan stock options")</f>
        <v>#NAME?</v>
      </c>
      <c r="F72" s="137"/>
      <c r="G72" s="138"/>
      <c r="H72" s="137"/>
      <c r="I72" s="139"/>
      <c r="J72" s="139"/>
      <c r="K72" s="139"/>
      <c r="L72" s="139"/>
      <c r="M72" s="139"/>
      <c r="N72" s="130"/>
      <c r="O72" s="140">
        <f t="shared" si="43"/>
        <v>0</v>
      </c>
      <c r="P72" s="141">
        <f t="shared" si="36"/>
        <v>0</v>
      </c>
      <c r="Q72" s="141">
        <f t="shared" si="36"/>
        <v>0</v>
      </c>
      <c r="R72" s="133" t="e">
        <f t="shared" ca="1" si="64"/>
        <v>#NAME?</v>
      </c>
      <c r="S72" s="133" t="e">
        <f t="shared" ca="1" si="65"/>
        <v>#NAME?</v>
      </c>
      <c r="T72" s="134" t="e">
        <f t="shared" ca="1" si="66"/>
        <v>#NAME?</v>
      </c>
      <c r="U72" s="134" t="e">
        <f t="shared" ca="1" si="47"/>
        <v>#NAME?</v>
      </c>
      <c r="V72" s="144"/>
      <c r="W72" s="142"/>
      <c r="X72" s="142"/>
      <c r="Y72" s="122"/>
      <c r="Z72" s="135"/>
      <c r="AA72" s="135"/>
      <c r="AB72" s="135">
        <f t="shared" si="33"/>
        <v>0</v>
      </c>
      <c r="AC72" s="135">
        <f t="shared" si="48"/>
        <v>0</v>
      </c>
      <c r="AD72" s="122"/>
      <c r="AE72" s="142" t="e">
        <f ca="1">GetCtData("PKAMOUNT","AMOUNT",$AE$11:$AE$18,$B72:$D72,AE$19:AE$20,"#0")</f>
        <v>#NAME?</v>
      </c>
      <c r="AF72" s="142"/>
      <c r="AG72" s="142" t="e">
        <f t="shared" ca="1" si="63"/>
        <v>#NAME?</v>
      </c>
      <c r="AH72" s="143" t="e">
        <f t="shared" ca="1" si="37"/>
        <v>#NAME?</v>
      </c>
      <c r="AI72" s="128"/>
      <c r="AJ72" s="142" t="e">
        <f t="shared" ca="1" si="38"/>
        <v>#NAME?</v>
      </c>
      <c r="AK72" s="142" t="e">
        <f ca="1">GetCtData("PKAMOUNT","AMOUNT",$AK$11:$AK$18,$B72:$D72,AK$19:AK$20,"#0")</f>
        <v>#NAME?</v>
      </c>
      <c r="AL72" s="143" t="e">
        <f t="shared" ca="1" si="39"/>
        <v>#NAME?</v>
      </c>
      <c r="AM72" s="122"/>
      <c r="AN72" s="142" t="e">
        <f ca="1">GetCtData("PKAMOUNT","AMOUNT",$AN$11:$AN$18,$B72:$D72,AN$19:AN$20,"#0")</f>
        <v>#NAME?</v>
      </c>
      <c r="AO72" s="142" t="e">
        <f ca="1">GetCtData("PKAMOUNT","AMOUNT",$AO$11:$AO$18,$B72:$D72,AO$19:AO$20,"#0")</f>
        <v>#NAME?</v>
      </c>
      <c r="AP72" s="122"/>
      <c r="AQ72" s="142" t="e">
        <f ca="1">GetCtData("PKAMOUNT","AMOUNT",$AQ$11:$AQ$18,$B72:$D72,AQ$19:AQ$20,"#0")</f>
        <v>#NAME?</v>
      </c>
      <c r="AR72" s="142" t="e">
        <f t="shared" ca="1" si="49"/>
        <v>#NAME?</v>
      </c>
      <c r="AS72" s="142"/>
      <c r="AT72" s="142" t="e">
        <f ca="1">GetCtData("PKAMOUNT","AMOUNT",AT$11:AT$18,$B72:$D72,AT$19:AT$20,"#0")</f>
        <v>#NAME?</v>
      </c>
      <c r="AU72" s="142" t="e">
        <f t="shared" ca="1" si="50"/>
        <v>#NAME?</v>
      </c>
      <c r="AV72" s="72"/>
      <c r="AW72" s="72" t="e">
        <f t="shared" ca="1" si="51"/>
        <v>#NAME?</v>
      </c>
      <c r="AX72" s="72" t="e">
        <f t="shared" ca="1" si="52"/>
        <v>#NAME?</v>
      </c>
      <c r="AY72" s="72"/>
      <c r="AZ72" s="72" t="e">
        <f t="shared" ca="1" si="53"/>
        <v>#NAME?</v>
      </c>
      <c r="BA72" s="72" t="e">
        <f t="shared" ca="1" si="54"/>
        <v>#NAME?</v>
      </c>
      <c r="BB72" s="72"/>
      <c r="BC72" s="72" t="e">
        <f t="shared" ca="1" si="55"/>
        <v>#NAME?</v>
      </c>
      <c r="BD72" s="72" t="e">
        <f t="shared" ca="1" si="40"/>
        <v>#NAME?</v>
      </c>
      <c r="BE72" s="72"/>
      <c r="BF72" s="72" t="e">
        <f t="shared" ca="1" si="56"/>
        <v>#NAME?</v>
      </c>
      <c r="BG72" s="72" t="e">
        <f t="shared" ca="1" si="41"/>
        <v>#NAME?</v>
      </c>
      <c r="BH72" s="72"/>
      <c r="BI72" s="72" t="e">
        <f t="shared" ca="1" si="57"/>
        <v>#NAME?</v>
      </c>
      <c r="BJ72" s="72" t="e">
        <f t="shared" ca="1" si="42"/>
        <v>#NAME?</v>
      </c>
      <c r="BK72" s="72"/>
      <c r="BL72" s="72" t="e">
        <f t="shared" ca="1" si="58"/>
        <v>#NAME?</v>
      </c>
      <c r="BM72" s="72" t="e">
        <f t="shared" ca="1" si="59"/>
        <v>#NAME?</v>
      </c>
      <c r="BN72" s="72"/>
      <c r="BO72" s="72" t="e">
        <f t="shared" ca="1" si="60"/>
        <v>#NAME?</v>
      </c>
      <c r="BP72" s="72" t="e">
        <f t="shared" ca="1" si="61"/>
        <v>#NAME?</v>
      </c>
      <c r="BQ72" s="72"/>
      <c r="BR72" s="72" t="e">
        <f t="shared" ca="1" si="62"/>
        <v>#NAME?</v>
      </c>
      <c r="BS72" s="72" t="e">
        <f ca="1">#REF!-BR72</f>
        <v>#REF!</v>
      </c>
    </row>
    <row r="73" spans="1:71" x14ac:dyDescent="0.2">
      <c r="A73" s="82" t="s">
        <v>243</v>
      </c>
      <c r="B73" s="82" t="s">
        <v>288</v>
      </c>
      <c r="D73" s="82" t="s">
        <v>172</v>
      </c>
      <c r="E73" s="74" t="e">
        <f ca="1">GetCtLabel(B73,"CURINIT(AC)!LDESC","#Spot bonus")</f>
        <v>#NAME?</v>
      </c>
      <c r="F73" s="137"/>
      <c r="G73" s="138"/>
      <c r="H73" s="137"/>
      <c r="I73" s="139"/>
      <c r="J73" s="139"/>
      <c r="K73" s="139"/>
      <c r="L73" s="139"/>
      <c r="M73" s="139"/>
      <c r="N73" s="130"/>
      <c r="O73" s="140">
        <f t="shared" si="43"/>
        <v>0</v>
      </c>
      <c r="P73" s="141">
        <f t="shared" si="36"/>
        <v>0</v>
      </c>
      <c r="Q73" s="141">
        <f t="shared" si="36"/>
        <v>0</v>
      </c>
      <c r="R73" s="133" t="e">
        <f t="shared" ca="1" si="64"/>
        <v>#NAME?</v>
      </c>
      <c r="S73" s="133" t="e">
        <f t="shared" ca="1" si="65"/>
        <v>#NAME?</v>
      </c>
      <c r="T73" s="134" t="e">
        <f t="shared" ca="1" si="66"/>
        <v>#NAME?</v>
      </c>
      <c r="U73" s="134" t="e">
        <f t="shared" ca="1" si="47"/>
        <v>#NAME?</v>
      </c>
      <c r="V73" s="144"/>
      <c r="W73" s="142"/>
      <c r="X73" s="142"/>
      <c r="Y73" s="122"/>
      <c r="Z73" s="135">
        <v>11</v>
      </c>
      <c r="AA73" s="135"/>
      <c r="AB73" s="135">
        <f t="shared" si="33"/>
        <v>11</v>
      </c>
      <c r="AC73" s="135">
        <f t="shared" si="48"/>
        <v>-11</v>
      </c>
      <c r="AD73" s="122"/>
      <c r="AE73" s="142" t="e">
        <f ca="1">GetCtData("PKAMOUNT","AMOUNT",$AE$11:$AE$18,$B73:$D73,AE$19:AE$20,"#0")</f>
        <v>#NAME?</v>
      </c>
      <c r="AF73" s="142"/>
      <c r="AG73" s="142" t="e">
        <f t="shared" ca="1" si="63"/>
        <v>#NAME?</v>
      </c>
      <c r="AH73" s="143" t="e">
        <f t="shared" ca="1" si="37"/>
        <v>#NAME?</v>
      </c>
      <c r="AI73" s="128"/>
      <c r="AJ73" s="142" t="e">
        <f t="shared" ca="1" si="38"/>
        <v>#NAME?</v>
      </c>
      <c r="AK73" s="142" t="e">
        <f ca="1">GetCtData("PKAMOUNT","AMOUNT",$AK$11:$AK$18,$B73:$D73,AK$19:AK$20,"#")</f>
        <v>#NAME?</v>
      </c>
      <c r="AL73" s="143" t="e">
        <f t="shared" ca="1" si="39"/>
        <v>#NAME?</v>
      </c>
      <c r="AM73" s="122"/>
      <c r="AN73" s="142" t="e">
        <f ca="1">GetCtData("PKAMOUNT","AMOUNT",$AN$11:$AN$18,$B73:$D73,AN$19:AN$20,"#0")</f>
        <v>#NAME?</v>
      </c>
      <c r="AO73" s="142" t="e">
        <f ca="1">GetCtData("PKAMOUNT","AMOUNT",$AO$11:$AO$18,$B73:$D73,AO$19:AO$20,"#0")</f>
        <v>#NAME?</v>
      </c>
      <c r="AP73" s="122"/>
      <c r="AQ73" s="142" t="e">
        <f ca="1">GetCtData("PKAMOUNT","AMOUNT",$AQ$11:$AQ$18,$B73:$D73,AQ$19:AQ$20,"#14")</f>
        <v>#NAME?</v>
      </c>
      <c r="AR73" s="142" t="e">
        <f t="shared" ca="1" si="49"/>
        <v>#NAME?</v>
      </c>
      <c r="AS73" s="142"/>
      <c r="AT73" s="142" t="e">
        <f ca="1">GetCtData("PKAMOUNT","AMOUNT",AT$11:AT$18,$B73:$D73,AT$19:AT$20,"#13")</f>
        <v>#NAME?</v>
      </c>
      <c r="AU73" s="142" t="e">
        <f t="shared" ca="1" si="50"/>
        <v>#NAME?</v>
      </c>
      <c r="AV73" s="72"/>
      <c r="AW73" s="72" t="e">
        <f t="shared" ca="1" si="51"/>
        <v>#NAME?</v>
      </c>
      <c r="AX73" s="72" t="e">
        <f t="shared" ca="1" si="52"/>
        <v>#NAME?</v>
      </c>
      <c r="AY73" s="72"/>
      <c r="AZ73" s="72" t="e">
        <f t="shared" ca="1" si="53"/>
        <v>#NAME?</v>
      </c>
      <c r="BA73" s="72" t="e">
        <f t="shared" ca="1" si="54"/>
        <v>#NAME?</v>
      </c>
      <c r="BB73" s="72"/>
      <c r="BC73" s="72" t="e">
        <f t="shared" ca="1" si="55"/>
        <v>#NAME?</v>
      </c>
      <c r="BD73" s="72" t="e">
        <f t="shared" ca="1" si="40"/>
        <v>#NAME?</v>
      </c>
      <c r="BE73" s="72"/>
      <c r="BF73" s="72" t="e">
        <f t="shared" ca="1" si="56"/>
        <v>#NAME?</v>
      </c>
      <c r="BG73" s="72" t="e">
        <f t="shared" ca="1" si="41"/>
        <v>#NAME?</v>
      </c>
      <c r="BH73" s="72"/>
      <c r="BI73" s="72" t="e">
        <f t="shared" ca="1" si="57"/>
        <v>#NAME?</v>
      </c>
      <c r="BJ73" s="72" t="e">
        <f t="shared" ca="1" si="42"/>
        <v>#NAME?</v>
      </c>
      <c r="BK73" s="72"/>
      <c r="BL73" s="72" t="e">
        <f t="shared" ca="1" si="58"/>
        <v>#NAME?</v>
      </c>
      <c r="BM73" s="72" t="e">
        <f t="shared" ca="1" si="59"/>
        <v>#NAME?</v>
      </c>
      <c r="BN73" s="72"/>
      <c r="BO73" s="72" t="e">
        <f t="shared" ca="1" si="60"/>
        <v>#NAME?</v>
      </c>
      <c r="BP73" s="72" t="e">
        <f t="shared" ca="1" si="61"/>
        <v>#NAME?</v>
      </c>
      <c r="BQ73" s="72"/>
      <c r="BR73" s="72" t="e">
        <f t="shared" ca="1" si="62"/>
        <v>#NAME?</v>
      </c>
      <c r="BS73" s="72" t="e">
        <f ca="1">#REF!-BR73</f>
        <v>#REF!</v>
      </c>
    </row>
    <row r="74" spans="1:71" outlineLevel="1" x14ac:dyDescent="0.2">
      <c r="A74" s="82" t="s">
        <v>243</v>
      </c>
      <c r="B74" s="82" t="s">
        <v>289</v>
      </c>
      <c r="D74" s="82" t="s">
        <v>172</v>
      </c>
      <c r="E74" s="74" t="e">
        <f ca="1">GetCtLabel(B74,"CURINIT(AC)!LDESC","#Sales commission bonus")</f>
        <v>#NAME?</v>
      </c>
      <c r="F74" s="137"/>
      <c r="G74" s="138"/>
      <c r="H74" s="137"/>
      <c r="I74" s="139"/>
      <c r="J74" s="139"/>
      <c r="K74" s="139"/>
      <c r="L74" s="139"/>
      <c r="M74" s="139"/>
      <c r="N74" s="130"/>
      <c r="O74" s="140">
        <f t="shared" si="43"/>
        <v>0</v>
      </c>
      <c r="P74" s="141">
        <f t="shared" si="36"/>
        <v>0</v>
      </c>
      <c r="Q74" s="141">
        <f t="shared" si="36"/>
        <v>0</v>
      </c>
      <c r="R74" s="133" t="e">
        <f t="shared" ca="1" si="64"/>
        <v>#NAME?</v>
      </c>
      <c r="S74" s="133" t="e">
        <f t="shared" ca="1" si="65"/>
        <v>#NAME?</v>
      </c>
      <c r="T74" s="134" t="e">
        <f t="shared" ca="1" si="66"/>
        <v>#NAME?</v>
      </c>
      <c r="U74" s="134" t="e">
        <f t="shared" ca="1" si="47"/>
        <v>#NAME?</v>
      </c>
      <c r="V74" s="144"/>
      <c r="W74" s="142"/>
      <c r="X74" s="142"/>
      <c r="Y74" s="122"/>
      <c r="Z74" s="135"/>
      <c r="AA74" s="135"/>
      <c r="AB74" s="135">
        <f t="shared" si="33"/>
        <v>0</v>
      </c>
      <c r="AC74" s="135">
        <f t="shared" si="48"/>
        <v>0</v>
      </c>
      <c r="AD74" s="122"/>
      <c r="AE74" s="142" t="e">
        <f ca="1">GetCtData("PKAMOUNT","AMOUNT",$AE$11:$AE$18,$B74:$D74,AE$19:AE$20,"#0")</f>
        <v>#NAME?</v>
      </c>
      <c r="AF74" s="142"/>
      <c r="AG74" s="142" t="e">
        <f t="shared" ca="1" si="63"/>
        <v>#NAME?</v>
      </c>
      <c r="AH74" s="143" t="e">
        <f t="shared" ca="1" si="37"/>
        <v>#NAME?</v>
      </c>
      <c r="AI74" s="128"/>
      <c r="AJ74" s="142" t="e">
        <f t="shared" ca="1" si="38"/>
        <v>#NAME?</v>
      </c>
      <c r="AK74" s="142" t="e">
        <f ca="1">GetCtData("PKAMOUNT","AMOUNT",$AK$11:$AK$18,$B74:$D74,AK$19:AK$20,"#0")</f>
        <v>#NAME?</v>
      </c>
      <c r="AL74" s="143" t="e">
        <f t="shared" ca="1" si="39"/>
        <v>#NAME?</v>
      </c>
      <c r="AM74" s="122"/>
      <c r="AN74" s="142" t="e">
        <f ca="1">GetCtData("PKAMOUNT","AMOUNT",$AN$11:$AN$18,$B74:$D74,AN$19:AN$20,"#0")</f>
        <v>#NAME?</v>
      </c>
      <c r="AO74" s="142" t="e">
        <f ca="1">GetCtData("PKAMOUNT","AMOUNT",$AO$11:$AO$18,$B74:$D74,AO$19:AO$20,"#0")</f>
        <v>#NAME?</v>
      </c>
      <c r="AP74" s="122"/>
      <c r="AQ74" s="142" t="e">
        <f ca="1">GetCtData("PKAMOUNT","AMOUNT",$AQ$11:$AQ$18,$B74:$D74,AQ$19:AQ$20,"#0")</f>
        <v>#NAME?</v>
      </c>
      <c r="AR74" s="142" t="e">
        <f t="shared" ca="1" si="49"/>
        <v>#NAME?</v>
      </c>
      <c r="AS74" s="142"/>
      <c r="AT74" s="142" t="e">
        <f ca="1">GetCtData("PKAMOUNT","AMOUNT",AT$11:AT$18,$B74:$D74,AT$19:AT$20,"#0")</f>
        <v>#NAME?</v>
      </c>
      <c r="AU74" s="142" t="e">
        <f t="shared" ca="1" si="50"/>
        <v>#NAME?</v>
      </c>
      <c r="AV74" s="72"/>
      <c r="AW74" s="72" t="e">
        <f t="shared" ca="1" si="51"/>
        <v>#NAME?</v>
      </c>
      <c r="AX74" s="72" t="e">
        <f t="shared" ca="1" si="52"/>
        <v>#NAME?</v>
      </c>
      <c r="AY74" s="72"/>
      <c r="AZ74" s="72" t="e">
        <f t="shared" ca="1" si="53"/>
        <v>#NAME?</v>
      </c>
      <c r="BA74" s="72" t="e">
        <f t="shared" ca="1" si="54"/>
        <v>#NAME?</v>
      </c>
      <c r="BB74" s="72"/>
      <c r="BC74" s="72" t="e">
        <f t="shared" ca="1" si="55"/>
        <v>#NAME?</v>
      </c>
      <c r="BD74" s="72" t="e">
        <f t="shared" ca="1" si="40"/>
        <v>#NAME?</v>
      </c>
      <c r="BE74" s="72"/>
      <c r="BF74" s="72" t="e">
        <f t="shared" ca="1" si="56"/>
        <v>#NAME?</v>
      </c>
      <c r="BG74" s="72" t="e">
        <f t="shared" ca="1" si="41"/>
        <v>#NAME?</v>
      </c>
      <c r="BH74" s="72"/>
      <c r="BI74" s="72" t="e">
        <f t="shared" ca="1" si="57"/>
        <v>#NAME?</v>
      </c>
      <c r="BJ74" s="72" t="e">
        <f t="shared" ca="1" si="42"/>
        <v>#NAME?</v>
      </c>
      <c r="BK74" s="72"/>
      <c r="BL74" s="72" t="e">
        <f t="shared" ca="1" si="58"/>
        <v>#NAME?</v>
      </c>
      <c r="BM74" s="72" t="e">
        <f t="shared" ca="1" si="59"/>
        <v>#NAME?</v>
      </c>
      <c r="BN74" s="72"/>
      <c r="BO74" s="72" t="e">
        <f t="shared" ca="1" si="60"/>
        <v>#NAME?</v>
      </c>
      <c r="BP74" s="72" t="e">
        <f t="shared" ca="1" si="61"/>
        <v>#NAME?</v>
      </c>
      <c r="BQ74" s="72"/>
      <c r="BR74" s="72" t="e">
        <f t="shared" ca="1" si="62"/>
        <v>#NAME?</v>
      </c>
      <c r="BS74" s="72" t="e">
        <f ca="1">#REF!-BR74</f>
        <v>#REF!</v>
      </c>
    </row>
    <row r="75" spans="1:71" x14ac:dyDescent="0.2">
      <c r="A75" s="82" t="s">
        <v>243</v>
      </c>
      <c r="B75" s="82" t="s">
        <v>290</v>
      </c>
      <c r="D75" s="82" t="s">
        <v>172</v>
      </c>
      <c r="E75" s="74" t="e">
        <f ca="1">GetCtLabel(B75,"CURINIT(AC)!LDESC","#Benefits")</f>
        <v>#NAME?</v>
      </c>
      <c r="F75" s="137"/>
      <c r="G75" s="138"/>
      <c r="H75" s="137"/>
      <c r="I75" s="139"/>
      <c r="J75" s="139"/>
      <c r="K75" s="139"/>
      <c r="L75" s="139"/>
      <c r="M75" s="139"/>
      <c r="N75" s="130"/>
      <c r="O75" s="140">
        <f t="shared" si="43"/>
        <v>0</v>
      </c>
      <c r="P75" s="141">
        <f t="shared" si="36"/>
        <v>0</v>
      </c>
      <c r="Q75" s="141">
        <f t="shared" si="36"/>
        <v>0</v>
      </c>
      <c r="R75" s="133" t="e">
        <f t="shared" ca="1" si="64"/>
        <v>#NAME?</v>
      </c>
      <c r="S75" s="133" t="e">
        <f t="shared" ca="1" si="65"/>
        <v>#NAME?</v>
      </c>
      <c r="T75" s="134" t="e">
        <f t="shared" ca="1" si="66"/>
        <v>#NAME?</v>
      </c>
      <c r="U75" s="134" t="e">
        <f t="shared" ca="1" si="47"/>
        <v>#NAME?</v>
      </c>
      <c r="V75" s="144"/>
      <c r="W75" s="142"/>
      <c r="X75" s="142"/>
      <c r="Y75" s="122"/>
      <c r="Z75" s="135"/>
      <c r="AA75" s="135"/>
      <c r="AB75" s="135">
        <f t="shared" si="33"/>
        <v>0</v>
      </c>
      <c r="AC75" s="135">
        <f t="shared" si="48"/>
        <v>0</v>
      </c>
      <c r="AD75" s="122"/>
      <c r="AE75" s="142" t="e">
        <f ca="1">GetCtData("PKAMOUNT","AMOUNT",$AE$11:$AE$18,$B75:$D75,AE$19:AE$20,"#0")</f>
        <v>#NAME?</v>
      </c>
      <c r="AF75" s="142"/>
      <c r="AG75" s="142" t="e">
        <f t="shared" ca="1" si="63"/>
        <v>#NAME?</v>
      </c>
      <c r="AH75" s="143" t="e">
        <f t="shared" ca="1" si="37"/>
        <v>#NAME?</v>
      </c>
      <c r="AI75" s="128"/>
      <c r="AJ75" s="142" t="e">
        <f t="shared" ca="1" si="38"/>
        <v>#NAME?</v>
      </c>
      <c r="AK75" s="142" t="e">
        <f ca="1">GetCtData("PKAMOUNT","AMOUNT",$AK$11:$AK$18,$B75:$D75,AK$19:AK$20,"#0")</f>
        <v>#NAME?</v>
      </c>
      <c r="AL75" s="143" t="e">
        <f t="shared" ca="1" si="39"/>
        <v>#NAME?</v>
      </c>
      <c r="AM75" s="122"/>
      <c r="AN75" s="142" t="e">
        <f ca="1">GetCtData("PKAMOUNT","AMOUNT",$AN$11:$AN$18,$B75:$D75,AN$19:AN$20,"#0")</f>
        <v>#NAME?</v>
      </c>
      <c r="AO75" s="142" t="e">
        <f ca="1">GetCtData("PKAMOUNT","AMOUNT",$AO$11:$AO$18,$B75:$D75,AO$19:AO$20,"#0")</f>
        <v>#NAME?</v>
      </c>
      <c r="AP75" s="122"/>
      <c r="AQ75" s="142" t="e">
        <f ca="1">GetCtData("PKAMOUNT","AMOUNT",$AQ$11:$AQ$18,$B75:$D75,AQ$19:AQ$20,"#0")</f>
        <v>#NAME?</v>
      </c>
      <c r="AR75" s="142" t="e">
        <f t="shared" ca="1" si="49"/>
        <v>#NAME?</v>
      </c>
      <c r="AS75" s="142"/>
      <c r="AT75" s="142" t="e">
        <f ca="1">GetCtData("PKAMOUNT","AMOUNT",AT$11:AT$18,$B75:$D75,AT$19:AT$20,"#0")</f>
        <v>#NAME?</v>
      </c>
      <c r="AU75" s="142" t="e">
        <f t="shared" ca="1" si="50"/>
        <v>#NAME?</v>
      </c>
      <c r="AV75" s="72"/>
      <c r="AW75" s="72" t="e">
        <f t="shared" ca="1" si="51"/>
        <v>#NAME?</v>
      </c>
      <c r="AX75" s="72" t="e">
        <f t="shared" ca="1" si="52"/>
        <v>#NAME?</v>
      </c>
      <c r="AY75" s="72"/>
      <c r="AZ75" s="72" t="e">
        <f t="shared" ca="1" si="53"/>
        <v>#NAME?</v>
      </c>
      <c r="BA75" s="72" t="e">
        <f t="shared" ca="1" si="54"/>
        <v>#NAME?</v>
      </c>
      <c r="BB75" s="72"/>
      <c r="BC75" s="72" t="e">
        <f t="shared" ca="1" si="55"/>
        <v>#NAME?</v>
      </c>
      <c r="BD75" s="72" t="e">
        <f t="shared" ca="1" si="40"/>
        <v>#NAME?</v>
      </c>
      <c r="BE75" s="72"/>
      <c r="BF75" s="72" t="e">
        <f t="shared" ca="1" si="56"/>
        <v>#NAME?</v>
      </c>
      <c r="BG75" s="72" t="e">
        <f t="shared" ca="1" si="41"/>
        <v>#NAME?</v>
      </c>
      <c r="BH75" s="72"/>
      <c r="BI75" s="72" t="e">
        <f t="shared" ca="1" si="57"/>
        <v>#NAME?</v>
      </c>
      <c r="BJ75" s="72" t="e">
        <f t="shared" ca="1" si="42"/>
        <v>#NAME?</v>
      </c>
      <c r="BK75" s="72"/>
      <c r="BL75" s="72" t="e">
        <f t="shared" ca="1" si="58"/>
        <v>#NAME?</v>
      </c>
      <c r="BM75" s="72" t="e">
        <f t="shared" ca="1" si="59"/>
        <v>#NAME?</v>
      </c>
      <c r="BN75" s="72"/>
      <c r="BO75" s="72" t="e">
        <f t="shared" ca="1" si="60"/>
        <v>#NAME?</v>
      </c>
      <c r="BP75" s="72" t="e">
        <f t="shared" ca="1" si="61"/>
        <v>#NAME?</v>
      </c>
      <c r="BQ75" s="72"/>
      <c r="BR75" s="72" t="e">
        <f t="shared" ca="1" si="62"/>
        <v>#NAME?</v>
      </c>
      <c r="BS75" s="72" t="e">
        <f ca="1">#REF!-BR75</f>
        <v>#REF!</v>
      </c>
    </row>
    <row r="76" spans="1:71" x14ac:dyDescent="0.2">
      <c r="A76" s="82" t="s">
        <v>243</v>
      </c>
      <c r="B76" s="82" t="s">
        <v>291</v>
      </c>
      <c r="D76" s="82" t="s">
        <v>172</v>
      </c>
      <c r="E76" s="74" t="e">
        <f ca="1">GetCtLabel(B76,"CURINIT(AC)!LDESC","#Car costs/leases")</f>
        <v>#NAME?</v>
      </c>
      <c r="F76" s="137">
        <v>107</v>
      </c>
      <c r="G76" s="138"/>
      <c r="H76" s="137"/>
      <c r="I76" s="139"/>
      <c r="J76" s="139"/>
      <c r="K76" s="139">
        <v>-31</v>
      </c>
      <c r="L76" s="139"/>
      <c r="M76" s="139"/>
      <c r="N76" s="130"/>
      <c r="O76" s="140">
        <f t="shared" si="43"/>
        <v>76</v>
      </c>
      <c r="P76" s="141">
        <f t="shared" si="36"/>
        <v>31</v>
      </c>
      <c r="Q76" s="141">
        <f t="shared" si="36"/>
        <v>0</v>
      </c>
      <c r="R76" s="133" t="e">
        <f t="shared" ca="1" si="64"/>
        <v>#NAME?</v>
      </c>
      <c r="S76" s="133" t="e">
        <f t="shared" ca="1" si="65"/>
        <v>#NAME?</v>
      </c>
      <c r="T76" s="134" t="e">
        <f t="shared" ca="1" si="66"/>
        <v>#NAME?</v>
      </c>
      <c r="U76" s="134" t="e">
        <f t="shared" ca="1" si="47"/>
        <v>#NAME?</v>
      </c>
      <c r="V76" s="144"/>
      <c r="W76" s="142"/>
      <c r="X76" s="142"/>
      <c r="Y76" s="122"/>
      <c r="Z76" s="135">
        <f>34+8</f>
        <v>42</v>
      </c>
      <c r="AA76" s="135"/>
      <c r="AB76" s="135">
        <f t="shared" si="33"/>
        <v>42</v>
      </c>
      <c r="AC76" s="135">
        <f t="shared" si="48"/>
        <v>34</v>
      </c>
      <c r="AD76" s="122"/>
      <c r="AE76" s="142" t="e">
        <f ca="1">GetCtData("PKAMOUNT","AMOUNT",$AE$11:$AE$18,$B76:$D76,AE$19:AE$20,"#67")</f>
        <v>#NAME?</v>
      </c>
      <c r="AF76" s="142"/>
      <c r="AG76" s="142" t="e">
        <f t="shared" ca="1" si="63"/>
        <v>#NAME?</v>
      </c>
      <c r="AH76" s="143" t="e">
        <f t="shared" ca="1" si="37"/>
        <v>#NAME?</v>
      </c>
      <c r="AI76" s="128"/>
      <c r="AJ76" s="142" t="e">
        <f t="shared" ca="1" si="38"/>
        <v>#NAME?</v>
      </c>
      <c r="AK76" s="142" t="e">
        <f ca="1">GetCtData("PKAMOUNT","AMOUNT",$AK$11:$AK$18,$B76:$D76,AK$19:AK$20,"#9")</f>
        <v>#NAME?</v>
      </c>
      <c r="AL76" s="143" t="e">
        <f t="shared" ca="1" si="39"/>
        <v>#NAME?</v>
      </c>
      <c r="AM76" s="122"/>
      <c r="AN76" s="142" t="e">
        <f ca="1">GetCtData("PKAMOUNT","AMOUNT",$AN$11:$AN$18,$B76:$D76,AN$19:AN$20,"#10")</f>
        <v>#NAME?</v>
      </c>
      <c r="AO76" s="142" t="e">
        <f ca="1">GetCtData("PKAMOUNT","AMOUNT",$AO$11:$AO$18,$B76:$D76,AO$19:AO$20,"#58")</f>
        <v>#NAME?</v>
      </c>
      <c r="AP76" s="122"/>
      <c r="AQ76" s="142" t="e">
        <f ca="1">GetCtData("PKAMOUNT","AMOUNT",$AQ$11:$AQ$18,$B76:$D76,AQ$19:AQ$20,"#63")</f>
        <v>#NAME?</v>
      </c>
      <c r="AR76" s="142" t="e">
        <f t="shared" ca="1" si="49"/>
        <v>#NAME?</v>
      </c>
      <c r="AS76" s="142"/>
      <c r="AT76" s="142" t="e">
        <f ca="1">GetCtData("PKAMOUNT","AMOUNT",AT$11:AT$18,$B76:$D76,AT$19:AT$20,"#61")</f>
        <v>#NAME?</v>
      </c>
      <c r="AU76" s="142" t="e">
        <f t="shared" ca="1" si="50"/>
        <v>#NAME?</v>
      </c>
      <c r="AV76" s="72"/>
      <c r="AW76" s="72" t="e">
        <f t="shared" ca="1" si="51"/>
        <v>#NAME?</v>
      </c>
      <c r="AX76" s="72" t="e">
        <f t="shared" ca="1" si="52"/>
        <v>#NAME?</v>
      </c>
      <c r="AY76" s="72"/>
      <c r="AZ76" s="72" t="e">
        <f t="shared" ca="1" si="53"/>
        <v>#NAME?</v>
      </c>
      <c r="BA76" s="72" t="e">
        <f t="shared" ca="1" si="54"/>
        <v>#NAME?</v>
      </c>
      <c r="BB76" s="72"/>
      <c r="BC76" s="72" t="e">
        <f t="shared" ca="1" si="55"/>
        <v>#NAME?</v>
      </c>
      <c r="BD76" s="72" t="e">
        <f t="shared" ca="1" si="40"/>
        <v>#NAME?</v>
      </c>
      <c r="BE76" s="72"/>
      <c r="BF76" s="72" t="e">
        <f t="shared" ca="1" si="56"/>
        <v>#NAME?</v>
      </c>
      <c r="BG76" s="72" t="e">
        <f t="shared" ca="1" si="41"/>
        <v>#NAME?</v>
      </c>
      <c r="BH76" s="72"/>
      <c r="BI76" s="72" t="e">
        <f t="shared" ca="1" si="57"/>
        <v>#NAME?</v>
      </c>
      <c r="BJ76" s="72" t="e">
        <f t="shared" ca="1" si="42"/>
        <v>#NAME?</v>
      </c>
      <c r="BK76" s="72"/>
      <c r="BL76" s="72" t="e">
        <f t="shared" ca="1" si="58"/>
        <v>#NAME?</v>
      </c>
      <c r="BM76" s="72" t="e">
        <f t="shared" ca="1" si="59"/>
        <v>#NAME?</v>
      </c>
      <c r="BN76" s="72"/>
      <c r="BO76" s="72" t="e">
        <f t="shared" ca="1" si="60"/>
        <v>#NAME?</v>
      </c>
      <c r="BP76" s="72" t="e">
        <f t="shared" ca="1" si="61"/>
        <v>#NAME?</v>
      </c>
      <c r="BQ76" s="72"/>
      <c r="BR76" s="72" t="e">
        <f t="shared" ca="1" si="62"/>
        <v>#NAME?</v>
      </c>
      <c r="BS76" s="72" t="e">
        <f ca="1">#REF!-BR76</f>
        <v>#REF!</v>
      </c>
    </row>
    <row r="77" spans="1:71" x14ac:dyDescent="0.2">
      <c r="A77" s="82" t="s">
        <v>243</v>
      </c>
      <c r="B77" s="82" t="s">
        <v>292</v>
      </c>
      <c r="D77" s="82" t="s">
        <v>172</v>
      </c>
      <c r="E77" s="74" t="e">
        <f ca="1">GetCtLabel(B77,"CURINIT(AC)!LDESC","#Car depreciation")</f>
        <v>#NAME?</v>
      </c>
      <c r="F77" s="137"/>
      <c r="G77" s="138"/>
      <c r="H77" s="137"/>
      <c r="I77" s="139"/>
      <c r="J77" s="139"/>
      <c r="K77" s="139"/>
      <c r="L77" s="139"/>
      <c r="M77" s="139"/>
      <c r="N77" s="130"/>
      <c r="O77" s="140">
        <f t="shared" si="43"/>
        <v>0</v>
      </c>
      <c r="P77" s="141">
        <f t="shared" si="36"/>
        <v>0</v>
      </c>
      <c r="Q77" s="141">
        <f t="shared" si="36"/>
        <v>0</v>
      </c>
      <c r="R77" s="133" t="e">
        <f t="shared" ca="1" si="64"/>
        <v>#NAME?</v>
      </c>
      <c r="S77" s="133" t="e">
        <f t="shared" ca="1" si="65"/>
        <v>#NAME?</v>
      </c>
      <c r="T77" s="134" t="e">
        <f t="shared" ca="1" si="66"/>
        <v>#NAME?</v>
      </c>
      <c r="U77" s="134" t="e">
        <f t="shared" ca="1" si="47"/>
        <v>#NAME?</v>
      </c>
      <c r="V77" s="144"/>
      <c r="W77" s="142"/>
      <c r="X77" s="142"/>
      <c r="Y77" s="122"/>
      <c r="Z77" s="135"/>
      <c r="AA77" s="135"/>
      <c r="AB77" s="135">
        <f t="shared" si="33"/>
        <v>0</v>
      </c>
      <c r="AC77" s="135">
        <f t="shared" si="48"/>
        <v>0</v>
      </c>
      <c r="AD77" s="122"/>
      <c r="AE77" s="142" t="e">
        <f ca="1">GetCtData("PKAMOUNT","AMOUNT",$AE$11:$AE$18,$B77:$D77,AE$19:AE$20,"#0")</f>
        <v>#NAME?</v>
      </c>
      <c r="AF77" s="142"/>
      <c r="AG77" s="142" t="e">
        <f t="shared" ca="1" si="63"/>
        <v>#NAME?</v>
      </c>
      <c r="AH77" s="143" t="e">
        <f t="shared" ca="1" si="37"/>
        <v>#NAME?</v>
      </c>
      <c r="AI77" s="128"/>
      <c r="AJ77" s="142" t="e">
        <f t="shared" ca="1" si="38"/>
        <v>#NAME?</v>
      </c>
      <c r="AK77" s="142" t="e">
        <f ca="1">GetCtData("PKAMOUNT","AMOUNT",$AK$11:$AK$18,$B77:$D77,AK$19:AK$20,"#0")</f>
        <v>#NAME?</v>
      </c>
      <c r="AL77" s="143" t="e">
        <f t="shared" ca="1" si="39"/>
        <v>#NAME?</v>
      </c>
      <c r="AM77" s="122"/>
      <c r="AN77" s="142" t="e">
        <f ca="1">GetCtData("PKAMOUNT","AMOUNT",$AN$11:$AN$18,$B77:$D77,AN$19:AN$20,"#0")</f>
        <v>#NAME?</v>
      </c>
      <c r="AO77" s="142" t="e">
        <f ca="1">GetCtData("PKAMOUNT","AMOUNT",$AO$11:$AO$18,$B77:$D77,AO$19:AO$20,"#0")</f>
        <v>#NAME?</v>
      </c>
      <c r="AP77" s="122"/>
      <c r="AQ77" s="142" t="e">
        <f ca="1">GetCtData("PKAMOUNT","AMOUNT",$AQ$11:$AQ$18,$B77:$D77,AQ$19:AQ$20,"#1")</f>
        <v>#NAME?</v>
      </c>
      <c r="AR77" s="142" t="e">
        <f t="shared" ca="1" si="49"/>
        <v>#NAME?</v>
      </c>
      <c r="AS77" s="142"/>
      <c r="AT77" s="142" t="e">
        <f ca="1">GetCtData("PKAMOUNT","AMOUNT",AT$11:AT$18,$B77:$D77,AT$19:AT$20,"#1")</f>
        <v>#NAME?</v>
      </c>
      <c r="AU77" s="142" t="e">
        <f t="shared" ca="1" si="50"/>
        <v>#NAME?</v>
      </c>
      <c r="AV77" s="72"/>
      <c r="AW77" s="72" t="e">
        <f t="shared" ca="1" si="51"/>
        <v>#NAME?</v>
      </c>
      <c r="AX77" s="72" t="e">
        <f t="shared" ca="1" si="52"/>
        <v>#NAME?</v>
      </c>
      <c r="AY77" s="72"/>
      <c r="AZ77" s="72" t="e">
        <f t="shared" ca="1" si="53"/>
        <v>#NAME?</v>
      </c>
      <c r="BA77" s="72" t="e">
        <f t="shared" ca="1" si="54"/>
        <v>#NAME?</v>
      </c>
      <c r="BB77" s="72"/>
      <c r="BC77" s="72" t="e">
        <f t="shared" ca="1" si="55"/>
        <v>#NAME?</v>
      </c>
      <c r="BD77" s="72" t="e">
        <f t="shared" ca="1" si="40"/>
        <v>#NAME?</v>
      </c>
      <c r="BE77" s="72"/>
      <c r="BF77" s="72" t="e">
        <f t="shared" ca="1" si="56"/>
        <v>#NAME?</v>
      </c>
      <c r="BG77" s="72" t="e">
        <f t="shared" ca="1" si="41"/>
        <v>#NAME?</v>
      </c>
      <c r="BH77" s="72"/>
      <c r="BI77" s="72" t="e">
        <f t="shared" ca="1" si="57"/>
        <v>#NAME?</v>
      </c>
      <c r="BJ77" s="72" t="e">
        <f t="shared" ca="1" si="42"/>
        <v>#NAME?</v>
      </c>
      <c r="BK77" s="72"/>
      <c r="BL77" s="72" t="e">
        <f t="shared" ca="1" si="58"/>
        <v>#NAME?</v>
      </c>
      <c r="BM77" s="72" t="e">
        <f t="shared" ca="1" si="59"/>
        <v>#NAME?</v>
      </c>
      <c r="BN77" s="72"/>
      <c r="BO77" s="72" t="e">
        <f t="shared" ca="1" si="60"/>
        <v>#NAME?</v>
      </c>
      <c r="BP77" s="72" t="e">
        <f t="shared" ca="1" si="61"/>
        <v>#NAME?</v>
      </c>
      <c r="BQ77" s="72"/>
      <c r="BR77" s="72" t="e">
        <f t="shared" ca="1" si="62"/>
        <v>#NAME?</v>
      </c>
      <c r="BS77" s="72" t="e">
        <f ca="1">#REF!-BR77</f>
        <v>#REF!</v>
      </c>
    </row>
    <row r="78" spans="1:71" x14ac:dyDescent="0.2">
      <c r="A78" s="82" t="s">
        <v>293</v>
      </c>
      <c r="B78" s="82" t="s">
        <v>294</v>
      </c>
      <c r="D78" s="82" t="s">
        <v>250</v>
      </c>
      <c r="E78" s="74" t="e">
        <f ca="1">GetCtLabel(B78,"CURINIT(AC)!LDESC","#Inter-company time of staff - INTRA")</f>
        <v>#NAME?</v>
      </c>
      <c r="F78" s="178">
        <f>SUM(F79:F81)</f>
        <v>334</v>
      </c>
      <c r="G78" s="179">
        <f>SUM(G79:G81)</f>
        <v>0</v>
      </c>
      <c r="H78" s="179">
        <f>SUM(H80:H81)</f>
        <v>0</v>
      </c>
      <c r="I78" s="178">
        <f>SUM(I79:I81)</f>
        <v>0</v>
      </c>
      <c r="J78" s="178">
        <f>SUM(J79:J81)</f>
        <v>33</v>
      </c>
      <c r="K78" s="178">
        <f>SUM(K79:K81)</f>
        <v>-87</v>
      </c>
      <c r="L78" s="179">
        <f>SUM(L79:L81)</f>
        <v>0</v>
      </c>
      <c r="M78" s="179">
        <f>SUM(M79:M81)</f>
        <v>0</v>
      </c>
      <c r="N78" s="131"/>
      <c r="O78" s="180">
        <f t="shared" ref="O78:O84" si="67">SUM(F78:M78)</f>
        <v>280</v>
      </c>
      <c r="P78" s="141">
        <f t="shared" si="36"/>
        <v>87</v>
      </c>
      <c r="Q78" s="141">
        <f t="shared" si="36"/>
        <v>0</v>
      </c>
      <c r="R78" s="181"/>
      <c r="S78" s="181"/>
      <c r="T78" s="182"/>
      <c r="U78" s="182" t="e">
        <f t="shared" ca="1" si="47"/>
        <v>#NAME?</v>
      </c>
      <c r="V78" s="144"/>
      <c r="W78" s="142"/>
      <c r="X78" s="142"/>
      <c r="Y78" s="122"/>
      <c r="Z78" s="135"/>
      <c r="AA78" s="135"/>
      <c r="AB78" s="135">
        <f t="shared" si="33"/>
        <v>0</v>
      </c>
      <c r="AC78" s="135">
        <f t="shared" si="48"/>
        <v>280</v>
      </c>
      <c r="AD78" s="122"/>
      <c r="AE78" s="143" t="e">
        <f ca="1">GetCtData("PKAMOUNT","AMOUNT",$AE$11:$AE$18,$B78:$D78,AE$19:AE$20,"#280")</f>
        <v>#NAME?</v>
      </c>
      <c r="AF78" s="142"/>
      <c r="AG78" s="142" t="e">
        <f t="shared" ca="1" si="63"/>
        <v>#NAME?</v>
      </c>
      <c r="AH78" s="143" t="e">
        <f t="shared" ca="1" si="37"/>
        <v>#NAME?</v>
      </c>
      <c r="AI78" s="128"/>
      <c r="AJ78" s="142" t="e">
        <f t="shared" ca="1" si="38"/>
        <v>#NAME?</v>
      </c>
      <c r="AK78" s="142" t="e">
        <f ca="1">GetCtData("PKAMOUNT","AMOUNT",$AK$11:$AK$18,$B78:$D78,AK$19:AK$20,"#39")+GetCtData("PKAMOUNT","AMOUNT",$AK$11:$AK$18,$B82,$D78,AK$19:AK$20,"#-5")</f>
        <v>#NAME?</v>
      </c>
      <c r="AL78" s="143" t="e">
        <f t="shared" ca="1" si="39"/>
        <v>#NAME?</v>
      </c>
      <c r="AM78" s="122"/>
      <c r="AN78" s="142" t="e">
        <f ca="1">GetCtData("PKAMOUNT","AMOUNT",$AN$11:$AN$18,$B78:$D78,AN$19:AN$20,"#39")</f>
        <v>#NAME?</v>
      </c>
      <c r="AO78" s="142" t="e">
        <f ca="1">GetCtData("PKAMOUNT","AMOUNT",$AO$11:$AO$18,$B78:$D78,AO$19:AO$20,"#241")</f>
        <v>#NAME?</v>
      </c>
      <c r="AP78" s="122"/>
      <c r="AQ78" s="142" t="e">
        <f ca="1">GetCtData("PKAMOUNT","AMOUNT",$AQ$11:$AQ$18,$B78:$D78,AQ$19:AQ$20,"#349")+GetCtData("PKAMOUNT","AMOUNT",$AQ$11:$AQ$18,$B82,$D78,AQ$19:AQ$20,"#")</f>
        <v>#NAME?</v>
      </c>
      <c r="AR78" s="142" t="e">
        <f t="shared" ca="1" si="49"/>
        <v>#NAME?</v>
      </c>
      <c r="AS78" s="142"/>
      <c r="AT78" s="142" t="e">
        <f ca="1">GetCtData("PKAMOUNT","AMOUNT",AT$11:AT$18,$B78:$D78,AT$19:AT$20,"#389")</f>
        <v>#NAME?</v>
      </c>
      <c r="AU78" s="142" t="e">
        <f t="shared" ca="1" si="50"/>
        <v>#NAME?</v>
      </c>
      <c r="AV78" s="72"/>
      <c r="AW78" s="72" t="e">
        <f t="shared" ca="1" si="51"/>
        <v>#NAME?</v>
      </c>
      <c r="AX78" s="72" t="e">
        <f t="shared" ca="1" si="52"/>
        <v>#NAME?</v>
      </c>
      <c r="AY78" s="72"/>
      <c r="AZ78" s="72" t="e">
        <f t="shared" ca="1" si="53"/>
        <v>#NAME?</v>
      </c>
      <c r="BA78" s="72" t="e">
        <f t="shared" ca="1" si="54"/>
        <v>#NAME?</v>
      </c>
      <c r="BB78" s="72"/>
      <c r="BC78" s="72" t="e">
        <f t="shared" ca="1" si="55"/>
        <v>#NAME?</v>
      </c>
      <c r="BD78" s="72" t="e">
        <f t="shared" ca="1" si="40"/>
        <v>#NAME?</v>
      </c>
      <c r="BE78" s="72"/>
      <c r="BF78" s="72" t="e">
        <f t="shared" ca="1" si="56"/>
        <v>#NAME?</v>
      </c>
      <c r="BG78" s="72" t="e">
        <f t="shared" ca="1" si="41"/>
        <v>#NAME?</v>
      </c>
      <c r="BH78" s="72"/>
      <c r="BI78" s="72" t="e">
        <f t="shared" ca="1" si="57"/>
        <v>#NAME?</v>
      </c>
      <c r="BJ78" s="72" t="e">
        <f t="shared" ca="1" si="42"/>
        <v>#NAME?</v>
      </c>
      <c r="BK78" s="72"/>
      <c r="BL78" s="72" t="e">
        <f t="shared" ca="1" si="58"/>
        <v>#NAME?</v>
      </c>
      <c r="BM78" s="72" t="e">
        <f t="shared" ca="1" si="59"/>
        <v>#NAME?</v>
      </c>
      <c r="BN78" s="72"/>
      <c r="BO78" s="72" t="e">
        <f t="shared" ca="1" si="60"/>
        <v>#NAME?</v>
      </c>
      <c r="BP78" s="72" t="e">
        <f t="shared" ca="1" si="61"/>
        <v>#NAME?</v>
      </c>
      <c r="BQ78" s="72"/>
      <c r="BR78" s="72" t="e">
        <f t="shared" ca="1" si="62"/>
        <v>#NAME?</v>
      </c>
      <c r="BS78" s="72" t="e">
        <f ca="1">#REF!-BR78</f>
        <v>#REF!</v>
      </c>
    </row>
    <row r="79" spans="1:71" ht="12.75" customHeight="1" outlineLevel="1" x14ac:dyDescent="0.2">
      <c r="A79" s="82" t="s">
        <v>243</v>
      </c>
      <c r="B79" s="82" t="s">
        <v>294</v>
      </c>
      <c r="C79" s="82" t="s">
        <v>295</v>
      </c>
      <c r="D79" s="82" t="s">
        <v>172</v>
      </c>
      <c r="E79" s="153" t="e">
        <f ca="1">GetCtLabel(B79,"CURINIT(AC)!LDESC","#Inter-company time of staff - INTRA")&amp; " "&amp;D79&amp;" "</f>
        <v>#NAME?</v>
      </c>
      <c r="F79" s="137">
        <f>270+87-10-39+44-44</f>
        <v>308</v>
      </c>
      <c r="G79" s="138">
        <f>-24+24</f>
        <v>0</v>
      </c>
      <c r="H79" s="137"/>
      <c r="I79" s="145"/>
      <c r="J79" s="139">
        <v>33</v>
      </c>
      <c r="K79" s="139">
        <v>-87</v>
      </c>
      <c r="L79" s="139"/>
      <c r="M79" s="139"/>
      <c r="N79" s="130"/>
      <c r="O79" s="140">
        <f t="shared" si="67"/>
        <v>254</v>
      </c>
      <c r="P79" s="141">
        <f t="shared" si="36"/>
        <v>87</v>
      </c>
      <c r="Q79" s="141">
        <f t="shared" si="36"/>
        <v>0</v>
      </c>
      <c r="R79" s="183" t="e">
        <f ca="1">PutCtData("PKAMOUNT","AMOUNT",R$11:R$14,$B79:$D79,R$17:R$18,$O79)</f>
        <v>#NAME?</v>
      </c>
      <c r="S79" s="133" t="e">
        <f ca="1">PutCtData("PKAMOUNT","AMOUNT",S$11:S$14,$B79:$D79,S$17,$M79)</f>
        <v>#NAME?</v>
      </c>
      <c r="T79" s="134" t="e">
        <f ca="1">PutCtData("PKAMOUNT","AMOUNT",T$11:T$15,$B79,T$17:T$18,$P79)</f>
        <v>#NAME?</v>
      </c>
      <c r="U79" s="134" t="e">
        <f t="shared" ca="1" si="47"/>
        <v>#NAME?</v>
      </c>
      <c r="V79" s="144"/>
      <c r="W79" s="142"/>
      <c r="X79" s="142"/>
      <c r="Y79" s="122"/>
      <c r="Z79" s="135">
        <f t="shared" ref="Z79:Z84" si="68">248+57</f>
        <v>305</v>
      </c>
      <c r="AA79" s="135"/>
      <c r="AB79" s="135">
        <f t="shared" si="33"/>
        <v>305</v>
      </c>
      <c r="AC79" s="135">
        <f t="shared" si="48"/>
        <v>-51</v>
      </c>
      <c r="AD79" s="122"/>
      <c r="AE79" s="142" t="e">
        <f ca="1">AE78-AE80-AE81</f>
        <v>#NAME?</v>
      </c>
      <c r="AF79" s="142"/>
      <c r="AG79" s="142" t="e">
        <f t="shared" ca="1" si="63"/>
        <v>#NAME?</v>
      </c>
      <c r="AH79" s="143" t="e">
        <f t="shared" ca="1" si="37"/>
        <v>#NAME?</v>
      </c>
      <c r="AI79" s="128"/>
      <c r="AJ79" s="142" t="e">
        <f t="shared" ca="1" si="38"/>
        <v>#NAME?</v>
      </c>
      <c r="AK79" s="142" t="e">
        <f ca="1">GetCtData("PKAMOUNT","AMOUNT",$AK$11:$AK$18,$B79:$D79,AK$19:AK$20,"#27")</f>
        <v>#NAME?</v>
      </c>
      <c r="AL79" s="143" t="e">
        <f t="shared" ca="1" si="39"/>
        <v>#NAME?</v>
      </c>
      <c r="AM79" s="122"/>
      <c r="AN79" s="142" t="e">
        <f ca="1">GetCtData("PKAMOUNT","AMOUNT",$AN$11:$AN$18,$B79:$D79,AN$19:AN$20,"#74")</f>
        <v>#NAME?</v>
      </c>
      <c r="AO79" s="142" t="e">
        <f ca="1">GetCtData("PKAMOUNT","AMOUNT",$AO$11:$AO$18,$B79:$D79,AO$19:AO$20,"#308")</f>
        <v>#NAME?</v>
      </c>
      <c r="AP79" s="122"/>
      <c r="AQ79" s="142" t="e">
        <f ca="1">GetCtData("PKAMOUNT","AMOUNT",$AQ$11:$AQ$18,$B79:$D79,AQ$19:AQ$20,"#323")</f>
        <v>#NAME?</v>
      </c>
      <c r="AR79" s="142" t="e">
        <f t="shared" ca="1" si="49"/>
        <v>#NAME?</v>
      </c>
      <c r="AS79" s="142"/>
      <c r="AT79" s="142" t="e">
        <f ca="1">GetCtData("PKAMOUNT","AMOUNT",AT$11:AT$18,$B79:$D79,AT$19:AT$20,"#332")</f>
        <v>#NAME?</v>
      </c>
      <c r="AU79" s="142" t="e">
        <f t="shared" ca="1" si="50"/>
        <v>#NAME?</v>
      </c>
      <c r="AV79" s="72"/>
      <c r="AW79" s="72" t="e">
        <f t="shared" ca="1" si="51"/>
        <v>#NAME?</v>
      </c>
      <c r="AX79" s="72" t="e">
        <f t="shared" ca="1" si="52"/>
        <v>#NAME?</v>
      </c>
      <c r="AY79" s="72"/>
      <c r="AZ79" s="72" t="e">
        <f t="shared" ca="1" si="53"/>
        <v>#NAME?</v>
      </c>
      <c r="BA79" s="72" t="e">
        <f t="shared" ca="1" si="54"/>
        <v>#NAME?</v>
      </c>
      <c r="BB79" s="72"/>
      <c r="BC79" s="72" t="e">
        <f t="shared" ca="1" si="55"/>
        <v>#NAME?</v>
      </c>
      <c r="BD79" s="72" t="e">
        <f t="shared" ca="1" si="40"/>
        <v>#NAME?</v>
      </c>
      <c r="BE79" s="72"/>
      <c r="BF79" s="72" t="e">
        <f t="shared" ca="1" si="56"/>
        <v>#NAME?</v>
      </c>
      <c r="BG79" s="72" t="e">
        <f t="shared" ca="1" si="41"/>
        <v>#NAME?</v>
      </c>
      <c r="BH79" s="72"/>
      <c r="BI79" s="72" t="e">
        <f t="shared" ca="1" si="57"/>
        <v>#NAME?</v>
      </c>
      <c r="BJ79" s="72" t="e">
        <f t="shared" ca="1" si="42"/>
        <v>#NAME?</v>
      </c>
      <c r="BK79" s="72"/>
      <c r="BL79" s="72" t="e">
        <f t="shared" ca="1" si="58"/>
        <v>#NAME?</v>
      </c>
      <c r="BM79" s="72" t="e">
        <f t="shared" ca="1" si="59"/>
        <v>#NAME?</v>
      </c>
      <c r="BN79" s="72"/>
      <c r="BO79" s="72" t="e">
        <f t="shared" ca="1" si="60"/>
        <v>#NAME?</v>
      </c>
      <c r="BP79" s="72" t="e">
        <f t="shared" ca="1" si="61"/>
        <v>#NAME?</v>
      </c>
      <c r="BQ79" s="72"/>
      <c r="BR79" s="72" t="e">
        <f t="shared" ca="1" si="62"/>
        <v>#NAME?</v>
      </c>
      <c r="BS79" s="72" t="e">
        <f ca="1">#REF!-BR79</f>
        <v>#REF!</v>
      </c>
    </row>
    <row r="80" spans="1:71" ht="12.75" customHeight="1" outlineLevel="1" x14ac:dyDescent="0.2">
      <c r="A80" s="82" t="s">
        <v>243</v>
      </c>
      <c r="B80" s="82" t="s">
        <v>294</v>
      </c>
      <c r="C80" s="82" t="s">
        <v>295</v>
      </c>
      <c r="D80" s="82" t="s">
        <v>196</v>
      </c>
      <c r="E80" s="153" t="e">
        <f ca="1">GetCtLabel(B80,"CURINIT(AC)!LDESC","#Inter-company time of staff - INTRA")&amp; " "&amp;D80</f>
        <v>#NAME?</v>
      </c>
      <c r="F80" s="137">
        <v>9</v>
      </c>
      <c r="G80" s="138"/>
      <c r="H80" s="137"/>
      <c r="I80" s="139"/>
      <c r="J80" s="139"/>
      <c r="K80" s="139"/>
      <c r="L80" s="139"/>
      <c r="M80" s="139"/>
      <c r="N80" s="130"/>
      <c r="O80" s="140">
        <f t="shared" si="67"/>
        <v>9</v>
      </c>
      <c r="P80" s="141">
        <f t="shared" si="36"/>
        <v>0</v>
      </c>
      <c r="Q80" s="141">
        <f t="shared" si="36"/>
        <v>0</v>
      </c>
      <c r="R80" s="184" t="e">
        <f ca="1">PutCtData("PKAMOUNT","AMOUNT",R$11:R$14,$B80:$D80,R$17:R$18,$O80)</f>
        <v>#NAME?</v>
      </c>
      <c r="S80" s="133" t="e">
        <f ca="1">PutCtData("PKAMOUNT","AMOUNT",S$11:S$14,$B80:$D80,S$17,$M80)</f>
        <v>#NAME?</v>
      </c>
      <c r="T80" s="134" t="e">
        <f ca="1">PutCtData("PKAMOUNT","AMOUNT",T$11:T$14,$B80:$D80,T$17:T$18,$P80)</f>
        <v>#NAME?</v>
      </c>
      <c r="U80" s="134" t="e">
        <f t="shared" ca="1" si="47"/>
        <v>#NAME?</v>
      </c>
      <c r="V80" s="144"/>
      <c r="W80" s="142"/>
      <c r="X80" s="142"/>
      <c r="Y80" s="122"/>
      <c r="Z80" s="135">
        <f t="shared" si="68"/>
        <v>305</v>
      </c>
      <c r="AA80" s="135"/>
      <c r="AB80" s="135">
        <f t="shared" si="33"/>
        <v>305</v>
      </c>
      <c r="AC80" s="135">
        <f t="shared" si="48"/>
        <v>-296</v>
      </c>
      <c r="AD80" s="122"/>
      <c r="AE80" s="142" t="e">
        <f ca="1">GetCtData("PKAMOUNT","AMOUNT",$AE$11:$AE$18,$B80:$D80,AE$19:AE$20,"#9")</f>
        <v>#NAME?</v>
      </c>
      <c r="AF80" s="142"/>
      <c r="AG80" s="142" t="e">
        <f t="shared" ca="1" si="63"/>
        <v>#NAME?</v>
      </c>
      <c r="AH80" s="143" t="e">
        <f t="shared" ca="1" si="37"/>
        <v>#NAME?</v>
      </c>
      <c r="AI80" s="128"/>
      <c r="AJ80" s="142" t="e">
        <f t="shared" ca="1" si="38"/>
        <v>#NAME?</v>
      </c>
      <c r="AK80" s="142" t="e">
        <f ca="1">GetCtData("PKAMOUNT","AMOUNT",$AK$11:$AK$18,$B80:$D80,AK$19:AK$20,"#2")</f>
        <v>#NAME?</v>
      </c>
      <c r="AL80" s="143" t="e">
        <f t="shared" ca="1" si="39"/>
        <v>#NAME?</v>
      </c>
      <c r="AM80" s="122"/>
      <c r="AN80" s="142" t="e">
        <f ca="1">GetCtData("PKAMOUNT","AMOUNT",$AN$11:$AN$18,$B80:$D80,AN$19:AN$20,"#1")</f>
        <v>#NAME?</v>
      </c>
      <c r="AO80" s="142" t="e">
        <f ca="1">GetCtData("PKAMOUNT","AMOUNT",$AO$11:$AO$18,$B80:$D80,AO$19:AO$20,"#7")</f>
        <v>#NAME?</v>
      </c>
      <c r="AP80" s="122"/>
      <c r="AQ80" s="142" t="e">
        <f ca="1">GetCtData("PKAMOUNT","AMOUNT",$AQ$11:$AQ$18,$B80:$D80,AQ$19:AQ$20,"#9")</f>
        <v>#NAME?</v>
      </c>
      <c r="AR80" s="142" t="e">
        <f t="shared" ca="1" si="49"/>
        <v>#NAME?</v>
      </c>
      <c r="AS80" s="142"/>
      <c r="AT80" s="142" t="e">
        <f ca="1">GetCtData("PKAMOUNT","AMOUNT",AT$11:AT$18,$B80:$D80,AT$19:AT$20,"#")</f>
        <v>#NAME?</v>
      </c>
      <c r="AU80" s="142" t="e">
        <f t="shared" ca="1" si="50"/>
        <v>#NAME?</v>
      </c>
      <c r="AV80" s="72"/>
      <c r="AW80" s="72" t="e">
        <f t="shared" ca="1" si="51"/>
        <v>#NAME?</v>
      </c>
      <c r="AX80" s="72" t="e">
        <f t="shared" ca="1" si="52"/>
        <v>#NAME?</v>
      </c>
      <c r="AY80" s="72"/>
      <c r="AZ80" s="72" t="e">
        <f t="shared" ca="1" si="53"/>
        <v>#NAME?</v>
      </c>
      <c r="BA80" s="72" t="e">
        <f t="shared" ca="1" si="54"/>
        <v>#NAME?</v>
      </c>
      <c r="BB80" s="72"/>
      <c r="BC80" s="72" t="e">
        <f t="shared" ca="1" si="55"/>
        <v>#NAME?</v>
      </c>
      <c r="BD80" s="72" t="e">
        <f t="shared" ca="1" si="40"/>
        <v>#NAME?</v>
      </c>
      <c r="BE80" s="72"/>
      <c r="BF80" s="72" t="e">
        <f t="shared" ca="1" si="56"/>
        <v>#NAME?</v>
      </c>
      <c r="BG80" s="72" t="e">
        <f t="shared" ca="1" si="41"/>
        <v>#NAME?</v>
      </c>
      <c r="BH80" s="72"/>
      <c r="BI80" s="72" t="e">
        <f t="shared" ca="1" si="57"/>
        <v>#NAME?</v>
      </c>
      <c r="BJ80" s="72" t="e">
        <f t="shared" ca="1" si="42"/>
        <v>#NAME?</v>
      </c>
      <c r="BK80" s="72"/>
      <c r="BL80" s="72" t="e">
        <f t="shared" ca="1" si="58"/>
        <v>#NAME?</v>
      </c>
      <c r="BM80" s="72" t="e">
        <f t="shared" ca="1" si="59"/>
        <v>#NAME?</v>
      </c>
      <c r="BN80" s="72"/>
      <c r="BO80" s="72" t="e">
        <f t="shared" ca="1" si="60"/>
        <v>#NAME?</v>
      </c>
      <c r="BP80" s="72" t="e">
        <f t="shared" ca="1" si="61"/>
        <v>#NAME?</v>
      </c>
      <c r="BQ80" s="72"/>
      <c r="BR80" s="72" t="e">
        <f t="shared" ca="1" si="62"/>
        <v>#NAME?</v>
      </c>
      <c r="BS80" s="72" t="e">
        <f ca="1">#REF!-BR80</f>
        <v>#REF!</v>
      </c>
    </row>
    <row r="81" spans="1:71" ht="12.75" customHeight="1" outlineLevel="1" x14ac:dyDescent="0.2">
      <c r="A81" s="82" t="s">
        <v>243</v>
      </c>
      <c r="B81" s="82" t="s">
        <v>294</v>
      </c>
      <c r="C81" s="82" t="s">
        <v>295</v>
      </c>
      <c r="D81" s="82" t="s">
        <v>296</v>
      </c>
      <c r="E81" s="153" t="e">
        <f ca="1">GetCtLabel(B81,"CURINIT(AC)!LDESC","#Inter-company time of staff - INTRA")&amp; " "&amp;D81</f>
        <v>#NAME?</v>
      </c>
      <c r="F81" s="137">
        <f>17</f>
        <v>17</v>
      </c>
      <c r="G81" s="138"/>
      <c r="H81" s="137"/>
      <c r="I81" s="139"/>
      <c r="J81" s="139"/>
      <c r="K81" s="139"/>
      <c r="L81" s="139"/>
      <c r="M81" s="139"/>
      <c r="N81" s="130"/>
      <c r="O81" s="140">
        <f t="shared" si="67"/>
        <v>17</v>
      </c>
      <c r="P81" s="141">
        <f t="shared" si="36"/>
        <v>0</v>
      </c>
      <c r="Q81" s="141">
        <f t="shared" si="36"/>
        <v>0</v>
      </c>
      <c r="R81" s="184" t="e">
        <f ca="1">PutCtData("PKAMOUNT","AMOUNT",R$11:R$14,$B81:$D81,R$17:R$18,$O81)</f>
        <v>#NAME?</v>
      </c>
      <c r="S81" s="133" t="e">
        <f ca="1">PutCtData("PKAMOUNT","AMOUNT",S$11:S$14,$B81:$D81,S$17,$M81)</f>
        <v>#NAME?</v>
      </c>
      <c r="T81" s="134" t="e">
        <f ca="1">PutCtData("PKAMOUNT","AMOUNT",T$11:T$14,$B81:$D81,T$17:T$18,$P81)</f>
        <v>#NAME?</v>
      </c>
      <c r="U81" s="134" t="e">
        <f t="shared" ca="1" si="47"/>
        <v>#NAME?</v>
      </c>
      <c r="V81" s="144"/>
      <c r="W81" s="142"/>
      <c r="X81" s="142"/>
      <c r="Y81" s="122"/>
      <c r="Z81" s="135">
        <f t="shared" si="68"/>
        <v>305</v>
      </c>
      <c r="AA81" s="135"/>
      <c r="AB81" s="135">
        <f t="shared" si="33"/>
        <v>305</v>
      </c>
      <c r="AC81" s="135">
        <f t="shared" si="48"/>
        <v>-288</v>
      </c>
      <c r="AD81" s="122"/>
      <c r="AE81" s="142" t="e">
        <f ca="1">GetCtData("PKAMOUNT","AMOUNT",$AE$11:$AE$18,$B81:$D81,AE$19:AE$20,"#17")</f>
        <v>#NAME?</v>
      </c>
      <c r="AF81" s="142"/>
      <c r="AG81" s="142" t="e">
        <f t="shared" ca="1" si="63"/>
        <v>#NAME?</v>
      </c>
      <c r="AH81" s="143" t="e">
        <f t="shared" ca="1" si="37"/>
        <v>#NAME?</v>
      </c>
      <c r="AI81" s="128"/>
      <c r="AJ81" s="142" t="e">
        <f t="shared" ca="1" si="38"/>
        <v>#NAME?</v>
      </c>
      <c r="AK81" s="142" t="e">
        <f ca="1">GetCtData("PKAMOUNT","AMOUNT",$AK$11:$AK$18,$B81:$D81,AK$19:AK$20,"#")</f>
        <v>#NAME?</v>
      </c>
      <c r="AL81" s="143" t="e">
        <f t="shared" ca="1" si="39"/>
        <v>#NAME?</v>
      </c>
      <c r="AM81" s="122"/>
      <c r="AN81" s="142" t="e">
        <f ca="1">GetCtData("PKAMOUNT","AMOUNT",$AN$11:$AN$18,$B81:$D81,AN$19:AN$20,"#0")</f>
        <v>#NAME?</v>
      </c>
      <c r="AO81" s="142" t="e">
        <f ca="1">GetCtData("PKAMOUNT","AMOUNT",$AO$11:$AO$18,$B81:$D81,AO$19:AO$20,"#17")</f>
        <v>#NAME?</v>
      </c>
      <c r="AP81" s="122"/>
      <c r="AQ81" s="142" t="e">
        <f ca="1">GetCtData("PKAMOUNT","AMOUNT",$AQ$11:$AQ$18,$B81:$D81,AQ$19:AQ$20,"#17")</f>
        <v>#NAME?</v>
      </c>
      <c r="AR81" s="142" t="e">
        <f t="shared" ca="1" si="49"/>
        <v>#NAME?</v>
      </c>
      <c r="AS81" s="142"/>
      <c r="AT81" s="142" t="e">
        <f ca="1">GetCtData("PKAMOUNT","AMOUNT",AT$11:AT$18,$B81:$D81,AT$19:AT$20,"#")</f>
        <v>#NAME?</v>
      </c>
      <c r="AU81" s="142" t="e">
        <f t="shared" ca="1" si="50"/>
        <v>#NAME?</v>
      </c>
      <c r="AV81" s="72"/>
      <c r="AW81" s="72" t="e">
        <f t="shared" ca="1" si="51"/>
        <v>#NAME?</v>
      </c>
      <c r="AX81" s="72" t="e">
        <f t="shared" ca="1" si="52"/>
        <v>#NAME?</v>
      </c>
      <c r="AY81" s="72"/>
      <c r="AZ81" s="72" t="e">
        <f t="shared" ca="1" si="53"/>
        <v>#NAME?</v>
      </c>
      <c r="BA81" s="72" t="e">
        <f t="shared" ca="1" si="54"/>
        <v>#NAME?</v>
      </c>
      <c r="BB81" s="72"/>
      <c r="BC81" s="72" t="e">
        <f t="shared" ca="1" si="55"/>
        <v>#NAME?</v>
      </c>
      <c r="BD81" s="72" t="e">
        <f t="shared" ca="1" si="40"/>
        <v>#NAME?</v>
      </c>
      <c r="BE81" s="72"/>
      <c r="BF81" s="72" t="e">
        <f t="shared" ca="1" si="56"/>
        <v>#NAME?</v>
      </c>
      <c r="BG81" s="72" t="e">
        <f t="shared" ca="1" si="41"/>
        <v>#NAME?</v>
      </c>
      <c r="BH81" s="72"/>
      <c r="BI81" s="72" t="e">
        <f t="shared" ca="1" si="57"/>
        <v>#NAME?</v>
      </c>
      <c r="BJ81" s="72" t="e">
        <f t="shared" ca="1" si="42"/>
        <v>#NAME?</v>
      </c>
      <c r="BK81" s="72"/>
      <c r="BL81" s="72" t="e">
        <f t="shared" ca="1" si="58"/>
        <v>#NAME?</v>
      </c>
      <c r="BM81" s="72" t="e">
        <f t="shared" ca="1" si="59"/>
        <v>#NAME?</v>
      </c>
      <c r="BN81" s="72"/>
      <c r="BO81" s="72" t="e">
        <f t="shared" ca="1" si="60"/>
        <v>#NAME?</v>
      </c>
      <c r="BP81" s="72" t="e">
        <f t="shared" ca="1" si="61"/>
        <v>#NAME?</v>
      </c>
      <c r="BQ81" s="72"/>
      <c r="BR81" s="72" t="e">
        <f t="shared" ca="1" si="62"/>
        <v>#NAME?</v>
      </c>
      <c r="BS81" s="72" t="e">
        <f ca="1">#REF!-BR81</f>
        <v>#REF!</v>
      </c>
    </row>
    <row r="82" spans="1:71" x14ac:dyDescent="0.2">
      <c r="A82" s="82" t="s">
        <v>293</v>
      </c>
      <c r="B82" s="82" t="s">
        <v>297</v>
      </c>
      <c r="D82" s="82" t="s">
        <v>250</v>
      </c>
      <c r="E82" s="74" t="e">
        <f ca="1">GetCtLabel(B82,"CURINIT(AC)!LDESC","#Inter-company time of staff - INTER")</f>
        <v>#NAME?</v>
      </c>
      <c r="F82" s="178">
        <f>SUM(F83:F84)</f>
        <v>63</v>
      </c>
      <c r="G82" s="179">
        <f>SUM(G83:G84)</f>
        <v>0</v>
      </c>
      <c r="H82" s="179"/>
      <c r="I82" s="178">
        <f>SUM(I83:I84)</f>
        <v>0</v>
      </c>
      <c r="J82" s="179">
        <f>SUM(J83:J84)</f>
        <v>0</v>
      </c>
      <c r="K82" s="179">
        <f>SUM(K83:K84)</f>
        <v>0</v>
      </c>
      <c r="L82" s="179">
        <f>SUM(L83:L84)</f>
        <v>0</v>
      </c>
      <c r="M82" s="179">
        <f>SUM(M83:M84)</f>
        <v>0</v>
      </c>
      <c r="N82" s="131"/>
      <c r="O82" s="180">
        <f t="shared" si="67"/>
        <v>63</v>
      </c>
      <c r="P82" s="141">
        <f t="shared" si="36"/>
        <v>0</v>
      </c>
      <c r="Q82" s="141">
        <f t="shared" si="36"/>
        <v>0</v>
      </c>
      <c r="R82" s="181"/>
      <c r="S82" s="181"/>
      <c r="T82" s="182"/>
      <c r="U82" s="182" t="e">
        <f t="shared" ca="1" si="47"/>
        <v>#NAME?</v>
      </c>
      <c r="V82" s="144"/>
      <c r="W82" s="142"/>
      <c r="X82" s="142"/>
      <c r="Y82" s="122"/>
      <c r="Z82" s="135">
        <f t="shared" si="68"/>
        <v>305</v>
      </c>
      <c r="AA82" s="135"/>
      <c r="AB82" s="135">
        <f t="shared" si="33"/>
        <v>305</v>
      </c>
      <c r="AC82" s="135">
        <f t="shared" si="48"/>
        <v>-242</v>
      </c>
      <c r="AD82" s="122"/>
      <c r="AE82" s="143" t="e">
        <f ca="1">GetCtData("PKAMOUNT","AMOUNT",$AE$11:$AE$18,$B82,$D82,AE$19:AE$20,"#63")</f>
        <v>#NAME?</v>
      </c>
      <c r="AF82" s="142"/>
      <c r="AG82" s="142" t="e">
        <f t="shared" ca="1" si="63"/>
        <v>#NAME?</v>
      </c>
      <c r="AH82" s="143" t="e">
        <f t="shared" ca="1" si="37"/>
        <v>#NAME?</v>
      </c>
      <c r="AI82" s="128"/>
      <c r="AJ82" s="142" t="e">
        <f t="shared" ca="1" si="38"/>
        <v>#NAME?</v>
      </c>
      <c r="AK82" s="142" t="e">
        <f ca="1">GetCtData("PKAMOUNT","AMOUNT",$AK$11:$AK$18,$B82:$D82,AK$19:AK$20,"#-5")</f>
        <v>#NAME?</v>
      </c>
      <c r="AL82" s="143" t="e">
        <f t="shared" ca="1" si="39"/>
        <v>#NAME?</v>
      </c>
      <c r="AM82" s="122"/>
      <c r="AN82" s="142" t="e">
        <f ca="1">GetCtData("PKAMOUNT","AMOUNT",$AN$11:$AN$18,$B82:$D82,AN$19:AN$20,"#-20")</f>
        <v>#NAME?</v>
      </c>
      <c r="AO82" s="142" t="e">
        <f ca="1">GetCtData("PKAMOUNT","AMOUNT",$AO$11:$AO$18,$B82:$D82,AO$19:AO$20,"#68")</f>
        <v>#NAME?</v>
      </c>
      <c r="AP82" s="122"/>
      <c r="AQ82" s="142" t="e">
        <f ca="1">GetCtData("PKAMOUNT","AMOUNT",$AQ$11:$AQ$18,$B82:$D82,AQ$19:AQ$20,"#")</f>
        <v>#NAME?</v>
      </c>
      <c r="AR82" s="142" t="e">
        <f t="shared" ca="1" si="49"/>
        <v>#NAME?</v>
      </c>
      <c r="AS82" s="142"/>
      <c r="AT82" s="142" t="e">
        <f ca="1">GetCtData("PKAMOUNT","AMOUNT",AT$11:AT$18,$B82:$D82,AT$19:AT$20,"#")</f>
        <v>#NAME?</v>
      </c>
      <c r="AU82" s="142" t="e">
        <f t="shared" ca="1" si="50"/>
        <v>#NAME?</v>
      </c>
      <c r="AV82" s="72"/>
      <c r="AW82" s="72" t="e">
        <f t="shared" ca="1" si="51"/>
        <v>#NAME?</v>
      </c>
      <c r="AX82" s="72" t="e">
        <f t="shared" ca="1" si="52"/>
        <v>#NAME?</v>
      </c>
      <c r="AY82" s="72"/>
      <c r="AZ82" s="72" t="e">
        <f t="shared" ca="1" si="53"/>
        <v>#NAME?</v>
      </c>
      <c r="BA82" s="72" t="e">
        <f t="shared" ca="1" si="54"/>
        <v>#NAME?</v>
      </c>
      <c r="BB82" s="72"/>
      <c r="BC82" s="72" t="e">
        <f t="shared" ca="1" si="55"/>
        <v>#NAME?</v>
      </c>
      <c r="BD82" s="72" t="e">
        <f t="shared" ca="1" si="40"/>
        <v>#NAME?</v>
      </c>
      <c r="BE82" s="72"/>
      <c r="BF82" s="72" t="e">
        <f t="shared" ca="1" si="56"/>
        <v>#NAME?</v>
      </c>
      <c r="BG82" s="72" t="e">
        <f t="shared" ca="1" si="41"/>
        <v>#NAME?</v>
      </c>
      <c r="BH82" s="72"/>
      <c r="BI82" s="72" t="e">
        <f t="shared" ca="1" si="57"/>
        <v>#NAME?</v>
      </c>
      <c r="BJ82" s="72" t="e">
        <f t="shared" ca="1" si="42"/>
        <v>#NAME?</v>
      </c>
      <c r="BK82" s="72"/>
      <c r="BL82" s="72" t="e">
        <f t="shared" ca="1" si="58"/>
        <v>#NAME?</v>
      </c>
      <c r="BM82" s="72" t="e">
        <f t="shared" ca="1" si="59"/>
        <v>#NAME?</v>
      </c>
      <c r="BN82" s="72"/>
      <c r="BO82" s="72" t="e">
        <f t="shared" ca="1" si="60"/>
        <v>#NAME?</v>
      </c>
      <c r="BP82" s="72" t="e">
        <f t="shared" ca="1" si="61"/>
        <v>#NAME?</v>
      </c>
      <c r="BQ82" s="72"/>
      <c r="BR82" s="72" t="e">
        <f t="shared" ca="1" si="62"/>
        <v>#NAME?</v>
      </c>
      <c r="BS82" s="72" t="e">
        <f ca="1">#REF!-BR82</f>
        <v>#REF!</v>
      </c>
    </row>
    <row r="83" spans="1:71" outlineLevel="1" x14ac:dyDescent="0.2">
      <c r="A83" s="82" t="s">
        <v>243</v>
      </c>
      <c r="B83" s="82" t="s">
        <v>297</v>
      </c>
      <c r="C83" s="82" t="s">
        <v>298</v>
      </c>
      <c r="D83" s="82" t="s">
        <v>172</v>
      </c>
      <c r="E83" s="153" t="e">
        <f ca="1">GetCtLabel(B83,"CURINIT(AC)!LDESC","#Inter-company time of staff - INTER")&amp; " "&amp;D83</f>
        <v>#NAME?</v>
      </c>
      <c r="F83" s="137">
        <f>41+21</f>
        <v>62</v>
      </c>
      <c r="G83" s="138"/>
      <c r="H83" s="137"/>
      <c r="I83" s="145"/>
      <c r="J83" s="139"/>
      <c r="K83" s="139"/>
      <c r="L83" s="139"/>
      <c r="M83" s="139"/>
      <c r="N83" s="130"/>
      <c r="O83" s="140">
        <f t="shared" si="67"/>
        <v>62</v>
      </c>
      <c r="P83" s="141">
        <f t="shared" si="36"/>
        <v>0</v>
      </c>
      <c r="Q83" s="141">
        <f t="shared" si="36"/>
        <v>0</v>
      </c>
      <c r="R83" s="133" t="e">
        <f t="shared" ref="R83:R89" ca="1" si="69">PutCtData("PKAMOUNT","AMOUNT",R$11:R$14,$B83:$D83,R$17:R$18,$O83)</f>
        <v>#NAME?</v>
      </c>
      <c r="S83" s="133" t="e">
        <f t="shared" ref="S83:S89" ca="1" si="70">PutCtData("PKAMOUNT","AMOUNT",S$11:S$14,$B83:$D83,S$17,$M83)</f>
        <v>#NAME?</v>
      </c>
      <c r="T83" s="134" t="e">
        <f ca="1">PutCtData("PKAMOUNT","AMOUNT",T$11:T$15,$B83,T$17:T$18,$P83)</f>
        <v>#NAME?</v>
      </c>
      <c r="U83" s="134" t="e">
        <f t="shared" ca="1" si="47"/>
        <v>#NAME?</v>
      </c>
      <c r="V83" s="144"/>
      <c r="W83" s="142"/>
      <c r="X83" s="142"/>
      <c r="Y83" s="122"/>
      <c r="Z83" s="135">
        <f t="shared" si="68"/>
        <v>305</v>
      </c>
      <c r="AA83" s="135"/>
      <c r="AB83" s="135">
        <f t="shared" si="33"/>
        <v>305</v>
      </c>
      <c r="AC83" s="135">
        <f t="shared" si="48"/>
        <v>-243</v>
      </c>
      <c r="AD83" s="122"/>
      <c r="AE83" s="142" t="e">
        <f ca="1">GetCtData("PKAMOUNT","AMOUNT",$AE$11:$AE$18,$B83,$C83:$D83,AE$19:AE$20,"#71")</f>
        <v>#NAME?</v>
      </c>
      <c r="AF83" s="142"/>
      <c r="AG83" s="142" t="e">
        <f t="shared" ca="1" si="63"/>
        <v>#NAME?</v>
      </c>
      <c r="AH83" s="143" t="e">
        <f t="shared" ca="1" si="37"/>
        <v>#NAME?</v>
      </c>
      <c r="AI83" s="128"/>
      <c r="AJ83" s="142" t="e">
        <f t="shared" ca="1" si="38"/>
        <v>#NAME?</v>
      </c>
      <c r="AK83" s="142" t="e">
        <f ca="1">GetCtData("PKAMOUNT","AMOUNT",$AK$11:$AK$18,$B83:$D83,AK$19:AK$20,"#10")</f>
        <v>#NAME?</v>
      </c>
      <c r="AL83" s="143" t="e">
        <f t="shared" ca="1" si="39"/>
        <v>#NAME?</v>
      </c>
      <c r="AM83" s="122"/>
      <c r="AN83" s="142" t="e">
        <f ca="1">GetCtData("PKAMOUNT","AMOUNT",$AN$11:$AN$18,$B83:$D83,AN$19:AN$20,"#-14")</f>
        <v>#NAME?</v>
      </c>
      <c r="AO83" s="142" t="e">
        <f ca="1">GetCtData("PKAMOUNT","AMOUNT",$AO$11:$AO$18,$B83:$D83,AO$19:AO$20,"#61")</f>
        <v>#NAME?</v>
      </c>
      <c r="AP83" s="122"/>
      <c r="AQ83" s="142" t="e">
        <f ca="1">GetCtData("PKAMOUNT","AMOUNT",$AQ$11:$AQ$18,$B83:$D83,AQ$19:AQ$20,"#")</f>
        <v>#NAME?</v>
      </c>
      <c r="AR83" s="142" t="e">
        <f t="shared" ca="1" si="49"/>
        <v>#NAME?</v>
      </c>
      <c r="AS83" s="142"/>
      <c r="AT83" s="142" t="e">
        <f ca="1">GetCtData("PKAMOUNT","AMOUNT",AT$11:AT$18,$B83:$D83,AT$19:AT$20,"#")</f>
        <v>#NAME?</v>
      </c>
      <c r="AU83" s="142" t="e">
        <f t="shared" ca="1" si="50"/>
        <v>#NAME?</v>
      </c>
      <c r="AV83" s="72"/>
      <c r="AW83" s="72" t="e">
        <f t="shared" ca="1" si="51"/>
        <v>#NAME?</v>
      </c>
      <c r="AX83" s="72" t="e">
        <f t="shared" ca="1" si="52"/>
        <v>#NAME?</v>
      </c>
      <c r="AY83" s="72"/>
      <c r="AZ83" s="72" t="e">
        <f t="shared" ca="1" si="53"/>
        <v>#NAME?</v>
      </c>
      <c r="BA83" s="72" t="e">
        <f t="shared" ca="1" si="54"/>
        <v>#NAME?</v>
      </c>
      <c r="BB83" s="72"/>
      <c r="BC83" s="72" t="e">
        <f t="shared" ca="1" si="55"/>
        <v>#NAME?</v>
      </c>
      <c r="BD83" s="72" t="e">
        <f t="shared" ca="1" si="40"/>
        <v>#NAME?</v>
      </c>
      <c r="BE83" s="72"/>
      <c r="BF83" s="72" t="e">
        <f t="shared" ca="1" si="56"/>
        <v>#NAME?</v>
      </c>
      <c r="BG83" s="72" t="e">
        <f t="shared" ca="1" si="41"/>
        <v>#NAME?</v>
      </c>
      <c r="BH83" s="72"/>
      <c r="BI83" s="72" t="e">
        <f t="shared" ca="1" si="57"/>
        <v>#NAME?</v>
      </c>
      <c r="BJ83" s="72" t="e">
        <f t="shared" ca="1" si="42"/>
        <v>#NAME?</v>
      </c>
      <c r="BK83" s="72"/>
      <c r="BL83" s="72" t="e">
        <f t="shared" ca="1" si="58"/>
        <v>#NAME?</v>
      </c>
      <c r="BM83" s="72" t="e">
        <f t="shared" ca="1" si="59"/>
        <v>#NAME?</v>
      </c>
      <c r="BN83" s="72"/>
      <c r="BO83" s="72" t="e">
        <f t="shared" ca="1" si="60"/>
        <v>#NAME?</v>
      </c>
      <c r="BP83" s="72" t="e">
        <f t="shared" ca="1" si="61"/>
        <v>#NAME?</v>
      </c>
      <c r="BQ83" s="72"/>
      <c r="BR83" s="72" t="e">
        <f t="shared" ca="1" si="62"/>
        <v>#NAME?</v>
      </c>
      <c r="BS83" s="72" t="e">
        <f ca="1">#REF!-BR83</f>
        <v>#REF!</v>
      </c>
    </row>
    <row r="84" spans="1:71" outlineLevel="1" x14ac:dyDescent="0.2">
      <c r="A84" s="82" t="s">
        <v>243</v>
      </c>
      <c r="B84" s="82" t="s">
        <v>297</v>
      </c>
      <c r="C84" s="82" t="s">
        <v>299</v>
      </c>
      <c r="D84" s="82" t="s">
        <v>172</v>
      </c>
      <c r="E84" s="153" t="e">
        <f ca="1">GetCtLabel(B84,"CURINIT(AC)!LDESC","#Inter-company time of staff - INTER")&amp; " "&amp;D84</f>
        <v>#NAME?</v>
      </c>
      <c r="F84" s="137">
        <v>1</v>
      </c>
      <c r="G84" s="138"/>
      <c r="H84" s="137"/>
      <c r="I84" s="139"/>
      <c r="J84" s="139"/>
      <c r="K84" s="139"/>
      <c r="L84" s="139"/>
      <c r="M84" s="139"/>
      <c r="N84" s="130"/>
      <c r="O84" s="140">
        <f t="shared" si="67"/>
        <v>1</v>
      </c>
      <c r="P84" s="141">
        <f t="shared" si="36"/>
        <v>0</v>
      </c>
      <c r="Q84" s="141">
        <f t="shared" si="36"/>
        <v>0</v>
      </c>
      <c r="R84" s="133" t="e">
        <f t="shared" ca="1" si="69"/>
        <v>#NAME?</v>
      </c>
      <c r="S84" s="133" t="e">
        <f t="shared" ca="1" si="70"/>
        <v>#NAME?</v>
      </c>
      <c r="T84" s="134" t="e">
        <f ca="1">PutCtData("PKAMOUNT","AMOUNT",T$11:T$15,$B84,T$17:T$18,$P84)</f>
        <v>#NAME?</v>
      </c>
      <c r="U84" s="134" t="e">
        <f t="shared" ca="1" si="47"/>
        <v>#NAME?</v>
      </c>
      <c r="V84" s="144"/>
      <c r="W84" s="142"/>
      <c r="X84" s="142"/>
      <c r="Y84" s="122"/>
      <c r="Z84" s="135">
        <f t="shared" si="68"/>
        <v>305</v>
      </c>
      <c r="AA84" s="135"/>
      <c r="AB84" s="135">
        <f t="shared" si="33"/>
        <v>305</v>
      </c>
      <c r="AC84" s="135">
        <f t="shared" si="48"/>
        <v>-304</v>
      </c>
      <c r="AD84" s="122"/>
      <c r="AE84" s="142" t="e">
        <f ca="1">GetCtData("PKAMOUNT","AMOUNT",$AE$11:$AE$18,$B84,$C84:$D84,AE$19:AE$20,"#-8")</f>
        <v>#NAME?</v>
      </c>
      <c r="AF84" s="142"/>
      <c r="AG84" s="142" t="e">
        <f t="shared" ca="1" si="63"/>
        <v>#NAME?</v>
      </c>
      <c r="AH84" s="143" t="e">
        <f t="shared" ca="1" si="37"/>
        <v>#NAME?</v>
      </c>
      <c r="AI84" s="128"/>
      <c r="AJ84" s="142" t="e">
        <f t="shared" ca="1" si="38"/>
        <v>#NAME?</v>
      </c>
      <c r="AK84" s="142" t="e">
        <f ca="1">GetCtData("PKAMOUNT","AMOUNT",$AK$11:$AK$18,$B84:$D84,AK$19:AK$20,"#-15")</f>
        <v>#NAME?</v>
      </c>
      <c r="AL84" s="143" t="e">
        <f t="shared" ca="1" si="39"/>
        <v>#NAME?</v>
      </c>
      <c r="AM84" s="122"/>
      <c r="AN84" s="142" t="e">
        <f ca="1">GetCtData("PKAMOUNT","AMOUNT",$AN$11:$AN$18,$B84:$D84,AN$19:AN$20,"#-6")</f>
        <v>#NAME?</v>
      </c>
      <c r="AO84" s="142" t="e">
        <f ca="1">GetCtData("PKAMOUNT","AMOUNT",$AO$11:$AO$18,$B84:$D84,AO$19:AO$20,"#7")</f>
        <v>#NAME?</v>
      </c>
      <c r="AP84" s="122"/>
      <c r="AQ84" s="142" t="e">
        <f ca="1">GetCtData("PKAMOUNT","AMOUNT",$AQ$11:$AQ$18,$B84:$D84,AQ$19:AQ$20,"#")</f>
        <v>#NAME?</v>
      </c>
      <c r="AR84" s="142" t="e">
        <f t="shared" ca="1" si="49"/>
        <v>#NAME?</v>
      </c>
      <c r="AS84" s="142"/>
      <c r="AT84" s="142" t="e">
        <f ca="1">GetCtData("PKAMOUNT","AMOUNT",AT$11:AT$18,$B84:$D84,AT$19:AT$20,"#")</f>
        <v>#NAME?</v>
      </c>
      <c r="AU84" s="142" t="e">
        <f t="shared" ca="1" si="50"/>
        <v>#NAME?</v>
      </c>
      <c r="AV84" s="72"/>
      <c r="AW84" s="72" t="e">
        <f t="shared" ca="1" si="51"/>
        <v>#NAME?</v>
      </c>
      <c r="AX84" s="72" t="e">
        <f t="shared" ca="1" si="52"/>
        <v>#NAME?</v>
      </c>
      <c r="AY84" s="72"/>
      <c r="AZ84" s="72" t="e">
        <f t="shared" ca="1" si="53"/>
        <v>#NAME?</v>
      </c>
      <c r="BA84" s="72" t="e">
        <f t="shared" ca="1" si="54"/>
        <v>#NAME?</v>
      </c>
      <c r="BB84" s="72"/>
      <c r="BC84" s="72" t="e">
        <f t="shared" ca="1" si="55"/>
        <v>#NAME?</v>
      </c>
      <c r="BD84" s="72" t="e">
        <f t="shared" ca="1" si="40"/>
        <v>#NAME?</v>
      </c>
      <c r="BE84" s="72"/>
      <c r="BF84" s="72" t="e">
        <f t="shared" ca="1" si="56"/>
        <v>#NAME?</v>
      </c>
      <c r="BG84" s="72" t="e">
        <f t="shared" ca="1" si="41"/>
        <v>#NAME?</v>
      </c>
      <c r="BH84" s="72"/>
      <c r="BI84" s="72" t="e">
        <f t="shared" ca="1" si="57"/>
        <v>#NAME?</v>
      </c>
      <c r="BJ84" s="72" t="e">
        <f t="shared" ca="1" si="42"/>
        <v>#NAME?</v>
      </c>
      <c r="BK84" s="72"/>
      <c r="BL84" s="72" t="e">
        <f t="shared" ca="1" si="58"/>
        <v>#NAME?</v>
      </c>
      <c r="BM84" s="72" t="e">
        <f t="shared" ca="1" si="59"/>
        <v>#NAME?</v>
      </c>
      <c r="BN84" s="72"/>
      <c r="BO84" s="72" t="e">
        <f t="shared" ca="1" si="60"/>
        <v>#NAME?</v>
      </c>
      <c r="BP84" s="72" t="e">
        <f t="shared" ca="1" si="61"/>
        <v>#NAME?</v>
      </c>
      <c r="BQ84" s="72"/>
      <c r="BR84" s="72" t="e">
        <f t="shared" ca="1" si="62"/>
        <v>#NAME?</v>
      </c>
      <c r="BS84" s="72" t="e">
        <f ca="1">#REF!-BR84</f>
        <v>#REF!</v>
      </c>
    </row>
    <row r="85" spans="1:71" outlineLevel="1" x14ac:dyDescent="0.2">
      <c r="A85" s="82" t="s">
        <v>243</v>
      </c>
      <c r="B85" s="82" t="s">
        <v>300</v>
      </c>
      <c r="D85" s="82" t="s">
        <v>172</v>
      </c>
      <c r="E85" s="74" t="e">
        <f ca="1">GetCtLabel(B85,"CURINIT(AC)!LDESC","#Employee relocation expenses")</f>
        <v>#NAME?</v>
      </c>
      <c r="F85" s="137"/>
      <c r="G85" s="138"/>
      <c r="H85" s="137"/>
      <c r="I85" s="139"/>
      <c r="J85" s="139"/>
      <c r="K85" s="139"/>
      <c r="L85" s="139"/>
      <c r="M85" s="139"/>
      <c r="N85" s="130"/>
      <c r="O85" s="140">
        <f t="shared" si="43"/>
        <v>0</v>
      </c>
      <c r="P85" s="141">
        <f t="shared" si="36"/>
        <v>0</v>
      </c>
      <c r="Q85" s="141">
        <f t="shared" si="36"/>
        <v>0</v>
      </c>
      <c r="R85" s="133" t="e">
        <f t="shared" ca="1" si="69"/>
        <v>#NAME?</v>
      </c>
      <c r="S85" s="133" t="e">
        <f t="shared" ca="1" si="70"/>
        <v>#NAME?</v>
      </c>
      <c r="T85" s="134" t="e">
        <f ca="1">PutCtData("PKAMOUNT","AMOUNT",T$11:T$14,$B85:$D85,T$17:T$18,$P85)</f>
        <v>#NAME?</v>
      </c>
      <c r="U85" s="134" t="e">
        <f t="shared" ca="1" si="47"/>
        <v>#NAME?</v>
      </c>
      <c r="V85" s="144"/>
      <c r="W85" s="142"/>
      <c r="X85" s="142"/>
      <c r="Y85" s="122"/>
      <c r="Z85" s="135"/>
      <c r="AA85" s="135"/>
      <c r="AB85" s="135">
        <f t="shared" si="33"/>
        <v>0</v>
      </c>
      <c r="AC85" s="135">
        <f t="shared" si="48"/>
        <v>0</v>
      </c>
      <c r="AD85" s="122"/>
      <c r="AE85" s="142" t="e">
        <f ca="1">GetCtData("PKAMOUNT","AMOUNT",$AE$11:$AE$18,$B85:$D85,AE$19:AE$20,"#0")</f>
        <v>#NAME?</v>
      </c>
      <c r="AF85" s="142"/>
      <c r="AG85" s="142" t="e">
        <f t="shared" ca="1" si="63"/>
        <v>#NAME?</v>
      </c>
      <c r="AH85" s="143" t="e">
        <f t="shared" ca="1" si="37"/>
        <v>#NAME?</v>
      </c>
      <c r="AI85" s="128"/>
      <c r="AJ85" s="142" t="e">
        <f t="shared" ca="1" si="38"/>
        <v>#NAME?</v>
      </c>
      <c r="AK85" s="142" t="e">
        <f ca="1">GetCtData("PKAMOUNT","AMOUNT",$AK$11:$AK$18,$B85:$D85,AK$19:AK$20,"#0")</f>
        <v>#NAME?</v>
      </c>
      <c r="AL85" s="143" t="e">
        <f t="shared" ca="1" si="39"/>
        <v>#NAME?</v>
      </c>
      <c r="AM85" s="122"/>
      <c r="AN85" s="142" t="e">
        <f ca="1">GetCtData("PKAMOUNT","AMOUNT",$AN$11:$AN$18,$B85:$D85,AN$19:AN$20,"#0")</f>
        <v>#NAME?</v>
      </c>
      <c r="AO85" s="142" t="e">
        <f ca="1">GetCtData("PKAMOUNT","AMOUNT",$AO$11:$AO$18,$B85:$D85,AO$19:AO$20,"#0")</f>
        <v>#NAME?</v>
      </c>
      <c r="AP85" s="122"/>
      <c r="AQ85" s="142" t="e">
        <f ca="1">GetCtData("PKAMOUNT","AMOUNT",$AQ$11:$AQ$18,$B85:$D85,AQ$19:AQ$20,"#0")</f>
        <v>#NAME?</v>
      </c>
      <c r="AR85" s="142" t="e">
        <f t="shared" ca="1" si="49"/>
        <v>#NAME?</v>
      </c>
      <c r="AS85" s="142"/>
      <c r="AT85" s="142" t="e">
        <f ca="1">GetCtData("PKAMOUNT","AMOUNT",AT$11:AT$18,$B85:$D85,AT$19:AT$20,"#0")</f>
        <v>#NAME?</v>
      </c>
      <c r="AU85" s="142" t="e">
        <f t="shared" ca="1" si="50"/>
        <v>#NAME?</v>
      </c>
      <c r="AV85" s="72"/>
      <c r="AW85" s="72" t="e">
        <f t="shared" ca="1" si="51"/>
        <v>#NAME?</v>
      </c>
      <c r="AX85" s="72" t="e">
        <f t="shared" ca="1" si="52"/>
        <v>#NAME?</v>
      </c>
      <c r="AY85" s="72"/>
      <c r="AZ85" s="72" t="e">
        <f t="shared" ca="1" si="53"/>
        <v>#NAME?</v>
      </c>
      <c r="BA85" s="72" t="e">
        <f t="shared" ca="1" si="54"/>
        <v>#NAME?</v>
      </c>
      <c r="BB85" s="72"/>
      <c r="BC85" s="72" t="e">
        <f t="shared" ca="1" si="55"/>
        <v>#NAME?</v>
      </c>
      <c r="BD85" s="72" t="e">
        <f t="shared" ca="1" si="40"/>
        <v>#NAME?</v>
      </c>
      <c r="BE85" s="72"/>
      <c r="BF85" s="72" t="e">
        <f t="shared" ca="1" si="56"/>
        <v>#NAME?</v>
      </c>
      <c r="BG85" s="72" t="e">
        <f t="shared" ca="1" si="41"/>
        <v>#NAME?</v>
      </c>
      <c r="BH85" s="72"/>
      <c r="BI85" s="72" t="e">
        <f t="shared" ca="1" si="57"/>
        <v>#NAME?</v>
      </c>
      <c r="BJ85" s="72" t="e">
        <f t="shared" ca="1" si="42"/>
        <v>#NAME?</v>
      </c>
      <c r="BK85" s="72"/>
      <c r="BL85" s="72" t="e">
        <f t="shared" ca="1" si="58"/>
        <v>#NAME?</v>
      </c>
      <c r="BM85" s="72" t="e">
        <f t="shared" ca="1" si="59"/>
        <v>#NAME?</v>
      </c>
      <c r="BN85" s="72"/>
      <c r="BO85" s="72" t="e">
        <f t="shared" ca="1" si="60"/>
        <v>#NAME?</v>
      </c>
      <c r="BP85" s="72" t="e">
        <f t="shared" ca="1" si="61"/>
        <v>#NAME?</v>
      </c>
      <c r="BQ85" s="72"/>
      <c r="BR85" s="72" t="e">
        <f t="shared" ca="1" si="62"/>
        <v>#NAME?</v>
      </c>
      <c r="BS85" s="72" t="e">
        <f ca="1">#REF!-BR85</f>
        <v>#REF!</v>
      </c>
    </row>
    <row r="86" spans="1:71" outlineLevel="1" x14ac:dyDescent="0.2">
      <c r="A86" s="82" t="s">
        <v>243</v>
      </c>
      <c r="B86" s="82" t="s">
        <v>301</v>
      </c>
      <c r="D86" s="82" t="s">
        <v>172</v>
      </c>
      <c r="E86" s="74" t="e">
        <f ca="1">GetCtLabel(B86,"CURINIT(AC)!LDESC","#Housing allowance")</f>
        <v>#NAME?</v>
      </c>
      <c r="F86" s="137"/>
      <c r="G86" s="138"/>
      <c r="H86" s="137"/>
      <c r="I86" s="139"/>
      <c r="J86" s="139"/>
      <c r="K86" s="139"/>
      <c r="L86" s="139"/>
      <c r="M86" s="139"/>
      <c r="N86" s="130"/>
      <c r="O86" s="140">
        <f t="shared" si="43"/>
        <v>0</v>
      </c>
      <c r="P86" s="141">
        <f t="shared" si="36"/>
        <v>0</v>
      </c>
      <c r="Q86" s="141">
        <f t="shared" si="36"/>
        <v>0</v>
      </c>
      <c r="R86" s="133" t="e">
        <f t="shared" ca="1" si="69"/>
        <v>#NAME?</v>
      </c>
      <c r="S86" s="133" t="e">
        <f t="shared" ca="1" si="70"/>
        <v>#NAME?</v>
      </c>
      <c r="T86" s="134" t="e">
        <f ca="1">PutCtData("PKAMOUNT","AMOUNT",T$11:T$14,$B86:$D86,T$17:T$18,$P86)</f>
        <v>#NAME?</v>
      </c>
      <c r="U86" s="134" t="e">
        <f t="shared" ca="1" si="47"/>
        <v>#NAME?</v>
      </c>
      <c r="V86" s="144"/>
      <c r="W86" s="142"/>
      <c r="X86" s="142"/>
      <c r="Y86" s="122"/>
      <c r="Z86" s="135"/>
      <c r="AA86" s="135"/>
      <c r="AB86" s="135">
        <f t="shared" si="33"/>
        <v>0</v>
      </c>
      <c r="AC86" s="135">
        <f t="shared" si="48"/>
        <v>0</v>
      </c>
      <c r="AD86" s="122"/>
      <c r="AE86" s="142" t="e">
        <f ca="1">GetCtData("PKAMOUNT","AMOUNT",$AE$11:$AE$18,$B86:$D86,AE$19:AE$20,"#0")</f>
        <v>#NAME?</v>
      </c>
      <c r="AF86" s="142"/>
      <c r="AG86" s="142" t="e">
        <f t="shared" ca="1" si="63"/>
        <v>#NAME?</v>
      </c>
      <c r="AH86" s="143" t="e">
        <f t="shared" ca="1" si="37"/>
        <v>#NAME?</v>
      </c>
      <c r="AI86" s="128"/>
      <c r="AJ86" s="142" t="e">
        <f t="shared" ca="1" si="38"/>
        <v>#NAME?</v>
      </c>
      <c r="AK86" s="142" t="e">
        <f ca="1">GetCtData("PKAMOUNT","AMOUNT",$AK$11:$AK$18,$B86:$D86,AK$19:AK$20,"#0")</f>
        <v>#NAME?</v>
      </c>
      <c r="AL86" s="143" t="e">
        <f t="shared" ca="1" si="39"/>
        <v>#NAME?</v>
      </c>
      <c r="AM86" s="122"/>
      <c r="AN86" s="142" t="e">
        <f ca="1">GetCtData("PKAMOUNT","AMOUNT",$AN$11:$AN$18,$B86:$D86,AN$19:AN$20,"#0")</f>
        <v>#NAME?</v>
      </c>
      <c r="AO86" s="142" t="e">
        <f ca="1">GetCtData("PKAMOUNT","AMOUNT",$AO$11:$AO$18,$B86:$D86,AO$19:AO$20,"#0")</f>
        <v>#NAME?</v>
      </c>
      <c r="AP86" s="122"/>
      <c r="AQ86" s="142" t="e">
        <f ca="1">GetCtData("PKAMOUNT","AMOUNT",$AQ$11:$AQ$18,$B86:$D86,AQ$19:AQ$20,"#0")</f>
        <v>#NAME?</v>
      </c>
      <c r="AR86" s="142" t="e">
        <f t="shared" ca="1" si="49"/>
        <v>#NAME?</v>
      </c>
      <c r="AS86" s="142"/>
      <c r="AT86" s="142" t="e">
        <f ca="1">GetCtData("PKAMOUNT","AMOUNT",AT$11:AT$18,$B86:$D86,AT$19:AT$20,"#0")</f>
        <v>#NAME?</v>
      </c>
      <c r="AU86" s="142" t="e">
        <f t="shared" ca="1" si="50"/>
        <v>#NAME?</v>
      </c>
      <c r="AV86" s="72"/>
      <c r="AW86" s="72" t="e">
        <f t="shared" ca="1" si="51"/>
        <v>#NAME?</v>
      </c>
      <c r="AX86" s="72" t="e">
        <f t="shared" ca="1" si="52"/>
        <v>#NAME?</v>
      </c>
      <c r="AY86" s="72"/>
      <c r="AZ86" s="72" t="e">
        <f t="shared" ca="1" si="53"/>
        <v>#NAME?</v>
      </c>
      <c r="BA86" s="72" t="e">
        <f t="shared" ca="1" si="54"/>
        <v>#NAME?</v>
      </c>
      <c r="BB86" s="72"/>
      <c r="BC86" s="72" t="e">
        <f t="shared" ca="1" si="55"/>
        <v>#NAME?</v>
      </c>
      <c r="BD86" s="72" t="e">
        <f t="shared" ca="1" si="40"/>
        <v>#NAME?</v>
      </c>
      <c r="BE86" s="72"/>
      <c r="BF86" s="72" t="e">
        <f t="shared" ca="1" si="56"/>
        <v>#NAME?</v>
      </c>
      <c r="BG86" s="72" t="e">
        <f t="shared" ca="1" si="41"/>
        <v>#NAME?</v>
      </c>
      <c r="BH86" s="72"/>
      <c r="BI86" s="72" t="e">
        <f t="shared" ca="1" si="57"/>
        <v>#NAME?</v>
      </c>
      <c r="BJ86" s="72" t="e">
        <f t="shared" ca="1" si="42"/>
        <v>#NAME?</v>
      </c>
      <c r="BK86" s="72"/>
      <c r="BL86" s="72" t="e">
        <f t="shared" ca="1" si="58"/>
        <v>#NAME?</v>
      </c>
      <c r="BM86" s="72" t="e">
        <f t="shared" ca="1" si="59"/>
        <v>#NAME?</v>
      </c>
      <c r="BN86" s="72"/>
      <c r="BO86" s="72" t="e">
        <f t="shared" ca="1" si="60"/>
        <v>#NAME?</v>
      </c>
      <c r="BP86" s="72" t="e">
        <f t="shared" ca="1" si="61"/>
        <v>#NAME?</v>
      </c>
      <c r="BQ86" s="72"/>
      <c r="BR86" s="72" t="e">
        <f t="shared" ca="1" si="62"/>
        <v>#NAME?</v>
      </c>
      <c r="BS86" s="72" t="e">
        <f ca="1">#REF!-BR86</f>
        <v>#REF!</v>
      </c>
    </row>
    <row r="87" spans="1:71" outlineLevel="1" x14ac:dyDescent="0.2">
      <c r="A87" s="82" t="s">
        <v>243</v>
      </c>
      <c r="B87" s="82" t="s">
        <v>302</v>
      </c>
      <c r="D87" s="82" t="s">
        <v>172</v>
      </c>
      <c r="E87" s="74" t="e">
        <f ca="1">GetCtLabel(B87,"CURINIT(AC)!LDESC","#Medical insurance")</f>
        <v>#NAME?</v>
      </c>
      <c r="F87" s="137"/>
      <c r="G87" s="138"/>
      <c r="H87" s="137"/>
      <c r="I87" s="139"/>
      <c r="J87" s="139"/>
      <c r="K87" s="139"/>
      <c r="L87" s="139"/>
      <c r="M87" s="139"/>
      <c r="N87" s="130"/>
      <c r="O87" s="140">
        <f t="shared" si="43"/>
        <v>0</v>
      </c>
      <c r="P87" s="141">
        <f t="shared" si="36"/>
        <v>0</v>
      </c>
      <c r="Q87" s="141">
        <f t="shared" si="36"/>
        <v>0</v>
      </c>
      <c r="R87" s="133" t="e">
        <f t="shared" ca="1" si="69"/>
        <v>#NAME?</v>
      </c>
      <c r="S87" s="133" t="e">
        <f t="shared" ca="1" si="70"/>
        <v>#NAME?</v>
      </c>
      <c r="T87" s="134" t="e">
        <f ca="1">PutCtData("PKAMOUNT","AMOUNT",T$11:T$14,$B87:$D87,T$17:T$18,$P87)</f>
        <v>#NAME?</v>
      </c>
      <c r="U87" s="134" t="e">
        <f t="shared" ca="1" si="47"/>
        <v>#NAME?</v>
      </c>
      <c r="V87" s="144"/>
      <c r="W87" s="142"/>
      <c r="X87" s="142"/>
      <c r="Y87" s="122"/>
      <c r="Z87" s="135"/>
      <c r="AA87" s="135"/>
      <c r="AB87" s="135">
        <f t="shared" si="33"/>
        <v>0</v>
      </c>
      <c r="AC87" s="135">
        <f t="shared" si="48"/>
        <v>0</v>
      </c>
      <c r="AD87" s="122"/>
      <c r="AE87" s="142" t="e">
        <f ca="1">GetCtData("PKAMOUNT","AMOUNT",$AE$11:$AE$18,$B87:$D87,AE$19:AE$20,"#0")</f>
        <v>#NAME?</v>
      </c>
      <c r="AF87" s="142"/>
      <c r="AG87" s="142" t="e">
        <f t="shared" ca="1" si="63"/>
        <v>#NAME?</v>
      </c>
      <c r="AH87" s="143" t="e">
        <f t="shared" ca="1" si="37"/>
        <v>#NAME?</v>
      </c>
      <c r="AI87" s="128"/>
      <c r="AJ87" s="142" t="e">
        <f t="shared" ca="1" si="38"/>
        <v>#NAME?</v>
      </c>
      <c r="AK87" s="142" t="e">
        <f ca="1">GetCtData("PKAMOUNT","AMOUNT",$AK$11:$AK$18,$B87:$D87,AK$19:AK$20,"#0")</f>
        <v>#NAME?</v>
      </c>
      <c r="AL87" s="143" t="e">
        <f t="shared" ca="1" si="39"/>
        <v>#NAME?</v>
      </c>
      <c r="AM87" s="122"/>
      <c r="AN87" s="142" t="e">
        <f ca="1">GetCtData("PKAMOUNT","AMOUNT",$AN$11:$AN$18,$B87:$D87,AN$19:AN$20,"#0")</f>
        <v>#NAME?</v>
      </c>
      <c r="AO87" s="142" t="e">
        <f ca="1">GetCtData("PKAMOUNT","AMOUNT",$AO$11:$AO$18,$B87:$D87,AO$19:AO$20,"#0")</f>
        <v>#NAME?</v>
      </c>
      <c r="AP87" s="122"/>
      <c r="AQ87" s="142" t="e">
        <f ca="1">GetCtData("PKAMOUNT","AMOUNT",$AQ$11:$AQ$18,$B87:$D87,AQ$19:AQ$20,"#0")</f>
        <v>#NAME?</v>
      </c>
      <c r="AR87" s="142" t="e">
        <f t="shared" ca="1" si="49"/>
        <v>#NAME?</v>
      </c>
      <c r="AS87" s="142"/>
      <c r="AT87" s="142" t="e">
        <f ca="1">GetCtData("PKAMOUNT","AMOUNT",AT$11:AT$18,$B87:$D87,AT$19:AT$20,"#0")</f>
        <v>#NAME?</v>
      </c>
      <c r="AU87" s="142" t="e">
        <f t="shared" ca="1" si="50"/>
        <v>#NAME?</v>
      </c>
      <c r="AV87" s="72"/>
      <c r="AW87" s="72" t="e">
        <f t="shared" ca="1" si="51"/>
        <v>#NAME?</v>
      </c>
      <c r="AX87" s="72" t="e">
        <f t="shared" ca="1" si="52"/>
        <v>#NAME?</v>
      </c>
      <c r="AY87" s="72"/>
      <c r="AZ87" s="72" t="e">
        <f t="shared" ca="1" si="53"/>
        <v>#NAME?</v>
      </c>
      <c r="BA87" s="72" t="e">
        <f t="shared" ca="1" si="54"/>
        <v>#NAME?</v>
      </c>
      <c r="BB87" s="72"/>
      <c r="BC87" s="72" t="e">
        <f t="shared" ca="1" si="55"/>
        <v>#NAME?</v>
      </c>
      <c r="BD87" s="72" t="e">
        <f t="shared" ca="1" si="40"/>
        <v>#NAME?</v>
      </c>
      <c r="BE87" s="72"/>
      <c r="BF87" s="72" t="e">
        <f t="shared" ca="1" si="56"/>
        <v>#NAME?</v>
      </c>
      <c r="BG87" s="72" t="e">
        <f t="shared" ca="1" si="41"/>
        <v>#NAME?</v>
      </c>
      <c r="BH87" s="72"/>
      <c r="BI87" s="72" t="e">
        <f t="shared" ca="1" si="57"/>
        <v>#NAME?</v>
      </c>
      <c r="BJ87" s="72" t="e">
        <f t="shared" ca="1" si="42"/>
        <v>#NAME?</v>
      </c>
      <c r="BK87" s="72"/>
      <c r="BL87" s="72" t="e">
        <f t="shared" ca="1" si="58"/>
        <v>#NAME?</v>
      </c>
      <c r="BM87" s="72" t="e">
        <f t="shared" ca="1" si="59"/>
        <v>#NAME?</v>
      </c>
      <c r="BN87" s="72"/>
      <c r="BO87" s="72" t="e">
        <f t="shared" ca="1" si="60"/>
        <v>#NAME?</v>
      </c>
      <c r="BP87" s="72" t="e">
        <f t="shared" ca="1" si="61"/>
        <v>#NAME?</v>
      </c>
      <c r="BQ87" s="72"/>
      <c r="BR87" s="72" t="e">
        <f t="shared" ca="1" si="62"/>
        <v>#NAME?</v>
      </c>
      <c r="BS87" s="72" t="e">
        <f ca="1">#REF!-BR87</f>
        <v>#REF!</v>
      </c>
    </row>
    <row r="88" spans="1:71" x14ac:dyDescent="0.2">
      <c r="A88" s="82" t="s">
        <v>243</v>
      </c>
      <c r="B88" s="82" t="s">
        <v>303</v>
      </c>
      <c r="D88" s="82" t="s">
        <v>172</v>
      </c>
      <c r="E88" s="74" t="e">
        <f ca="1">GetCtLabel(B88,"CURINIT(AC)!LDESC","#Holiday Pay")</f>
        <v>#NAME?</v>
      </c>
      <c r="F88" s="137">
        <v>41</v>
      </c>
      <c r="G88" s="138"/>
      <c r="H88" s="137"/>
      <c r="I88" s="139"/>
      <c r="J88" s="139"/>
      <c r="K88" s="139">
        <v>-13</v>
      </c>
      <c r="L88" s="139"/>
      <c r="M88" s="139"/>
      <c r="N88" s="130"/>
      <c r="O88" s="140">
        <f t="shared" si="43"/>
        <v>28</v>
      </c>
      <c r="P88" s="141">
        <f t="shared" si="36"/>
        <v>13</v>
      </c>
      <c r="Q88" s="141">
        <f t="shared" si="36"/>
        <v>0</v>
      </c>
      <c r="R88" s="133" t="e">
        <f t="shared" ca="1" si="69"/>
        <v>#NAME?</v>
      </c>
      <c r="S88" s="133" t="e">
        <f t="shared" ca="1" si="70"/>
        <v>#NAME?</v>
      </c>
      <c r="T88" s="134" t="e">
        <f ca="1">PutCtData("PKAMOUNT","AMOUNT",T$11:T$14,$B88:$D88,T$17:T$18,$P88)</f>
        <v>#NAME?</v>
      </c>
      <c r="U88" s="134" t="e">
        <f t="shared" ca="1" si="47"/>
        <v>#NAME?</v>
      </c>
      <c r="V88" s="144"/>
      <c r="W88" s="142"/>
      <c r="X88" s="142"/>
      <c r="Y88" s="122"/>
      <c r="Z88" s="135">
        <v>34</v>
      </c>
      <c r="AA88" s="135"/>
      <c r="AB88" s="135">
        <f t="shared" si="33"/>
        <v>34</v>
      </c>
      <c r="AC88" s="135">
        <f t="shared" si="48"/>
        <v>-6</v>
      </c>
      <c r="AD88" s="122"/>
      <c r="AE88" s="142" t="e">
        <f ca="1">GetCtData("PKAMOUNT","AMOUNT",$AE$11:$AE$18,$B88:$D88,AE$19:AE$20,"#28")</f>
        <v>#NAME?</v>
      </c>
      <c r="AF88" s="142"/>
      <c r="AG88" s="142" t="e">
        <f t="shared" ca="1" si="63"/>
        <v>#NAME?</v>
      </c>
      <c r="AH88" s="143" t="e">
        <f t="shared" ca="1" si="37"/>
        <v>#NAME?</v>
      </c>
      <c r="AI88" s="128"/>
      <c r="AJ88" s="142" t="e">
        <f t="shared" ca="1" si="38"/>
        <v>#NAME?</v>
      </c>
      <c r="AK88" s="142" t="e">
        <f ca="1">GetCtData("PKAMOUNT","AMOUNT",$AK$11:$AK$18,$B88:$D88,AK$19:AK$20,"#")</f>
        <v>#NAME?</v>
      </c>
      <c r="AL88" s="143" t="e">
        <f t="shared" ca="1" si="39"/>
        <v>#NAME?</v>
      </c>
      <c r="AM88" s="122"/>
      <c r="AN88" s="142" t="e">
        <f ca="1">GetCtData("PKAMOUNT","AMOUNT",$AN$11:$AN$18,$B88:$D88,AN$19:AN$20,"#14")</f>
        <v>#NAME?</v>
      </c>
      <c r="AO88" s="142" t="e">
        <f ca="1">GetCtData("PKAMOUNT","AMOUNT",$AO$11:$AO$18,$B88:$D88,AO$19:AO$20,"#28")</f>
        <v>#NAME?</v>
      </c>
      <c r="AP88" s="122"/>
      <c r="AQ88" s="142" t="e">
        <f ca="1">GetCtData("PKAMOUNT","AMOUNT",$AQ$11:$AQ$18,$B88:$D88,AQ$19:AQ$20,"#10")</f>
        <v>#NAME?</v>
      </c>
      <c r="AR88" s="142" t="e">
        <f t="shared" ca="1" si="49"/>
        <v>#NAME?</v>
      </c>
      <c r="AS88" s="142"/>
      <c r="AT88" s="142" t="e">
        <f ca="1">GetCtData("PKAMOUNT","AMOUNT",AT$11:AT$18,$B88:$D88,AT$19:AT$20,"#-11")</f>
        <v>#NAME?</v>
      </c>
      <c r="AU88" s="142" t="e">
        <f t="shared" ca="1" si="50"/>
        <v>#NAME?</v>
      </c>
      <c r="AV88" s="72"/>
      <c r="AW88" s="72" t="e">
        <f t="shared" ca="1" si="51"/>
        <v>#NAME?</v>
      </c>
      <c r="AX88" s="72" t="e">
        <f t="shared" ca="1" si="52"/>
        <v>#NAME?</v>
      </c>
      <c r="AY88" s="72"/>
      <c r="AZ88" s="72" t="e">
        <f t="shared" ca="1" si="53"/>
        <v>#NAME?</v>
      </c>
      <c r="BA88" s="72" t="e">
        <f t="shared" ca="1" si="54"/>
        <v>#NAME?</v>
      </c>
      <c r="BB88" s="72"/>
      <c r="BC88" s="72" t="e">
        <f t="shared" ca="1" si="55"/>
        <v>#NAME?</v>
      </c>
      <c r="BD88" s="72" t="e">
        <f t="shared" ca="1" si="40"/>
        <v>#NAME?</v>
      </c>
      <c r="BE88" s="72"/>
      <c r="BF88" s="72" t="e">
        <f t="shared" ca="1" si="56"/>
        <v>#NAME?</v>
      </c>
      <c r="BG88" s="72" t="e">
        <f t="shared" ca="1" si="41"/>
        <v>#NAME?</v>
      </c>
      <c r="BH88" s="72"/>
      <c r="BI88" s="72" t="e">
        <f t="shared" ca="1" si="57"/>
        <v>#NAME?</v>
      </c>
      <c r="BJ88" s="72" t="e">
        <f t="shared" ca="1" si="42"/>
        <v>#NAME?</v>
      </c>
      <c r="BK88" s="72"/>
      <c r="BL88" s="72" t="e">
        <f t="shared" ca="1" si="58"/>
        <v>#NAME?</v>
      </c>
      <c r="BM88" s="72" t="e">
        <f t="shared" ca="1" si="59"/>
        <v>#NAME?</v>
      </c>
      <c r="BN88" s="72"/>
      <c r="BO88" s="72" t="e">
        <f t="shared" ca="1" si="60"/>
        <v>#NAME?</v>
      </c>
      <c r="BP88" s="72" t="e">
        <f t="shared" ca="1" si="61"/>
        <v>#NAME?</v>
      </c>
      <c r="BQ88" s="72"/>
      <c r="BR88" s="72" t="e">
        <f t="shared" ca="1" si="62"/>
        <v>#NAME?</v>
      </c>
      <c r="BS88" s="72" t="e">
        <f ca="1">#REF!-BR88</f>
        <v>#REF!</v>
      </c>
    </row>
    <row r="89" spans="1:71" x14ac:dyDescent="0.2">
      <c r="A89" s="82" t="s">
        <v>243</v>
      </c>
      <c r="B89" s="82" t="s">
        <v>304</v>
      </c>
      <c r="D89" s="82" t="s">
        <v>172</v>
      </c>
      <c r="E89" s="74" t="e">
        <f ca="1">GetCtLabel(B89,"CURINIT(AC)!LDESC","#Other staff costs")</f>
        <v>#NAME?</v>
      </c>
      <c r="F89" s="137">
        <f>-62-7</f>
        <v>-69</v>
      </c>
      <c r="G89" s="138">
        <v>-30</v>
      </c>
      <c r="H89" s="137"/>
      <c r="I89" s="139"/>
      <c r="J89" s="137"/>
      <c r="K89" s="139">
        <f>92+7</f>
        <v>99</v>
      </c>
      <c r="L89" s="139">
        <v>9</v>
      </c>
      <c r="M89" s="139"/>
      <c r="N89" s="130"/>
      <c r="O89" s="140">
        <f t="shared" si="43"/>
        <v>9</v>
      </c>
      <c r="P89" s="141">
        <f t="shared" si="36"/>
        <v>-99</v>
      </c>
      <c r="Q89" s="141">
        <f t="shared" si="36"/>
        <v>-9</v>
      </c>
      <c r="R89" s="133" t="e">
        <f t="shared" ca="1" si="69"/>
        <v>#NAME?</v>
      </c>
      <c r="S89" s="133" t="e">
        <f t="shared" ca="1" si="70"/>
        <v>#NAME?</v>
      </c>
      <c r="T89" s="134" t="e">
        <f ca="1">PutCtData("PKAMOUNT","AMOUNT",T$11:T$14,$B89:$D89,T$17:T$18,$P89)</f>
        <v>#NAME?</v>
      </c>
      <c r="U89" s="134" t="e">
        <f t="shared" ca="1" si="47"/>
        <v>#NAME?</v>
      </c>
      <c r="V89" s="144"/>
      <c r="W89" s="142"/>
      <c r="X89" s="142"/>
      <c r="Y89" s="122"/>
      <c r="Z89" s="135">
        <f>18+9</f>
        <v>27</v>
      </c>
      <c r="AA89" s="135"/>
      <c r="AB89" s="135">
        <f t="shared" si="33"/>
        <v>27</v>
      </c>
      <c r="AC89" s="135">
        <f t="shared" si="48"/>
        <v>-18</v>
      </c>
      <c r="AD89" s="122"/>
      <c r="AE89" s="142" t="e">
        <f ca="1">GetCtData("PKAMOUNT","AMOUNT",$AE$11:$AE$18,$B89:$D89,AE$19:AE$20,"#12")</f>
        <v>#NAME?</v>
      </c>
      <c r="AF89" s="142"/>
      <c r="AG89" s="142" t="e">
        <f t="shared" ca="1" si="63"/>
        <v>#NAME?</v>
      </c>
      <c r="AH89" s="143" t="e">
        <f t="shared" ca="1" si="37"/>
        <v>#NAME?</v>
      </c>
      <c r="AI89" s="128"/>
      <c r="AJ89" s="142" t="e">
        <f t="shared" ca="1" si="38"/>
        <v>#NAME?</v>
      </c>
      <c r="AK89" s="142" t="e">
        <f ca="1">GetCtData("PKAMOUNT","AMOUNT",$AK$11:$AK$18,$B89:$D89,AK$19:AK$20,"#3")</f>
        <v>#NAME?</v>
      </c>
      <c r="AL89" s="143" t="e">
        <f t="shared" ca="1" si="39"/>
        <v>#NAME?</v>
      </c>
      <c r="AM89" s="122"/>
      <c r="AN89" s="142" t="e">
        <f ca="1">GetCtData("PKAMOUNT","AMOUNT",$AN$11:$AN$18,$B89:$D89,AN$19:AN$20,"#-1")</f>
        <v>#NAME?</v>
      </c>
      <c r="AO89" s="142" t="e">
        <f ca="1">GetCtData("PKAMOUNT","AMOUNT",$AO$11:$AO$18,$B89:$D89,AO$19:AO$20,"#9")</f>
        <v>#NAME?</v>
      </c>
      <c r="AP89" s="122"/>
      <c r="AQ89" s="142" t="e">
        <f ca="1">GetCtData("PKAMOUNT","AMOUNT",$AQ$11:$AQ$18,$B89:$D89,AQ$19:AQ$20,"#29")</f>
        <v>#NAME?</v>
      </c>
      <c r="AR89" s="142" t="e">
        <f t="shared" ca="1" si="49"/>
        <v>#NAME?</v>
      </c>
      <c r="AS89" s="142"/>
      <c r="AT89" s="142" t="e">
        <f ca="1">GetCtData("PKAMOUNT","AMOUNT",AT$11:AT$18,$B89:$D89,AT$19:AT$20,"#20")</f>
        <v>#NAME?</v>
      </c>
      <c r="AU89" s="142" t="e">
        <f t="shared" ca="1" si="50"/>
        <v>#NAME?</v>
      </c>
      <c r="AV89" s="72"/>
      <c r="AW89" s="72" t="e">
        <f t="shared" ca="1" si="51"/>
        <v>#NAME?</v>
      </c>
      <c r="AX89" s="72" t="e">
        <f t="shared" ca="1" si="52"/>
        <v>#NAME?</v>
      </c>
      <c r="AY89" s="72"/>
      <c r="AZ89" s="72" t="e">
        <f t="shared" ca="1" si="53"/>
        <v>#NAME?</v>
      </c>
      <c r="BA89" s="72" t="e">
        <f t="shared" ca="1" si="54"/>
        <v>#NAME?</v>
      </c>
      <c r="BB89" s="72"/>
      <c r="BC89" s="72" t="e">
        <f t="shared" ca="1" si="55"/>
        <v>#NAME?</v>
      </c>
      <c r="BD89" s="72" t="e">
        <f t="shared" ca="1" si="40"/>
        <v>#NAME?</v>
      </c>
      <c r="BE89" s="72"/>
      <c r="BF89" s="72" t="e">
        <f t="shared" ca="1" si="56"/>
        <v>#NAME?</v>
      </c>
      <c r="BG89" s="72" t="e">
        <f t="shared" ca="1" si="41"/>
        <v>#NAME?</v>
      </c>
      <c r="BH89" s="72"/>
      <c r="BI89" s="72" t="e">
        <f t="shared" ca="1" si="57"/>
        <v>#NAME?</v>
      </c>
      <c r="BJ89" s="72" t="e">
        <f t="shared" ca="1" si="42"/>
        <v>#NAME?</v>
      </c>
      <c r="BK89" s="72"/>
      <c r="BL89" s="72" t="e">
        <f t="shared" ca="1" si="58"/>
        <v>#NAME?</v>
      </c>
      <c r="BM89" s="72" t="e">
        <f t="shared" ca="1" si="59"/>
        <v>#NAME?</v>
      </c>
      <c r="BN89" s="72"/>
      <c r="BO89" s="72" t="e">
        <f t="shared" ca="1" si="60"/>
        <v>#NAME?</v>
      </c>
      <c r="BP89" s="72" t="e">
        <f t="shared" ca="1" si="61"/>
        <v>#NAME?</v>
      </c>
      <c r="BQ89" s="72"/>
      <c r="BR89" s="72" t="e">
        <f t="shared" ca="1" si="62"/>
        <v>#NAME?</v>
      </c>
      <c r="BS89" s="72" t="e">
        <f ca="1">#REF!-BR89</f>
        <v>#REF!</v>
      </c>
    </row>
    <row r="90" spans="1:71" x14ac:dyDescent="0.2">
      <c r="E90" s="74"/>
      <c r="F90" s="130"/>
      <c r="G90" s="131"/>
      <c r="H90" s="130"/>
      <c r="I90" s="130"/>
      <c r="J90" s="130"/>
      <c r="K90" s="130"/>
      <c r="L90" s="72"/>
      <c r="M90" s="72"/>
      <c r="N90" s="130"/>
      <c r="O90" s="121"/>
      <c r="P90" s="141">
        <f t="shared" si="36"/>
        <v>0</v>
      </c>
      <c r="Q90" s="141"/>
      <c r="R90" s="122"/>
      <c r="S90" s="122"/>
      <c r="T90" s="122" t="e">
        <f ca="1">PutCtData("PKAMOUNT","AMOUNT",$T$11:$T$15,$B90,$T$18,$T$17,P90)</f>
        <v>#NAME?</v>
      </c>
      <c r="U90" s="122" t="e">
        <f ca="1">PutCtData("PKAMOUNT","AMOUNT",$U$11:$U$15,$B90,$U$18,$U$17,L90)</f>
        <v>#NAME?</v>
      </c>
      <c r="V90" s="144"/>
      <c r="W90" s="122"/>
      <c r="X90" s="122"/>
      <c r="Y90" s="122"/>
      <c r="Z90" s="135"/>
      <c r="AA90" s="135"/>
      <c r="AB90" s="135">
        <f t="shared" si="33"/>
        <v>0</v>
      </c>
      <c r="AC90" s="135"/>
      <c r="AD90" s="122"/>
      <c r="AE90" s="122"/>
      <c r="AF90" s="122"/>
      <c r="AG90" s="122">
        <f t="shared" si="63"/>
        <v>0</v>
      </c>
      <c r="AH90" s="136">
        <f t="shared" si="37"/>
        <v>0</v>
      </c>
      <c r="AI90" s="128"/>
      <c r="AJ90" s="122">
        <f t="shared" si="38"/>
        <v>0</v>
      </c>
      <c r="AK90" s="122"/>
      <c r="AL90" s="136">
        <f t="shared" si="39"/>
        <v>0</v>
      </c>
      <c r="AM90" s="122"/>
      <c r="AN90" s="122"/>
      <c r="AO90" s="122"/>
      <c r="AP90" s="122"/>
      <c r="AQ90" s="122"/>
      <c r="AR90" s="122"/>
      <c r="AS90" s="122"/>
      <c r="AT90" s="122"/>
      <c r="AU90" s="122"/>
      <c r="AV90" s="130"/>
      <c r="AW90" s="130"/>
      <c r="AX90" s="130"/>
      <c r="AY90" s="130"/>
      <c r="AZ90" s="130"/>
      <c r="BA90" s="130"/>
      <c r="BB90" s="130"/>
      <c r="BC90" s="130"/>
      <c r="BD90" s="130">
        <f t="shared" si="40"/>
        <v>0</v>
      </c>
      <c r="BE90" s="130"/>
      <c r="BF90" s="130"/>
      <c r="BG90" s="130">
        <f t="shared" si="41"/>
        <v>0</v>
      </c>
      <c r="BH90" s="130"/>
      <c r="BI90" s="130"/>
      <c r="BJ90" s="130">
        <f t="shared" si="42"/>
        <v>0</v>
      </c>
      <c r="BK90" s="130"/>
      <c r="BL90" s="130"/>
      <c r="BM90" s="130">
        <f>J90-BL90</f>
        <v>0</v>
      </c>
      <c r="BN90" s="130"/>
      <c r="BO90" s="130"/>
      <c r="BP90" s="130">
        <f t="shared" si="61"/>
        <v>0</v>
      </c>
      <c r="BQ90" s="130"/>
      <c r="BR90" s="130"/>
      <c r="BS90" s="130" t="e">
        <f>#REF!-BR90</f>
        <v>#REF!</v>
      </c>
    </row>
    <row r="91" spans="1:71" s="163" customFormat="1" x14ac:dyDescent="0.2">
      <c r="A91" s="146"/>
      <c r="B91" s="146" t="s">
        <v>305</v>
      </c>
      <c r="C91" s="146"/>
      <c r="D91" s="146" t="s">
        <v>250</v>
      </c>
      <c r="E91" s="147" t="e">
        <f ca="1">GetCtLabel(B91,"CURINIT(AC)!LDESC","#TOTAL STAFF COSTS")</f>
        <v>#NAME?</v>
      </c>
      <c r="F91" s="148">
        <f ca="1">SUMIF($A57:F89,"yes",F57:F89)</f>
        <v>6704</v>
      </c>
      <c r="G91" s="148">
        <f ca="1">SUMIF($A57:G89,"yes",G57:G89)</f>
        <v>5</v>
      </c>
      <c r="H91" s="148"/>
      <c r="I91" s="148">
        <f ca="1">SUMIF($A57:I89,"yes",I57:I89)</f>
        <v>0</v>
      </c>
      <c r="J91" s="148">
        <f ca="1">SUMIF($A57:J89,"yes",J57:J89)</f>
        <v>0</v>
      </c>
      <c r="K91" s="148">
        <f ca="1">SUMIF($A57:K89,"yes",K57:K89)</f>
        <v>-1703</v>
      </c>
      <c r="L91" s="148">
        <f ca="1">SUMIF($A57:L89,"yes",L57:L89)</f>
        <v>42</v>
      </c>
      <c r="M91" s="148">
        <f ca="1">SUMIF($A57:M89,"yes",M57:M89)</f>
        <v>44</v>
      </c>
      <c r="N91" s="148"/>
      <c r="O91" s="149">
        <f ca="1">SUMIF($A57:O89,"yes",O57:O89)</f>
        <v>5092</v>
      </c>
      <c r="P91" s="123">
        <f t="shared" ca="1" si="36"/>
        <v>1703</v>
      </c>
      <c r="Q91" s="123"/>
      <c r="R91" s="148" t="e">
        <f ca="1">SUMIF($A57:R89,"yes",R57:R89)</f>
        <v>#NAME?</v>
      </c>
      <c r="S91" s="148" t="e">
        <f ca="1">SUMIF($A57:S89,"yes",S57:S89)</f>
        <v>#NAME?</v>
      </c>
      <c r="T91" s="148" t="e">
        <f ca="1">SUMIF($A57:T89,"yes",T57:T89)</f>
        <v>#NAME?</v>
      </c>
      <c r="U91" s="148" t="e">
        <f ca="1">SUMIF($A57:U89,"yes",U57:U89)</f>
        <v>#NAME?</v>
      </c>
      <c r="V91" s="144"/>
      <c r="W91" s="148">
        <f>SUM(W57:W89)</f>
        <v>0</v>
      </c>
      <c r="X91" s="148">
        <f>SUM(X57:X89)</f>
        <v>0</v>
      </c>
      <c r="Y91" s="136"/>
      <c r="Z91" s="150">
        <f>SUM(Z57:Z89)</f>
        <v>5988</v>
      </c>
      <c r="AA91" s="150">
        <f>SUM(AA57:AA89)</f>
        <v>0</v>
      </c>
      <c r="AB91" s="150">
        <f t="shared" si="33"/>
        <v>5988</v>
      </c>
      <c r="AC91" s="150">
        <f>SUM(AC57:AC89)</f>
        <v>-553</v>
      </c>
      <c r="AD91" s="136"/>
      <c r="AE91" s="148" t="e">
        <f ca="1">GetCtData("PKAMOUNT","AMOUNT",$AE$11:$AE$18,$B91:$D91,AE$19:AE$20,"#5088")</f>
        <v>#NAME?</v>
      </c>
      <c r="AF91" s="148">
        <f>SUM(AF57:AF89)</f>
        <v>0</v>
      </c>
      <c r="AG91" s="148" t="e">
        <f t="shared" ca="1" si="63"/>
        <v>#NAME?</v>
      </c>
      <c r="AH91" s="148" t="e">
        <f t="shared" ca="1" si="37"/>
        <v>#NAME?</v>
      </c>
      <c r="AI91" s="128"/>
      <c r="AJ91" s="148" t="e">
        <f t="shared" ca="1" si="38"/>
        <v>#NAME?</v>
      </c>
      <c r="AK91" s="148" t="e">
        <f ca="1">GetCtData("PKAMOUNT","AMOUNT",$AK$11:$AK$18,$B91:$D91,AK$19:AK$20,"#606")</f>
        <v>#NAME?</v>
      </c>
      <c r="AL91" s="148" t="e">
        <f t="shared" ca="1" si="39"/>
        <v>#NAME?</v>
      </c>
      <c r="AM91" s="136"/>
      <c r="AN91" s="148" t="e">
        <f ca="1">GetCtData("PKAMOUNT","AMOUNT",$AN$11:$AN$18,$B91:$D91,AN$19:AN$20,"#706")</f>
        <v>#NAME?</v>
      </c>
      <c r="AO91" s="148" t="e">
        <f ca="1">GetCtData("PKAMOUNT","AMOUNT",$AO$11:$AO$18,$B91:$D91,AO$19:AO$20,"#4482")</f>
        <v>#NAME?</v>
      </c>
      <c r="AP91" s="136"/>
      <c r="AQ91" s="148" t="e">
        <f ca="1">GetCtData("PKAMOUNT","AMOUNT",$AQ$11:$AQ$18,$B91:$D91,AQ$19:AQ$20,"#5663")</f>
        <v>#NAME?</v>
      </c>
      <c r="AR91" s="148" t="e">
        <f ca="1">O91-AQ91</f>
        <v>#NAME?</v>
      </c>
      <c r="AS91" s="148"/>
      <c r="AT91" s="148" t="e">
        <f ca="1">GetCtData("PKAMOUNT","AMOUNT",AT$11:AT$18,$B91:$D91,AT$19:AT$20,"#5655")</f>
        <v>#NAME?</v>
      </c>
      <c r="AU91" s="148" t="e">
        <f ca="1">O91-AT91</f>
        <v>#NAME?</v>
      </c>
      <c r="AV91" s="148"/>
      <c r="AW91" s="148" t="e">
        <f ca="1">GetCtData("PKAMOUNT","AMOUNT",AW$11:AW$18,$B91:$D91,AW$19:AW$20,"#")</f>
        <v>#NAME?</v>
      </c>
      <c r="AX91" s="148" t="e">
        <f ca="1">O91-AW91</f>
        <v>#NAME?</v>
      </c>
      <c r="AY91" s="148"/>
      <c r="AZ91" s="148" t="e">
        <f ca="1">SUM(AZ57:AZ89)</f>
        <v>#NAME?</v>
      </c>
      <c r="BA91" s="148" t="e">
        <f ca="1">SUM(BA57:BA89)</f>
        <v>#NAME?</v>
      </c>
      <c r="BB91" s="148"/>
      <c r="BC91" s="148" t="e">
        <f ca="1">SUM(BC57:BC89)</f>
        <v>#NAME?</v>
      </c>
      <c r="BD91" s="148" t="e">
        <f t="shared" ca="1" si="40"/>
        <v>#NAME?</v>
      </c>
      <c r="BE91" s="148"/>
      <c r="BF91" s="148" t="e">
        <f ca="1">SUM(BF57:BF89)</f>
        <v>#NAME?</v>
      </c>
      <c r="BG91" s="148" t="e">
        <f t="shared" ca="1" si="41"/>
        <v>#NAME?</v>
      </c>
      <c r="BH91" s="148"/>
      <c r="BI91" s="148" t="e">
        <f ca="1">SUM(BI57:BI89)</f>
        <v>#NAME?</v>
      </c>
      <c r="BJ91" s="148" t="e">
        <f t="shared" ca="1" si="42"/>
        <v>#NAME?</v>
      </c>
      <c r="BK91" s="148"/>
      <c r="BL91" s="148" t="e">
        <f ca="1">SUM(BL57:BL89)</f>
        <v>#NAME?</v>
      </c>
      <c r="BM91" s="148" t="e">
        <f ca="1">O91-BL91</f>
        <v>#NAME?</v>
      </c>
      <c r="BN91" s="148"/>
      <c r="BO91" s="148" t="e">
        <f ca="1">SUM(BO57:BO89)</f>
        <v>#NAME?</v>
      </c>
      <c r="BP91" s="148" t="e">
        <f t="shared" ca="1" si="61"/>
        <v>#NAME?</v>
      </c>
      <c r="BQ91" s="148"/>
      <c r="BR91" s="148" t="e">
        <f ca="1">SUM(BR57:BR89)</f>
        <v>#NAME?</v>
      </c>
      <c r="BS91" s="148" t="e">
        <f ca="1">#REF!-BR91</f>
        <v>#REF!</v>
      </c>
    </row>
    <row r="92" spans="1:71" s="75" customFormat="1" x14ac:dyDescent="0.2">
      <c r="A92" s="86"/>
      <c r="B92" s="86"/>
      <c r="C92" s="86"/>
      <c r="D92" s="86"/>
      <c r="E92" s="74" t="s">
        <v>306</v>
      </c>
      <c r="F92" s="130"/>
      <c r="G92" s="131"/>
      <c r="H92" s="130"/>
      <c r="I92" s="130"/>
      <c r="J92" s="130"/>
      <c r="K92" s="130"/>
      <c r="L92" s="130"/>
      <c r="M92" s="130"/>
      <c r="N92" s="130"/>
      <c r="O92" s="121">
        <f ca="1">O91-(O63+O64)</f>
        <v>5041</v>
      </c>
      <c r="P92" s="141"/>
      <c r="Q92" s="141"/>
      <c r="R92" s="136"/>
      <c r="S92" s="136"/>
      <c r="T92" s="136"/>
      <c r="U92" s="136"/>
      <c r="V92" s="144"/>
      <c r="W92" s="122"/>
      <c r="X92" s="122"/>
      <c r="Y92" s="122"/>
      <c r="Z92" s="135"/>
      <c r="AA92" s="135"/>
      <c r="AB92" s="135"/>
      <c r="AC92" s="135"/>
      <c r="AD92" s="122"/>
      <c r="AE92" s="122" t="e">
        <f ca="1">AE91-(AE63+AE64)</f>
        <v>#NAME?</v>
      </c>
      <c r="AF92" s="122"/>
      <c r="AG92" s="122" t="e">
        <f t="shared" ca="1" si="63"/>
        <v>#NAME?</v>
      </c>
      <c r="AH92" s="136" t="e">
        <f t="shared" ca="1" si="37"/>
        <v>#NAME?</v>
      </c>
      <c r="AI92" s="144"/>
      <c r="AJ92" s="122" t="e">
        <f ca="1">AJ91-(AJ63+AJ64)</f>
        <v>#NAME?</v>
      </c>
      <c r="AK92" s="122" t="e">
        <f ca="1">AK91-(AK63+AK64)</f>
        <v>#NAME?</v>
      </c>
      <c r="AL92" s="136" t="e">
        <f ca="1">AL91-AL63</f>
        <v>#NAME?</v>
      </c>
      <c r="AM92" s="122"/>
      <c r="AN92" s="122" t="e">
        <f ca="1">AN91-(AN63+AN64)</f>
        <v>#NAME?</v>
      </c>
      <c r="AO92" s="122" t="e">
        <f ca="1">AO91-(AO63+AO64)</f>
        <v>#NAME?</v>
      </c>
      <c r="AP92" s="122"/>
      <c r="AQ92" s="122" t="e">
        <f ca="1">AQ91-(AQ63+AQ64)</f>
        <v>#NAME?</v>
      </c>
      <c r="AR92" s="122" t="e">
        <f ca="1">AR91-(AR63+AR64)</f>
        <v>#NAME?</v>
      </c>
      <c r="AS92" s="122">
        <f>AS91-AS63</f>
        <v>0</v>
      </c>
      <c r="AT92" s="122" t="e">
        <f ca="1">AT91-(AT63+AT64)</f>
        <v>#NAME?</v>
      </c>
      <c r="AU92" s="122" t="e">
        <f ca="1">AU91-(AU63+AU64)</f>
        <v>#NAME?</v>
      </c>
      <c r="AV92" s="130">
        <f>AV91-AV63</f>
        <v>0</v>
      </c>
      <c r="AW92" s="130" t="e">
        <f ca="1">AW91-AW63</f>
        <v>#NAME?</v>
      </c>
      <c r="AX92" s="130" t="e">
        <f ca="1">AX91-AX63</f>
        <v>#NAME?</v>
      </c>
      <c r="AY92" s="130"/>
      <c r="AZ92" s="130"/>
      <c r="BA92" s="130"/>
      <c r="BB92" s="130"/>
      <c r="BC92" s="130"/>
      <c r="BD92" s="130"/>
      <c r="BE92" s="130"/>
      <c r="BF92" s="130"/>
      <c r="BG92" s="130"/>
      <c r="BH92" s="130"/>
      <c r="BI92" s="130"/>
      <c r="BJ92" s="130"/>
      <c r="BK92" s="130"/>
      <c r="BL92" s="130"/>
      <c r="BM92" s="130"/>
      <c r="BN92" s="130"/>
      <c r="BO92" s="130"/>
      <c r="BP92" s="130"/>
      <c r="BQ92" s="130"/>
      <c r="BR92" s="130"/>
      <c r="BS92" s="130"/>
    </row>
    <row r="93" spans="1:71" ht="15.75" customHeight="1" x14ac:dyDescent="0.2">
      <c r="E93" s="74"/>
      <c r="F93" s="130"/>
      <c r="G93" s="131"/>
      <c r="H93" s="130"/>
      <c r="I93" s="72">
        <v>0</v>
      </c>
      <c r="J93" s="72"/>
      <c r="K93" s="72"/>
      <c r="L93" s="72"/>
      <c r="M93" s="72"/>
      <c r="N93" s="130"/>
      <c r="O93" s="121"/>
      <c r="P93" s="141">
        <f t="shared" ref="P93:Q114" si="71">-K93</f>
        <v>0</v>
      </c>
      <c r="Q93" s="141"/>
      <c r="R93" s="122"/>
      <c r="S93" s="122"/>
      <c r="T93" s="122" t="e">
        <f ca="1">PutCtData("PKAMOUNT","AMOUNT",$T$11:$T$15,$B93,$T$18,$T$17,P93)</f>
        <v>#NAME?</v>
      </c>
      <c r="U93" s="122" t="e">
        <f ca="1">PutCtData("PKAMOUNT","AMOUNT",$U$11:$U$15,$B93,$U$18,$U$17,L93)</f>
        <v>#NAME?</v>
      </c>
      <c r="V93" s="144"/>
      <c r="W93" s="122"/>
      <c r="X93" s="122">
        <f t="shared" ref="X93:X99" si="72">O93-W93</f>
        <v>0</v>
      </c>
      <c r="Y93" s="122"/>
      <c r="Z93" s="135"/>
      <c r="AA93" s="135"/>
      <c r="AB93" s="135">
        <f t="shared" si="33"/>
        <v>0</v>
      </c>
      <c r="AC93" s="135"/>
      <c r="AD93" s="122"/>
      <c r="AE93" s="164" t="e">
        <f ca="1">AE91-SUMIF($A57:AG89,"yes",AE57:AE89)</f>
        <v>#NAME?</v>
      </c>
      <c r="AF93" s="164">
        <f ca="1">AF91-SUMIF($A57:AH89,"yes",AF57:AF89)</f>
        <v>0</v>
      </c>
      <c r="AG93" s="164" t="e">
        <f ca="1">AG91-SUMIF($A57:AI89,"yes",AG57:AG89)</f>
        <v>#NAME?</v>
      </c>
      <c r="AH93" s="164" t="e">
        <f ca="1">AH91-SUMIF($A57:AH89,"yes",AH57:AH89)</f>
        <v>#NAME?</v>
      </c>
      <c r="AI93" s="164">
        <f ca="1">AI91-SUMIF($A57:AK89,"yes",AI57:AI89)</f>
        <v>0</v>
      </c>
      <c r="AJ93" s="122">
        <f t="shared" ref="AJ93:AJ156" si="73">O93-AO93</f>
        <v>0</v>
      </c>
      <c r="AK93" s="122"/>
      <c r="AL93" s="136">
        <f t="shared" ref="AL93:AL113" si="74">(O93-AO93)-AK93</f>
        <v>0</v>
      </c>
      <c r="AM93" s="122"/>
      <c r="AN93" s="122"/>
      <c r="AO93" s="122"/>
      <c r="AP93" s="122"/>
      <c r="AQ93" s="122"/>
      <c r="AR93" s="122"/>
      <c r="AS93" s="122"/>
      <c r="AT93" s="122"/>
      <c r="AU93" s="122"/>
      <c r="AV93" s="130"/>
      <c r="AW93" s="130"/>
      <c r="AX93" s="130"/>
      <c r="AY93" s="130"/>
      <c r="AZ93" s="130"/>
      <c r="BA93" s="130"/>
      <c r="BB93" s="130"/>
      <c r="BC93" s="130"/>
      <c r="BD93" s="130">
        <f t="shared" ref="BD93:BD156" si="75">K93-BC93</f>
        <v>0</v>
      </c>
      <c r="BE93" s="130"/>
      <c r="BF93" s="130"/>
      <c r="BG93" s="130">
        <f t="shared" ref="BG93:BG156" si="76">O93-BF93</f>
        <v>0</v>
      </c>
      <c r="BH93" s="130"/>
      <c r="BI93" s="130"/>
      <c r="BJ93" s="130">
        <f t="shared" ref="BJ93:BJ156" si="77">O93-BI93</f>
        <v>0</v>
      </c>
      <c r="BK93" s="130"/>
      <c r="BL93" s="130"/>
      <c r="BM93" s="130">
        <f t="shared" ref="BM93:BM128" si="78">O93-BL93</f>
        <v>0</v>
      </c>
      <c r="BN93" s="130"/>
      <c r="BO93" s="130"/>
      <c r="BP93" s="130">
        <f t="shared" ref="BP93:BP156" si="79">O93-BO93</f>
        <v>0</v>
      </c>
      <c r="BQ93" s="130"/>
      <c r="BR93" s="130"/>
      <c r="BS93" s="130" t="e">
        <f>#REF!-BR93</f>
        <v>#REF!</v>
      </c>
    </row>
    <row r="94" spans="1:71" x14ac:dyDescent="0.2">
      <c r="A94" s="82" t="s">
        <v>243</v>
      </c>
      <c r="B94" s="82" t="s">
        <v>307</v>
      </c>
      <c r="D94" s="82" t="s">
        <v>172</v>
      </c>
      <c r="E94" s="74" t="e">
        <f ca="1">GetCtLabel(B94,"CURINIT(AC)!LDESC","#Rent")</f>
        <v>#NAME?</v>
      </c>
      <c r="F94" s="137"/>
      <c r="G94" s="138"/>
      <c r="H94" s="137"/>
      <c r="I94" s="139"/>
      <c r="J94" s="139"/>
      <c r="K94" s="139"/>
      <c r="L94" s="139"/>
      <c r="M94" s="139"/>
      <c r="N94" s="130"/>
      <c r="O94" s="140">
        <f>SUM(F94:M94)</f>
        <v>0</v>
      </c>
      <c r="P94" s="141">
        <f t="shared" si="71"/>
        <v>0</v>
      </c>
      <c r="Q94" s="141">
        <f t="shared" si="71"/>
        <v>0</v>
      </c>
      <c r="R94" s="133" t="e">
        <f t="shared" ref="R94:R102" ca="1" si="80">PutCtData("PKAMOUNT","AMOUNT",R$11:R$14,$B94:$D94,R$17:R$18,$O94)</f>
        <v>#NAME?</v>
      </c>
      <c r="S94" s="133" t="e">
        <f t="shared" ref="S94:S102" ca="1" si="81">PutCtData("PKAMOUNT","AMOUNT",S$11:S$14,$B94:$D94,S$17,$M94)</f>
        <v>#NAME?</v>
      </c>
      <c r="T94" s="134" t="e">
        <f t="shared" ref="T94:T102" ca="1" si="82">PutCtData("PKAMOUNT","AMOUNT",T$11:T$14,$B94:$D94,T$17:T$18,$P94)</f>
        <v>#NAME?</v>
      </c>
      <c r="U94" s="134" t="e">
        <f t="shared" ref="U94:U102" ca="1" si="83">PutCtData("PKAMOUNT","AMOUNT",$U$11:$U$14,$B94:$D94,U$17:U$18,Q94)</f>
        <v>#NAME?</v>
      </c>
      <c r="V94" s="144"/>
      <c r="W94" s="142"/>
      <c r="X94" s="142">
        <f t="shared" si="72"/>
        <v>0</v>
      </c>
      <c r="Y94" s="122"/>
      <c r="Z94" s="135"/>
      <c r="AA94" s="135"/>
      <c r="AB94" s="135">
        <f t="shared" si="33"/>
        <v>0</v>
      </c>
      <c r="AC94" s="135">
        <f t="shared" ref="AC94:AC113" si="84">+O94-AB94</f>
        <v>0</v>
      </c>
      <c r="AD94" s="122"/>
      <c r="AE94" s="142" t="e">
        <f t="shared" ref="AE94:AE102" ca="1" si="85">GetCtData("PKAMOUNT","AMOUNT",$AE$11:$AE$18,$B94:$D94,AE$19:AE$20,"#0")</f>
        <v>#NAME?</v>
      </c>
      <c r="AF94" s="142"/>
      <c r="AG94" s="142" t="e">
        <f t="shared" ca="1" si="63"/>
        <v>#NAME?</v>
      </c>
      <c r="AH94" s="143" t="e">
        <f t="shared" ca="1" si="37"/>
        <v>#NAME?</v>
      </c>
      <c r="AI94" s="128"/>
      <c r="AJ94" s="142" t="e">
        <f t="shared" ca="1" si="73"/>
        <v>#NAME?</v>
      </c>
      <c r="AK94" s="142" t="e">
        <f t="shared" ref="AK94:AK102" ca="1" si="86">GetCtData("PKAMOUNT","AMOUNT",$AK$11:$AK$18,$B94:$D94,AK$19:AK$20,"#")</f>
        <v>#NAME?</v>
      </c>
      <c r="AL94" s="143" t="e">
        <f t="shared" ca="1" si="74"/>
        <v>#NAME?</v>
      </c>
      <c r="AM94" s="122"/>
      <c r="AN94" s="142" t="e">
        <f t="shared" ref="AN94:AN102" ca="1" si="87">GetCtData("PKAMOUNT","AMOUNT",$AN$11:$AN$18,$B94:$D94,AN$19:AN$20,"#0")</f>
        <v>#NAME?</v>
      </c>
      <c r="AO94" s="142" t="e">
        <f t="shared" ref="AO94:AO102" ca="1" si="88">GetCtData("PKAMOUNT","AMOUNT",$AO$11:$AO$18,$B94:$D94,AO$19:AO$20,"#0")</f>
        <v>#NAME?</v>
      </c>
      <c r="AP94" s="122"/>
      <c r="AQ94" s="142" t="e">
        <f t="shared" ref="AQ94:AQ102" ca="1" si="89">GetCtData("PKAMOUNT","AMOUNT",$AQ$11:$AQ$18,$B94:$D94,AQ$19:AQ$20,"#")</f>
        <v>#NAME?</v>
      </c>
      <c r="AR94" s="142" t="e">
        <f t="shared" ref="AR94:AR113" ca="1" si="90">O94-AQ94</f>
        <v>#NAME?</v>
      </c>
      <c r="AS94" s="142"/>
      <c r="AT94" s="142" t="e">
        <f ca="1">GetCtData("PKAMOUNT","AMOUNT",AT$11:AT$18,$B94:$D94,AT$19:AT$20,"#17")</f>
        <v>#NAME?</v>
      </c>
      <c r="AU94" s="142" t="e">
        <f t="shared" ref="AU94:AU113" ca="1" si="91">O94-AT94</f>
        <v>#NAME?</v>
      </c>
      <c r="AV94" s="72"/>
      <c r="AW94" s="72" t="e">
        <f t="shared" ref="AW94:AW104" ca="1" si="92">GetCtData("PKAMOUNT","AMOUNT",AW$11:AW$18,$B94:$D94,AW$19:AW$20,"#")</f>
        <v>#NAME?</v>
      </c>
      <c r="AX94" s="72" t="e">
        <f t="shared" ref="AX94:AX113" ca="1" si="93">O94-AW94</f>
        <v>#NAME?</v>
      </c>
      <c r="AY94" s="72"/>
      <c r="AZ94" s="72" t="e">
        <f ca="1">GetCtData("COAMOUNT","AMOUNT",$AZ$11:$AZ$17,$B94,AZ$19,AZ$20,"#")</f>
        <v>#NAME?</v>
      </c>
      <c r="BA94" s="72" t="e">
        <f ca="1">O94-AZ94</f>
        <v>#NAME?</v>
      </c>
      <c r="BB94" s="72"/>
      <c r="BC94" s="72" t="e">
        <f ca="1">GetCtData("COAMOUNT","AMOUNT",$BF$11:$BF$17,$B94,BC$19,BC$20,"#")</f>
        <v>#NAME?</v>
      </c>
      <c r="BD94" s="72" t="e">
        <f t="shared" ca="1" si="75"/>
        <v>#NAME?</v>
      </c>
      <c r="BE94" s="72"/>
      <c r="BF94" s="72" t="e">
        <f ca="1">GetCtData("COAMOUNT","AMOUNT",$BF$11:$BF$17,$B94,BF$19,BF$20,"#")</f>
        <v>#NAME?</v>
      </c>
      <c r="BG94" s="72" t="e">
        <f t="shared" ca="1" si="76"/>
        <v>#NAME?</v>
      </c>
      <c r="BH94" s="72"/>
      <c r="BI94" s="72" t="e">
        <f ca="1">GetCtData("COAMOUNT","AMOUNT",$AO$11:$AO$17,$B94,BI$19,BI$20,"#")</f>
        <v>#NAME?</v>
      </c>
      <c r="BJ94" s="72" t="e">
        <f t="shared" ca="1" si="77"/>
        <v>#NAME?</v>
      </c>
      <c r="BK94" s="72"/>
      <c r="BL94" s="72" t="e">
        <f t="shared" ref="BL94:BL113" ca="1" si="94">GetCtData("COAMOUNT","AMOUNT",$BO$11:$BO$17,$B94,BL$19,BL$20,"#")</f>
        <v>#NAME?</v>
      </c>
      <c r="BM94" s="72" t="e">
        <f t="shared" ca="1" si="78"/>
        <v>#NAME?</v>
      </c>
      <c r="BN94" s="72"/>
      <c r="BO94" s="72" t="e">
        <f t="shared" ref="BO94:BO104" ca="1" si="95">GetCtData("COAMOUNT","AMOUNT",$BO$11:$BO$17,$B94,BO$19,BO$20,"#")</f>
        <v>#NAME?</v>
      </c>
      <c r="BP94" s="72" t="e">
        <f t="shared" ca="1" si="79"/>
        <v>#NAME?</v>
      </c>
      <c r="BQ94" s="72"/>
      <c r="BR94" s="72" t="e">
        <f t="shared" ref="BR94:BR104" ca="1" si="96">GetCtData("COAMOUNT","AMOUNT",$BO$11:$BO$17,$B94,BR$19,BR$20,"#")</f>
        <v>#NAME?</v>
      </c>
      <c r="BS94" s="72" t="e">
        <f ca="1">#REF!-BR94</f>
        <v>#REF!</v>
      </c>
    </row>
    <row r="95" spans="1:71" outlineLevel="1" x14ac:dyDescent="0.2">
      <c r="A95" s="82" t="s">
        <v>243</v>
      </c>
      <c r="B95" s="82" t="s">
        <v>308</v>
      </c>
      <c r="D95" s="82" t="s">
        <v>172</v>
      </c>
      <c r="E95" s="74" t="e">
        <f ca="1">GetCtLabel(B95,"CURINIT(AC)!LDESC","#Local property taxes")</f>
        <v>#NAME?</v>
      </c>
      <c r="F95" s="137"/>
      <c r="G95" s="138"/>
      <c r="H95" s="137"/>
      <c r="I95" s="139"/>
      <c r="J95" s="139"/>
      <c r="K95" s="139"/>
      <c r="L95" s="139"/>
      <c r="M95" s="139"/>
      <c r="N95" s="130"/>
      <c r="O95" s="140">
        <f>SUM(F95:M95)</f>
        <v>0</v>
      </c>
      <c r="P95" s="141">
        <f t="shared" si="71"/>
        <v>0</v>
      </c>
      <c r="Q95" s="141">
        <f t="shared" si="71"/>
        <v>0</v>
      </c>
      <c r="R95" s="133" t="e">
        <f t="shared" ca="1" si="80"/>
        <v>#NAME?</v>
      </c>
      <c r="S95" s="133" t="e">
        <f t="shared" ca="1" si="81"/>
        <v>#NAME?</v>
      </c>
      <c r="T95" s="134" t="e">
        <f t="shared" ca="1" si="82"/>
        <v>#NAME?</v>
      </c>
      <c r="U95" s="134" t="e">
        <f t="shared" ca="1" si="83"/>
        <v>#NAME?</v>
      </c>
      <c r="V95" s="144"/>
      <c r="W95" s="142"/>
      <c r="X95" s="142">
        <f t="shared" si="72"/>
        <v>0</v>
      </c>
      <c r="Y95" s="122"/>
      <c r="Z95" s="135"/>
      <c r="AA95" s="135"/>
      <c r="AB95" s="135">
        <f t="shared" si="33"/>
        <v>0</v>
      </c>
      <c r="AC95" s="135">
        <f t="shared" si="84"/>
        <v>0</v>
      </c>
      <c r="AD95" s="122"/>
      <c r="AE95" s="142" t="e">
        <f t="shared" ca="1" si="85"/>
        <v>#NAME?</v>
      </c>
      <c r="AF95" s="142"/>
      <c r="AG95" s="142" t="e">
        <f t="shared" ca="1" si="63"/>
        <v>#NAME?</v>
      </c>
      <c r="AH95" s="143" t="e">
        <f t="shared" ca="1" si="37"/>
        <v>#NAME?</v>
      </c>
      <c r="AI95" s="128"/>
      <c r="AJ95" s="142" t="e">
        <f t="shared" ca="1" si="73"/>
        <v>#NAME?</v>
      </c>
      <c r="AK95" s="142" t="e">
        <f t="shared" ca="1" si="86"/>
        <v>#NAME?</v>
      </c>
      <c r="AL95" s="143" t="e">
        <f t="shared" ca="1" si="74"/>
        <v>#NAME?</v>
      </c>
      <c r="AM95" s="122"/>
      <c r="AN95" s="142" t="e">
        <f t="shared" ca="1" si="87"/>
        <v>#NAME?</v>
      </c>
      <c r="AO95" s="142" t="e">
        <f t="shared" ca="1" si="88"/>
        <v>#NAME?</v>
      </c>
      <c r="AP95" s="122"/>
      <c r="AQ95" s="142" t="e">
        <f t="shared" ca="1" si="89"/>
        <v>#NAME?</v>
      </c>
      <c r="AR95" s="142" t="e">
        <f t="shared" ca="1" si="90"/>
        <v>#NAME?</v>
      </c>
      <c r="AS95" s="142"/>
      <c r="AT95" s="142" t="e">
        <f t="shared" ref="AT95:AT102" ca="1" si="97">GetCtData("PKAMOUNT","AMOUNT",AT$11:AT$18,$B95:$D95,AT$19:AT$20,"#0")</f>
        <v>#NAME?</v>
      </c>
      <c r="AU95" s="142" t="e">
        <f t="shared" ca="1" si="91"/>
        <v>#NAME?</v>
      </c>
      <c r="AV95" s="72"/>
      <c r="AW95" s="72" t="e">
        <f t="shared" ca="1" si="92"/>
        <v>#NAME?</v>
      </c>
      <c r="AX95" s="72" t="e">
        <f t="shared" ca="1" si="93"/>
        <v>#NAME?</v>
      </c>
      <c r="AY95" s="72"/>
      <c r="AZ95" s="72"/>
      <c r="BA95" s="72">
        <f>O95-AZ95</f>
        <v>0</v>
      </c>
      <c r="BB95" s="72"/>
      <c r="BC95" s="72" t="e">
        <f ca="1">GetCtData("COAMOUNT","AMOUNT",$BF$11:$BF$17,$B95,BC$19,BC$20,"#")</f>
        <v>#NAME?</v>
      </c>
      <c r="BD95" s="72" t="e">
        <f t="shared" ca="1" si="75"/>
        <v>#NAME?</v>
      </c>
      <c r="BE95" s="72"/>
      <c r="BF95" s="72" t="e">
        <f ca="1">GetCtData("COAMOUNT","AMOUNT",$BF$11:$BF$17,$B95,BF$19,BF$20,"#")</f>
        <v>#NAME?</v>
      </c>
      <c r="BG95" s="72" t="e">
        <f t="shared" ca="1" si="76"/>
        <v>#NAME?</v>
      </c>
      <c r="BH95" s="72"/>
      <c r="BI95" s="72" t="e">
        <f ca="1">GetCtData("COAMOUNT","AMOUNT",$AO$11:$AO$17,$B95,BI$19,BI$20,"#")</f>
        <v>#NAME?</v>
      </c>
      <c r="BJ95" s="72" t="e">
        <f t="shared" ca="1" si="77"/>
        <v>#NAME?</v>
      </c>
      <c r="BK95" s="72"/>
      <c r="BL95" s="72" t="e">
        <f t="shared" ca="1" si="94"/>
        <v>#NAME?</v>
      </c>
      <c r="BM95" s="72" t="e">
        <f t="shared" ca="1" si="78"/>
        <v>#NAME?</v>
      </c>
      <c r="BN95" s="72"/>
      <c r="BO95" s="72" t="e">
        <f t="shared" ca="1" si="95"/>
        <v>#NAME?</v>
      </c>
      <c r="BP95" s="72" t="e">
        <f t="shared" ca="1" si="79"/>
        <v>#NAME?</v>
      </c>
      <c r="BQ95" s="72"/>
      <c r="BR95" s="72" t="e">
        <f t="shared" ca="1" si="96"/>
        <v>#NAME?</v>
      </c>
      <c r="BS95" s="72" t="e">
        <f ca="1">#REF!-BR95</f>
        <v>#REF!</v>
      </c>
    </row>
    <row r="96" spans="1:71" outlineLevel="1" x14ac:dyDescent="0.2">
      <c r="A96" s="82" t="s">
        <v>243</v>
      </c>
      <c r="B96" s="82" t="s">
        <v>309</v>
      </c>
      <c r="D96" s="82" t="s">
        <v>172</v>
      </c>
      <c r="E96" s="74" t="e">
        <f ca="1">GetCtLabel(B96,"CURINIT(AC)!LDESC","#Leasehold Buildings depreciation")</f>
        <v>#NAME?</v>
      </c>
      <c r="F96" s="137"/>
      <c r="G96" s="138"/>
      <c r="H96" s="137"/>
      <c r="I96" s="139"/>
      <c r="J96" s="139"/>
      <c r="K96" s="139"/>
      <c r="L96" s="139"/>
      <c r="M96" s="139"/>
      <c r="N96" s="130"/>
      <c r="O96" s="140">
        <f>SUM(F96:M96)</f>
        <v>0</v>
      </c>
      <c r="P96" s="141">
        <f t="shared" si="71"/>
        <v>0</v>
      </c>
      <c r="Q96" s="141">
        <f t="shared" si="71"/>
        <v>0</v>
      </c>
      <c r="R96" s="133" t="e">
        <f t="shared" ca="1" si="80"/>
        <v>#NAME?</v>
      </c>
      <c r="S96" s="133" t="e">
        <f t="shared" ca="1" si="81"/>
        <v>#NAME?</v>
      </c>
      <c r="T96" s="134" t="e">
        <f t="shared" ca="1" si="82"/>
        <v>#NAME?</v>
      </c>
      <c r="U96" s="134" t="e">
        <f t="shared" ca="1" si="83"/>
        <v>#NAME?</v>
      </c>
      <c r="V96" s="144"/>
      <c r="W96" s="142"/>
      <c r="X96" s="142">
        <f t="shared" si="72"/>
        <v>0</v>
      </c>
      <c r="Y96" s="122"/>
      <c r="Z96" s="135"/>
      <c r="AA96" s="135"/>
      <c r="AB96" s="135">
        <f t="shared" si="33"/>
        <v>0</v>
      </c>
      <c r="AC96" s="135">
        <f t="shared" si="84"/>
        <v>0</v>
      </c>
      <c r="AD96" s="122"/>
      <c r="AE96" s="142" t="e">
        <f t="shared" ca="1" si="85"/>
        <v>#NAME?</v>
      </c>
      <c r="AF96" s="142"/>
      <c r="AG96" s="142" t="e">
        <f t="shared" ca="1" si="63"/>
        <v>#NAME?</v>
      </c>
      <c r="AH96" s="143" t="e">
        <f t="shared" ca="1" si="37"/>
        <v>#NAME?</v>
      </c>
      <c r="AI96" s="128"/>
      <c r="AJ96" s="142" t="e">
        <f t="shared" ca="1" si="73"/>
        <v>#NAME?</v>
      </c>
      <c r="AK96" s="142" t="e">
        <f t="shared" ca="1" si="86"/>
        <v>#NAME?</v>
      </c>
      <c r="AL96" s="143" t="e">
        <f t="shared" ca="1" si="74"/>
        <v>#NAME?</v>
      </c>
      <c r="AM96" s="122"/>
      <c r="AN96" s="142" t="e">
        <f t="shared" ca="1" si="87"/>
        <v>#NAME?</v>
      </c>
      <c r="AO96" s="142" t="e">
        <f t="shared" ca="1" si="88"/>
        <v>#NAME?</v>
      </c>
      <c r="AP96" s="122"/>
      <c r="AQ96" s="142" t="e">
        <f t="shared" ca="1" si="89"/>
        <v>#NAME?</v>
      </c>
      <c r="AR96" s="142" t="e">
        <f t="shared" ca="1" si="90"/>
        <v>#NAME?</v>
      </c>
      <c r="AS96" s="142"/>
      <c r="AT96" s="142" t="e">
        <f t="shared" ca="1" si="97"/>
        <v>#NAME?</v>
      </c>
      <c r="AU96" s="142" t="e">
        <f t="shared" ca="1" si="91"/>
        <v>#NAME?</v>
      </c>
      <c r="AV96" s="72"/>
      <c r="AW96" s="72" t="e">
        <f t="shared" ca="1" si="92"/>
        <v>#NAME?</v>
      </c>
      <c r="AX96" s="72" t="e">
        <f t="shared" ca="1" si="93"/>
        <v>#NAME?</v>
      </c>
      <c r="AY96" s="72"/>
      <c r="AZ96" s="72"/>
      <c r="BA96" s="72">
        <f>O96-AZ96</f>
        <v>0</v>
      </c>
      <c r="BB96" s="72"/>
      <c r="BC96" s="72" t="e">
        <f ca="1">GetCtData("COAMOUNT","AMOUNT",$BF$11:$BF$17,$B96,BC$19,BC$20,"#")</f>
        <v>#NAME?</v>
      </c>
      <c r="BD96" s="72" t="e">
        <f t="shared" ca="1" si="75"/>
        <v>#NAME?</v>
      </c>
      <c r="BE96" s="72"/>
      <c r="BF96" s="72" t="e">
        <f ca="1">GetCtData("COAMOUNT","AMOUNT",$BF$11:$BF$17,$B96,BF$19,BF$20,"#")</f>
        <v>#NAME?</v>
      </c>
      <c r="BG96" s="72" t="e">
        <f t="shared" ca="1" si="76"/>
        <v>#NAME?</v>
      </c>
      <c r="BH96" s="72"/>
      <c r="BI96" s="72" t="e">
        <f ca="1">GetCtData("COAMOUNT","AMOUNT",$AO$11:$AO$17,$B96,BI$19,BI$20,"#")</f>
        <v>#NAME?</v>
      </c>
      <c r="BJ96" s="72" t="e">
        <f t="shared" ca="1" si="77"/>
        <v>#NAME?</v>
      </c>
      <c r="BK96" s="72"/>
      <c r="BL96" s="72" t="e">
        <f t="shared" ca="1" si="94"/>
        <v>#NAME?</v>
      </c>
      <c r="BM96" s="72" t="e">
        <f t="shared" ca="1" si="78"/>
        <v>#NAME?</v>
      </c>
      <c r="BN96" s="72"/>
      <c r="BO96" s="72" t="e">
        <f t="shared" ca="1" si="95"/>
        <v>#NAME?</v>
      </c>
      <c r="BP96" s="72" t="e">
        <f t="shared" ca="1" si="79"/>
        <v>#NAME?</v>
      </c>
      <c r="BQ96" s="72"/>
      <c r="BR96" s="72" t="e">
        <f t="shared" ca="1" si="96"/>
        <v>#NAME?</v>
      </c>
      <c r="BS96" s="72" t="e">
        <f ca="1">#REF!-BR96</f>
        <v>#REF!</v>
      </c>
    </row>
    <row r="97" spans="1:71" outlineLevel="1" x14ac:dyDescent="0.2">
      <c r="A97" s="82" t="s">
        <v>243</v>
      </c>
      <c r="B97" s="82" t="s">
        <v>310</v>
      </c>
      <c r="D97" s="82" t="s">
        <v>172</v>
      </c>
      <c r="E97" s="74" t="e">
        <f ca="1">GetCtLabel(B97,"CURINIT(AC)!LDESC","#Buildings depreciation")</f>
        <v>#NAME?</v>
      </c>
      <c r="F97" s="137"/>
      <c r="G97" s="138"/>
      <c r="H97" s="137"/>
      <c r="I97" s="139"/>
      <c r="J97" s="139"/>
      <c r="K97" s="139"/>
      <c r="L97" s="139"/>
      <c r="M97" s="139"/>
      <c r="N97" s="130"/>
      <c r="O97" s="140">
        <f>SUM(F97:M97)</f>
        <v>0</v>
      </c>
      <c r="P97" s="141">
        <f t="shared" si="71"/>
        <v>0</v>
      </c>
      <c r="Q97" s="141">
        <f t="shared" si="71"/>
        <v>0</v>
      </c>
      <c r="R97" s="133" t="e">
        <f t="shared" ca="1" si="80"/>
        <v>#NAME?</v>
      </c>
      <c r="S97" s="133" t="e">
        <f t="shared" ca="1" si="81"/>
        <v>#NAME?</v>
      </c>
      <c r="T97" s="134" t="e">
        <f t="shared" ca="1" si="82"/>
        <v>#NAME?</v>
      </c>
      <c r="U97" s="134" t="e">
        <f t="shared" ca="1" si="83"/>
        <v>#NAME?</v>
      </c>
      <c r="V97" s="144"/>
      <c r="W97" s="142"/>
      <c r="X97" s="142">
        <f t="shared" si="72"/>
        <v>0</v>
      </c>
      <c r="Y97" s="122"/>
      <c r="Z97" s="135"/>
      <c r="AA97" s="135"/>
      <c r="AB97" s="135">
        <f t="shared" si="33"/>
        <v>0</v>
      </c>
      <c r="AC97" s="135">
        <f t="shared" si="84"/>
        <v>0</v>
      </c>
      <c r="AD97" s="122"/>
      <c r="AE97" s="142" t="e">
        <f t="shared" ca="1" si="85"/>
        <v>#NAME?</v>
      </c>
      <c r="AF97" s="142"/>
      <c r="AG97" s="142" t="e">
        <f t="shared" ca="1" si="63"/>
        <v>#NAME?</v>
      </c>
      <c r="AH97" s="143" t="e">
        <f t="shared" ca="1" si="37"/>
        <v>#NAME?</v>
      </c>
      <c r="AI97" s="128"/>
      <c r="AJ97" s="142" t="e">
        <f t="shared" ca="1" si="73"/>
        <v>#NAME?</v>
      </c>
      <c r="AK97" s="142" t="e">
        <f t="shared" ca="1" si="86"/>
        <v>#NAME?</v>
      </c>
      <c r="AL97" s="143" t="e">
        <f t="shared" ca="1" si="74"/>
        <v>#NAME?</v>
      </c>
      <c r="AM97" s="122"/>
      <c r="AN97" s="142" t="e">
        <f t="shared" ca="1" si="87"/>
        <v>#NAME?</v>
      </c>
      <c r="AO97" s="142" t="e">
        <f t="shared" ca="1" si="88"/>
        <v>#NAME?</v>
      </c>
      <c r="AP97" s="122"/>
      <c r="AQ97" s="142" t="e">
        <f t="shared" ca="1" si="89"/>
        <v>#NAME?</v>
      </c>
      <c r="AR97" s="142" t="e">
        <f t="shared" ca="1" si="90"/>
        <v>#NAME?</v>
      </c>
      <c r="AS97" s="142"/>
      <c r="AT97" s="142" t="e">
        <f t="shared" ca="1" si="97"/>
        <v>#NAME?</v>
      </c>
      <c r="AU97" s="142" t="e">
        <f t="shared" ca="1" si="91"/>
        <v>#NAME?</v>
      </c>
      <c r="AV97" s="72"/>
      <c r="AW97" s="72" t="e">
        <f t="shared" ca="1" si="92"/>
        <v>#NAME?</v>
      </c>
      <c r="AX97" s="72" t="e">
        <f t="shared" ca="1" si="93"/>
        <v>#NAME?</v>
      </c>
      <c r="AY97" s="72"/>
      <c r="AZ97" s="72"/>
      <c r="BA97" s="72">
        <f>O97-AZ97</f>
        <v>0</v>
      </c>
      <c r="BB97" s="72"/>
      <c r="BC97" s="72" t="e">
        <f ca="1">GetCtData("COAMOUNT","AMOUNT",$BF$11:$BF$17,$B97,BC$19,BC$20,"#")</f>
        <v>#NAME?</v>
      </c>
      <c r="BD97" s="72" t="e">
        <f t="shared" ca="1" si="75"/>
        <v>#NAME?</v>
      </c>
      <c r="BE97" s="72"/>
      <c r="BF97" s="72" t="e">
        <f ca="1">GetCtData("COAMOUNT","AMOUNT",$BF$11:$BF$17,$B97,BF$19,BF$20,"#")</f>
        <v>#NAME?</v>
      </c>
      <c r="BG97" s="72" t="e">
        <f t="shared" ca="1" si="76"/>
        <v>#NAME?</v>
      </c>
      <c r="BH97" s="72"/>
      <c r="BI97" s="72" t="e">
        <f ca="1">GetCtData("COAMOUNT","AMOUNT",$AO$11:$AO$17,$B97,BI$19,BI$20,"#")</f>
        <v>#NAME?</v>
      </c>
      <c r="BJ97" s="72" t="e">
        <f t="shared" ca="1" si="77"/>
        <v>#NAME?</v>
      </c>
      <c r="BK97" s="72"/>
      <c r="BL97" s="72" t="e">
        <f t="shared" ca="1" si="94"/>
        <v>#NAME?</v>
      </c>
      <c r="BM97" s="72" t="e">
        <f t="shared" ca="1" si="78"/>
        <v>#NAME?</v>
      </c>
      <c r="BN97" s="72"/>
      <c r="BO97" s="72" t="e">
        <f t="shared" ca="1" si="95"/>
        <v>#NAME?</v>
      </c>
      <c r="BP97" s="72" t="e">
        <f t="shared" ca="1" si="79"/>
        <v>#NAME?</v>
      </c>
      <c r="BQ97" s="72"/>
      <c r="BR97" s="72" t="e">
        <f t="shared" ca="1" si="96"/>
        <v>#NAME?</v>
      </c>
      <c r="BS97" s="72" t="e">
        <f ca="1">#REF!-BR97</f>
        <v>#REF!</v>
      </c>
    </row>
    <row r="98" spans="1:71" outlineLevel="1" x14ac:dyDescent="0.2">
      <c r="A98" s="82" t="s">
        <v>243</v>
      </c>
      <c r="B98" s="82" t="s">
        <v>311</v>
      </c>
      <c r="D98" s="82" t="s">
        <v>172</v>
      </c>
      <c r="E98" s="74" t="e">
        <f ca="1">GetCtLabel(B98,"CURINIT(AC)!LDESC","#Freehold Land depreciation")</f>
        <v>#NAME?</v>
      </c>
      <c r="F98" s="137"/>
      <c r="G98" s="138"/>
      <c r="H98" s="137"/>
      <c r="I98" s="139"/>
      <c r="J98" s="139"/>
      <c r="K98" s="139"/>
      <c r="L98" s="139"/>
      <c r="M98" s="139"/>
      <c r="N98" s="130"/>
      <c r="O98" s="140">
        <f>SUM(F98:M98)</f>
        <v>0</v>
      </c>
      <c r="P98" s="141">
        <f t="shared" si="71"/>
        <v>0</v>
      </c>
      <c r="Q98" s="141">
        <f t="shared" si="71"/>
        <v>0</v>
      </c>
      <c r="R98" s="133" t="e">
        <f t="shared" ca="1" si="80"/>
        <v>#NAME?</v>
      </c>
      <c r="S98" s="133" t="e">
        <f t="shared" ca="1" si="81"/>
        <v>#NAME?</v>
      </c>
      <c r="T98" s="134" t="e">
        <f t="shared" ca="1" si="82"/>
        <v>#NAME?</v>
      </c>
      <c r="U98" s="134" t="e">
        <f t="shared" ca="1" si="83"/>
        <v>#NAME?</v>
      </c>
      <c r="V98" s="144"/>
      <c r="W98" s="142"/>
      <c r="X98" s="142">
        <f t="shared" si="72"/>
        <v>0</v>
      </c>
      <c r="Y98" s="122"/>
      <c r="Z98" s="135"/>
      <c r="AA98" s="135"/>
      <c r="AB98" s="135">
        <f t="shared" si="33"/>
        <v>0</v>
      </c>
      <c r="AC98" s="135">
        <f t="shared" si="84"/>
        <v>0</v>
      </c>
      <c r="AD98" s="122"/>
      <c r="AE98" s="142" t="e">
        <f t="shared" ca="1" si="85"/>
        <v>#NAME?</v>
      </c>
      <c r="AF98" s="142"/>
      <c r="AG98" s="142" t="e">
        <f t="shared" ca="1" si="63"/>
        <v>#NAME?</v>
      </c>
      <c r="AH98" s="143" t="e">
        <f t="shared" ca="1" si="37"/>
        <v>#NAME?</v>
      </c>
      <c r="AI98" s="128"/>
      <c r="AJ98" s="142" t="e">
        <f t="shared" ca="1" si="73"/>
        <v>#NAME?</v>
      </c>
      <c r="AK98" s="142" t="e">
        <f t="shared" ca="1" si="86"/>
        <v>#NAME?</v>
      </c>
      <c r="AL98" s="143" t="e">
        <f t="shared" ca="1" si="74"/>
        <v>#NAME?</v>
      </c>
      <c r="AM98" s="122"/>
      <c r="AN98" s="142" t="e">
        <f t="shared" ca="1" si="87"/>
        <v>#NAME?</v>
      </c>
      <c r="AO98" s="142" t="e">
        <f t="shared" ca="1" si="88"/>
        <v>#NAME?</v>
      </c>
      <c r="AP98" s="122"/>
      <c r="AQ98" s="142" t="e">
        <f t="shared" ca="1" si="89"/>
        <v>#NAME?</v>
      </c>
      <c r="AR98" s="142" t="e">
        <f t="shared" ca="1" si="90"/>
        <v>#NAME?</v>
      </c>
      <c r="AS98" s="142"/>
      <c r="AT98" s="142" t="e">
        <f t="shared" ca="1" si="97"/>
        <v>#NAME?</v>
      </c>
      <c r="AU98" s="142" t="e">
        <f t="shared" ca="1" si="91"/>
        <v>#NAME?</v>
      </c>
      <c r="AV98" s="72"/>
      <c r="AW98" s="72" t="e">
        <f t="shared" ca="1" si="92"/>
        <v>#NAME?</v>
      </c>
      <c r="AX98" s="72" t="e">
        <f t="shared" ca="1" si="93"/>
        <v>#NAME?</v>
      </c>
      <c r="AY98" s="72"/>
      <c r="AZ98" s="72"/>
      <c r="BA98" s="72">
        <f>O98-AZ98</f>
        <v>0</v>
      </c>
      <c r="BB98" s="72"/>
      <c r="BC98" s="72" t="e">
        <f ca="1">GetCtData("COAMOUNT","AMOUNT",$BF$11:$BF$17,$B98,BC$19,BC$20,"#")</f>
        <v>#NAME?</v>
      </c>
      <c r="BD98" s="72" t="e">
        <f t="shared" ca="1" si="75"/>
        <v>#NAME?</v>
      </c>
      <c r="BE98" s="72"/>
      <c r="BF98" s="72" t="e">
        <f ca="1">GetCtData("COAMOUNT","AMOUNT",$BF$11:$BF$17,$B98,BF$19,BF$20,"#")</f>
        <v>#NAME?</v>
      </c>
      <c r="BG98" s="72" t="e">
        <f t="shared" ca="1" si="76"/>
        <v>#NAME?</v>
      </c>
      <c r="BH98" s="72"/>
      <c r="BI98" s="72" t="e">
        <f ca="1">GetCtData("COAMOUNT","AMOUNT",$AO$11:$AO$17,$B98,BI$19,BI$20,"#")</f>
        <v>#NAME?</v>
      </c>
      <c r="BJ98" s="72" t="e">
        <f t="shared" ca="1" si="77"/>
        <v>#NAME?</v>
      </c>
      <c r="BK98" s="72"/>
      <c r="BL98" s="72" t="e">
        <f t="shared" ca="1" si="94"/>
        <v>#NAME?</v>
      </c>
      <c r="BM98" s="72" t="e">
        <f t="shared" ca="1" si="78"/>
        <v>#NAME?</v>
      </c>
      <c r="BN98" s="72"/>
      <c r="BO98" s="72" t="e">
        <f t="shared" ca="1" si="95"/>
        <v>#NAME?</v>
      </c>
      <c r="BP98" s="72" t="e">
        <f t="shared" ca="1" si="79"/>
        <v>#NAME?</v>
      </c>
      <c r="BQ98" s="72"/>
      <c r="BR98" s="72" t="e">
        <f t="shared" ca="1" si="96"/>
        <v>#NAME?</v>
      </c>
      <c r="BS98" s="72" t="e">
        <f ca="1">#REF!-BR98</f>
        <v>#REF!</v>
      </c>
    </row>
    <row r="99" spans="1:71" outlineLevel="1" x14ac:dyDescent="0.2">
      <c r="A99" s="82" t="s">
        <v>243</v>
      </c>
      <c r="B99" s="82" t="s">
        <v>312</v>
      </c>
      <c r="D99" s="82" t="s">
        <v>172</v>
      </c>
      <c r="E99" s="74" t="e">
        <f ca="1">GetCtLabel(B99,"CURINIT(AC)!LDESC","#TOTAL LAND AND BUILDINGS DEPRECIATION")</f>
        <v>#NAME?</v>
      </c>
      <c r="F99" s="137"/>
      <c r="G99" s="138"/>
      <c r="H99" s="137"/>
      <c r="I99" s="139"/>
      <c r="J99" s="139"/>
      <c r="K99" s="139"/>
      <c r="L99" s="139"/>
      <c r="M99" s="139"/>
      <c r="N99" s="130"/>
      <c r="O99" s="140">
        <f>SUM(O96:O98)</f>
        <v>0</v>
      </c>
      <c r="P99" s="141">
        <f t="shared" si="71"/>
        <v>0</v>
      </c>
      <c r="Q99" s="141">
        <f t="shared" si="71"/>
        <v>0</v>
      </c>
      <c r="R99" s="133" t="e">
        <f t="shared" ca="1" si="80"/>
        <v>#NAME?</v>
      </c>
      <c r="S99" s="133" t="e">
        <f t="shared" ca="1" si="81"/>
        <v>#NAME?</v>
      </c>
      <c r="T99" s="134" t="e">
        <f t="shared" ca="1" si="82"/>
        <v>#NAME?</v>
      </c>
      <c r="U99" s="134" t="e">
        <f t="shared" ca="1" si="83"/>
        <v>#NAME?</v>
      </c>
      <c r="V99" s="144"/>
      <c r="W99" s="142"/>
      <c r="X99" s="142">
        <f t="shared" si="72"/>
        <v>0</v>
      </c>
      <c r="Y99" s="122"/>
      <c r="Z99" s="135"/>
      <c r="AA99" s="135"/>
      <c r="AB99" s="135">
        <f t="shared" si="33"/>
        <v>0</v>
      </c>
      <c r="AC99" s="135">
        <f t="shared" si="84"/>
        <v>0</v>
      </c>
      <c r="AD99" s="122"/>
      <c r="AE99" s="142" t="e">
        <f t="shared" ca="1" si="85"/>
        <v>#NAME?</v>
      </c>
      <c r="AF99" s="142"/>
      <c r="AG99" s="142" t="e">
        <f t="shared" ca="1" si="63"/>
        <v>#NAME?</v>
      </c>
      <c r="AH99" s="143" t="e">
        <f t="shared" ca="1" si="37"/>
        <v>#NAME?</v>
      </c>
      <c r="AI99" s="128"/>
      <c r="AJ99" s="142" t="e">
        <f t="shared" ca="1" si="73"/>
        <v>#NAME?</v>
      </c>
      <c r="AK99" s="142" t="e">
        <f t="shared" ca="1" si="86"/>
        <v>#NAME?</v>
      </c>
      <c r="AL99" s="143" t="e">
        <f t="shared" ca="1" si="74"/>
        <v>#NAME?</v>
      </c>
      <c r="AM99" s="122"/>
      <c r="AN99" s="142" t="e">
        <f t="shared" ca="1" si="87"/>
        <v>#NAME?</v>
      </c>
      <c r="AO99" s="142" t="e">
        <f t="shared" ca="1" si="88"/>
        <v>#NAME?</v>
      </c>
      <c r="AP99" s="122"/>
      <c r="AQ99" s="142" t="e">
        <f t="shared" ca="1" si="89"/>
        <v>#NAME?</v>
      </c>
      <c r="AR99" s="142" t="e">
        <f t="shared" ca="1" si="90"/>
        <v>#NAME?</v>
      </c>
      <c r="AS99" s="142"/>
      <c r="AT99" s="142" t="e">
        <f t="shared" ca="1" si="97"/>
        <v>#NAME?</v>
      </c>
      <c r="AU99" s="142" t="e">
        <f t="shared" ca="1" si="91"/>
        <v>#NAME?</v>
      </c>
      <c r="AV99" s="72"/>
      <c r="AW99" s="72" t="e">
        <f t="shared" ca="1" si="92"/>
        <v>#NAME?</v>
      </c>
      <c r="AX99" s="72" t="e">
        <f t="shared" ca="1" si="93"/>
        <v>#NAME?</v>
      </c>
      <c r="AY99" s="72"/>
      <c r="AZ99" s="72"/>
      <c r="BA99" s="72"/>
      <c r="BB99" s="72"/>
      <c r="BC99" s="72" t="e">
        <f ca="1">SUM(BC96:BC98)</f>
        <v>#NAME?</v>
      </c>
      <c r="BD99" s="72" t="e">
        <f t="shared" ca="1" si="75"/>
        <v>#NAME?</v>
      </c>
      <c r="BE99" s="72"/>
      <c r="BF99" s="72" t="e">
        <f ca="1">SUM(BF96:BF98)</f>
        <v>#NAME?</v>
      </c>
      <c r="BG99" s="72" t="e">
        <f t="shared" ca="1" si="76"/>
        <v>#NAME?</v>
      </c>
      <c r="BH99" s="72"/>
      <c r="BI99" s="72" t="e">
        <f ca="1">SUM(BI96:BI98)</f>
        <v>#NAME?</v>
      </c>
      <c r="BJ99" s="72" t="e">
        <f t="shared" ca="1" si="77"/>
        <v>#NAME?</v>
      </c>
      <c r="BK99" s="72"/>
      <c r="BL99" s="72" t="e">
        <f t="shared" ca="1" si="94"/>
        <v>#NAME?</v>
      </c>
      <c r="BM99" s="72" t="e">
        <f t="shared" ca="1" si="78"/>
        <v>#NAME?</v>
      </c>
      <c r="BN99" s="72"/>
      <c r="BO99" s="72" t="e">
        <f t="shared" ca="1" si="95"/>
        <v>#NAME?</v>
      </c>
      <c r="BP99" s="72" t="e">
        <f t="shared" ca="1" si="79"/>
        <v>#NAME?</v>
      </c>
      <c r="BQ99" s="72"/>
      <c r="BR99" s="72" t="e">
        <f t="shared" ca="1" si="96"/>
        <v>#NAME?</v>
      </c>
      <c r="BS99" s="72" t="e">
        <f ca="1">#REF!-BR99</f>
        <v>#REF!</v>
      </c>
    </row>
    <row r="100" spans="1:71" outlineLevel="1" x14ac:dyDescent="0.2">
      <c r="A100" s="82" t="s">
        <v>243</v>
      </c>
      <c r="B100" s="82" t="s">
        <v>313</v>
      </c>
      <c r="D100" s="82" t="s">
        <v>172</v>
      </c>
      <c r="E100" s="74" t="e">
        <f ca="1">GetCtLabel(B100,"CURINIT(AC)!LDESC","#Dilapidations")</f>
        <v>#NAME?</v>
      </c>
      <c r="F100" s="137"/>
      <c r="G100" s="138"/>
      <c r="H100" s="137"/>
      <c r="I100" s="139"/>
      <c r="J100" s="139"/>
      <c r="K100" s="139"/>
      <c r="L100" s="139"/>
      <c r="M100" s="139"/>
      <c r="N100" s="130"/>
      <c r="O100" s="140">
        <f t="shared" ref="O100:O113" si="98">SUM(F100:M100)</f>
        <v>0</v>
      </c>
      <c r="P100" s="141">
        <f t="shared" si="71"/>
        <v>0</v>
      </c>
      <c r="Q100" s="141">
        <f t="shared" si="71"/>
        <v>0</v>
      </c>
      <c r="R100" s="133" t="e">
        <f t="shared" ca="1" si="80"/>
        <v>#NAME?</v>
      </c>
      <c r="S100" s="133" t="e">
        <f t="shared" ca="1" si="81"/>
        <v>#NAME?</v>
      </c>
      <c r="T100" s="134" t="e">
        <f t="shared" ca="1" si="82"/>
        <v>#NAME?</v>
      </c>
      <c r="U100" s="134" t="e">
        <f t="shared" ca="1" si="83"/>
        <v>#NAME?</v>
      </c>
      <c r="V100" s="144"/>
      <c r="W100" s="142"/>
      <c r="X100" s="142"/>
      <c r="Y100" s="122"/>
      <c r="Z100" s="135"/>
      <c r="AA100" s="135"/>
      <c r="AB100" s="135">
        <f t="shared" si="33"/>
        <v>0</v>
      </c>
      <c r="AC100" s="135">
        <f t="shared" si="84"/>
        <v>0</v>
      </c>
      <c r="AD100" s="122"/>
      <c r="AE100" s="142" t="e">
        <f t="shared" ca="1" si="85"/>
        <v>#NAME?</v>
      </c>
      <c r="AF100" s="142"/>
      <c r="AG100" s="142" t="e">
        <f t="shared" ca="1" si="63"/>
        <v>#NAME?</v>
      </c>
      <c r="AH100" s="143" t="e">
        <f t="shared" ca="1" si="37"/>
        <v>#NAME?</v>
      </c>
      <c r="AI100" s="128"/>
      <c r="AJ100" s="142" t="e">
        <f t="shared" ca="1" si="73"/>
        <v>#NAME?</v>
      </c>
      <c r="AK100" s="142" t="e">
        <f t="shared" ca="1" si="86"/>
        <v>#NAME?</v>
      </c>
      <c r="AL100" s="143" t="e">
        <f t="shared" ca="1" si="74"/>
        <v>#NAME?</v>
      </c>
      <c r="AM100" s="122"/>
      <c r="AN100" s="142" t="e">
        <f t="shared" ca="1" si="87"/>
        <v>#NAME?</v>
      </c>
      <c r="AO100" s="142" t="e">
        <f t="shared" ca="1" si="88"/>
        <v>#NAME?</v>
      </c>
      <c r="AP100" s="122"/>
      <c r="AQ100" s="142" t="e">
        <f t="shared" ca="1" si="89"/>
        <v>#NAME?</v>
      </c>
      <c r="AR100" s="142" t="e">
        <f t="shared" ca="1" si="90"/>
        <v>#NAME?</v>
      </c>
      <c r="AS100" s="142"/>
      <c r="AT100" s="142" t="e">
        <f t="shared" ca="1" si="97"/>
        <v>#NAME?</v>
      </c>
      <c r="AU100" s="142" t="e">
        <f t="shared" ca="1" si="91"/>
        <v>#NAME?</v>
      </c>
      <c r="AV100" s="72"/>
      <c r="AW100" s="72" t="e">
        <f t="shared" ca="1" si="92"/>
        <v>#NAME?</v>
      </c>
      <c r="AX100" s="72" t="e">
        <f t="shared" ca="1" si="93"/>
        <v>#NAME?</v>
      </c>
      <c r="AY100" s="72"/>
      <c r="AZ100" s="72" t="e">
        <f ca="1">GetCtData("COAMOUNT","AMOUNT",$AZ$11:$AZ$17,$B100,AZ$19,AZ$20,"#")</f>
        <v>#NAME?</v>
      </c>
      <c r="BA100" s="72" t="e">
        <f t="shared" ref="BA100:BA113" ca="1" si="99">O100-AZ100</f>
        <v>#NAME?</v>
      </c>
      <c r="BB100" s="72"/>
      <c r="BC100" s="72" t="e">
        <f ca="1">GetCtData("COAMOUNT","AMOUNT",$BF$11:$BF$17,$B100,BC$19,BC$20,"#")</f>
        <v>#NAME?</v>
      </c>
      <c r="BD100" s="72" t="e">
        <f t="shared" ca="1" si="75"/>
        <v>#NAME?</v>
      </c>
      <c r="BE100" s="72"/>
      <c r="BF100" s="72" t="e">
        <f ca="1">GetCtData("COAMOUNT","AMOUNT",$BF$11:$BF$17,$B100,BF$19,BF$20,"#")</f>
        <v>#NAME?</v>
      </c>
      <c r="BG100" s="72" t="e">
        <f t="shared" ca="1" si="76"/>
        <v>#NAME?</v>
      </c>
      <c r="BH100" s="72"/>
      <c r="BI100" s="72" t="e">
        <f t="shared" ref="BI100:BI113" ca="1" si="100">GetCtData("COAMOUNT","AMOUNT",$AO$11:$AO$17,$B100,BI$19,BI$20,"#")</f>
        <v>#NAME?</v>
      </c>
      <c r="BJ100" s="72" t="e">
        <f t="shared" ca="1" si="77"/>
        <v>#NAME?</v>
      </c>
      <c r="BK100" s="72"/>
      <c r="BL100" s="72" t="e">
        <f t="shared" ca="1" si="94"/>
        <v>#NAME?</v>
      </c>
      <c r="BM100" s="72" t="e">
        <f t="shared" ca="1" si="78"/>
        <v>#NAME?</v>
      </c>
      <c r="BN100" s="72"/>
      <c r="BO100" s="72" t="e">
        <f t="shared" ca="1" si="95"/>
        <v>#NAME?</v>
      </c>
      <c r="BP100" s="72" t="e">
        <f t="shared" ca="1" si="79"/>
        <v>#NAME?</v>
      </c>
      <c r="BQ100" s="72"/>
      <c r="BR100" s="72" t="e">
        <f t="shared" ca="1" si="96"/>
        <v>#NAME?</v>
      </c>
      <c r="BS100" s="72" t="e">
        <f ca="1">#REF!-BR100</f>
        <v>#REF!</v>
      </c>
    </row>
    <row r="101" spans="1:71" outlineLevel="1" x14ac:dyDescent="0.2">
      <c r="A101" s="82" t="s">
        <v>243</v>
      </c>
      <c r="B101" s="82" t="s">
        <v>314</v>
      </c>
      <c r="D101" s="82" t="s">
        <v>172</v>
      </c>
      <c r="E101" s="74" t="e">
        <f ca="1">GetCtLabel(B101,"CURINIT(AC)!LDESC","#Building utilities")</f>
        <v>#NAME?</v>
      </c>
      <c r="F101" s="137"/>
      <c r="G101" s="138"/>
      <c r="H101" s="137"/>
      <c r="I101" s="139"/>
      <c r="J101" s="139"/>
      <c r="K101" s="139"/>
      <c r="L101" s="139"/>
      <c r="M101" s="139"/>
      <c r="N101" s="130"/>
      <c r="O101" s="140">
        <f t="shared" si="98"/>
        <v>0</v>
      </c>
      <c r="P101" s="141">
        <f t="shared" si="71"/>
        <v>0</v>
      </c>
      <c r="Q101" s="141">
        <f t="shared" si="71"/>
        <v>0</v>
      </c>
      <c r="R101" s="133" t="e">
        <f t="shared" ca="1" si="80"/>
        <v>#NAME?</v>
      </c>
      <c r="S101" s="133" t="e">
        <f t="shared" ca="1" si="81"/>
        <v>#NAME?</v>
      </c>
      <c r="T101" s="134" t="e">
        <f t="shared" ca="1" si="82"/>
        <v>#NAME?</v>
      </c>
      <c r="U101" s="134" t="e">
        <f t="shared" ca="1" si="83"/>
        <v>#NAME?</v>
      </c>
      <c r="V101" s="144"/>
      <c r="W101" s="142"/>
      <c r="X101" s="142"/>
      <c r="Y101" s="122"/>
      <c r="Z101" s="135"/>
      <c r="AA101" s="135"/>
      <c r="AB101" s="135">
        <f t="shared" si="33"/>
        <v>0</v>
      </c>
      <c r="AC101" s="135">
        <f t="shared" si="84"/>
        <v>0</v>
      </c>
      <c r="AD101" s="122"/>
      <c r="AE101" s="142" t="e">
        <f t="shared" ca="1" si="85"/>
        <v>#NAME?</v>
      </c>
      <c r="AF101" s="142"/>
      <c r="AG101" s="142" t="e">
        <f t="shared" ca="1" si="63"/>
        <v>#NAME?</v>
      </c>
      <c r="AH101" s="143" t="e">
        <f t="shared" ca="1" si="37"/>
        <v>#NAME?</v>
      </c>
      <c r="AI101" s="128"/>
      <c r="AJ101" s="142" t="e">
        <f t="shared" ca="1" si="73"/>
        <v>#NAME?</v>
      </c>
      <c r="AK101" s="142" t="e">
        <f t="shared" ca="1" si="86"/>
        <v>#NAME?</v>
      </c>
      <c r="AL101" s="143" t="e">
        <f t="shared" ca="1" si="74"/>
        <v>#NAME?</v>
      </c>
      <c r="AM101" s="122"/>
      <c r="AN101" s="142" t="e">
        <f t="shared" ca="1" si="87"/>
        <v>#NAME?</v>
      </c>
      <c r="AO101" s="142" t="e">
        <f t="shared" ca="1" si="88"/>
        <v>#NAME?</v>
      </c>
      <c r="AP101" s="122"/>
      <c r="AQ101" s="142" t="e">
        <f t="shared" ca="1" si="89"/>
        <v>#NAME?</v>
      </c>
      <c r="AR101" s="142" t="e">
        <f t="shared" ca="1" si="90"/>
        <v>#NAME?</v>
      </c>
      <c r="AS101" s="142"/>
      <c r="AT101" s="142" t="e">
        <f t="shared" ca="1" si="97"/>
        <v>#NAME?</v>
      </c>
      <c r="AU101" s="142" t="e">
        <f t="shared" ca="1" si="91"/>
        <v>#NAME?</v>
      </c>
      <c r="AV101" s="72"/>
      <c r="AW101" s="72" t="e">
        <f t="shared" ca="1" si="92"/>
        <v>#NAME?</v>
      </c>
      <c r="AX101" s="72" t="e">
        <f t="shared" ca="1" si="93"/>
        <v>#NAME?</v>
      </c>
      <c r="AY101" s="72"/>
      <c r="AZ101" s="72" t="e">
        <f ca="1">GetCtData("COAMOUNT","AMOUNT",$AZ$11:$AZ$17,$B101,AZ$19,AZ$20,"#")</f>
        <v>#NAME?</v>
      </c>
      <c r="BA101" s="72" t="e">
        <f t="shared" ca="1" si="99"/>
        <v>#NAME?</v>
      </c>
      <c r="BB101" s="72"/>
      <c r="BC101" s="72" t="e">
        <f ca="1">GetCtData("COAMOUNT","AMOUNT",$BF$11:$BF$17,$B101,BC$19,BC$20,"#")</f>
        <v>#NAME?</v>
      </c>
      <c r="BD101" s="72" t="e">
        <f t="shared" ca="1" si="75"/>
        <v>#NAME?</v>
      </c>
      <c r="BE101" s="72"/>
      <c r="BF101" s="72" t="e">
        <f ca="1">GetCtData("COAMOUNT","AMOUNT",$BF$11:$BF$17,$B101,BF$19,BF$20,"#")</f>
        <v>#NAME?</v>
      </c>
      <c r="BG101" s="72" t="e">
        <f t="shared" ca="1" si="76"/>
        <v>#NAME?</v>
      </c>
      <c r="BH101" s="72"/>
      <c r="BI101" s="72" t="e">
        <f t="shared" ca="1" si="100"/>
        <v>#NAME?</v>
      </c>
      <c r="BJ101" s="72" t="e">
        <f t="shared" ca="1" si="77"/>
        <v>#NAME?</v>
      </c>
      <c r="BK101" s="72"/>
      <c r="BL101" s="72" t="e">
        <f t="shared" ca="1" si="94"/>
        <v>#NAME?</v>
      </c>
      <c r="BM101" s="72" t="e">
        <f t="shared" ca="1" si="78"/>
        <v>#NAME?</v>
      </c>
      <c r="BN101" s="72"/>
      <c r="BO101" s="72" t="e">
        <f t="shared" ca="1" si="95"/>
        <v>#NAME?</v>
      </c>
      <c r="BP101" s="72" t="e">
        <f t="shared" ca="1" si="79"/>
        <v>#NAME?</v>
      </c>
      <c r="BQ101" s="72"/>
      <c r="BR101" s="72" t="e">
        <f t="shared" ca="1" si="96"/>
        <v>#NAME?</v>
      </c>
      <c r="BS101" s="72" t="e">
        <f ca="1">#REF!-BR101</f>
        <v>#REF!</v>
      </c>
    </row>
    <row r="102" spans="1:71" outlineLevel="1" x14ac:dyDescent="0.2">
      <c r="A102" s="82" t="s">
        <v>243</v>
      </c>
      <c r="B102" s="82" t="s">
        <v>315</v>
      </c>
      <c r="D102" s="82" t="s">
        <v>172</v>
      </c>
      <c r="E102" s="74" t="e">
        <f ca="1">GetCtLabel(B102,"CURINIT(AC)!LDESC","#Repairs &amp; renewals")</f>
        <v>#NAME?</v>
      </c>
      <c r="F102" s="137"/>
      <c r="G102" s="138"/>
      <c r="H102" s="137"/>
      <c r="I102" s="139"/>
      <c r="J102" s="139"/>
      <c r="K102" s="139"/>
      <c r="L102" s="139"/>
      <c r="M102" s="139"/>
      <c r="N102" s="130"/>
      <c r="O102" s="140">
        <f t="shared" si="98"/>
        <v>0</v>
      </c>
      <c r="P102" s="141">
        <f t="shared" si="71"/>
        <v>0</v>
      </c>
      <c r="Q102" s="141">
        <f t="shared" si="71"/>
        <v>0</v>
      </c>
      <c r="R102" s="133" t="e">
        <f t="shared" ca="1" si="80"/>
        <v>#NAME?</v>
      </c>
      <c r="S102" s="133" t="e">
        <f t="shared" ca="1" si="81"/>
        <v>#NAME?</v>
      </c>
      <c r="T102" s="134" t="e">
        <f t="shared" ca="1" si="82"/>
        <v>#NAME?</v>
      </c>
      <c r="U102" s="134" t="e">
        <f t="shared" ca="1" si="83"/>
        <v>#NAME?</v>
      </c>
      <c r="V102" s="144"/>
      <c r="W102" s="142"/>
      <c r="X102" s="142"/>
      <c r="Y102" s="122"/>
      <c r="Z102" s="135"/>
      <c r="AA102" s="135"/>
      <c r="AB102" s="135">
        <f t="shared" si="33"/>
        <v>0</v>
      </c>
      <c r="AC102" s="135">
        <f t="shared" si="84"/>
        <v>0</v>
      </c>
      <c r="AD102" s="122"/>
      <c r="AE102" s="142" t="e">
        <f t="shared" ca="1" si="85"/>
        <v>#NAME?</v>
      </c>
      <c r="AF102" s="142"/>
      <c r="AG102" s="142" t="e">
        <f t="shared" ca="1" si="63"/>
        <v>#NAME?</v>
      </c>
      <c r="AH102" s="143" t="e">
        <f t="shared" ca="1" si="37"/>
        <v>#NAME?</v>
      </c>
      <c r="AI102" s="128"/>
      <c r="AJ102" s="142" t="e">
        <f t="shared" ca="1" si="73"/>
        <v>#NAME?</v>
      </c>
      <c r="AK102" s="142" t="e">
        <f t="shared" ca="1" si="86"/>
        <v>#NAME?</v>
      </c>
      <c r="AL102" s="143" t="e">
        <f t="shared" ca="1" si="74"/>
        <v>#NAME?</v>
      </c>
      <c r="AM102" s="122"/>
      <c r="AN102" s="142" t="e">
        <f t="shared" ca="1" si="87"/>
        <v>#NAME?</v>
      </c>
      <c r="AO102" s="142" t="e">
        <f t="shared" ca="1" si="88"/>
        <v>#NAME?</v>
      </c>
      <c r="AP102" s="122"/>
      <c r="AQ102" s="142" t="e">
        <f t="shared" ca="1" si="89"/>
        <v>#NAME?</v>
      </c>
      <c r="AR102" s="142" t="e">
        <f t="shared" ca="1" si="90"/>
        <v>#NAME?</v>
      </c>
      <c r="AS102" s="142"/>
      <c r="AT102" s="142" t="e">
        <f t="shared" ca="1" si="97"/>
        <v>#NAME?</v>
      </c>
      <c r="AU102" s="142" t="e">
        <f t="shared" ca="1" si="91"/>
        <v>#NAME?</v>
      </c>
      <c r="AV102" s="72"/>
      <c r="AW102" s="72" t="e">
        <f t="shared" ca="1" si="92"/>
        <v>#NAME?</v>
      </c>
      <c r="AX102" s="72" t="e">
        <f t="shared" ca="1" si="93"/>
        <v>#NAME?</v>
      </c>
      <c r="AY102" s="72"/>
      <c r="AZ102" s="72" t="e">
        <f ca="1">GetCtData("COAMOUNT","AMOUNT",$AZ$11:$AZ$17,$B102,AZ$19,AZ$20,"#")</f>
        <v>#NAME?</v>
      </c>
      <c r="BA102" s="72" t="e">
        <f t="shared" ca="1" si="99"/>
        <v>#NAME?</v>
      </c>
      <c r="BB102" s="72"/>
      <c r="BC102" s="72" t="e">
        <f ca="1">GetCtData("COAMOUNT","AMOUNT",$BF$11:$BF$17,$B102,BC$19,BC$20,"#")</f>
        <v>#NAME?</v>
      </c>
      <c r="BD102" s="72" t="e">
        <f t="shared" ca="1" si="75"/>
        <v>#NAME?</v>
      </c>
      <c r="BE102" s="72"/>
      <c r="BF102" s="72" t="e">
        <f ca="1">GetCtData("COAMOUNT","AMOUNT",$BF$11:$BF$17,$B102,BF$19,BF$20,"#")</f>
        <v>#NAME?</v>
      </c>
      <c r="BG102" s="72" t="e">
        <f t="shared" ca="1" si="76"/>
        <v>#NAME?</v>
      </c>
      <c r="BH102" s="72"/>
      <c r="BI102" s="72" t="e">
        <f t="shared" ca="1" si="100"/>
        <v>#NAME?</v>
      </c>
      <c r="BJ102" s="72" t="e">
        <f t="shared" ca="1" si="77"/>
        <v>#NAME?</v>
      </c>
      <c r="BK102" s="72"/>
      <c r="BL102" s="72" t="e">
        <f t="shared" ca="1" si="94"/>
        <v>#NAME?</v>
      </c>
      <c r="BM102" s="72" t="e">
        <f t="shared" ca="1" si="78"/>
        <v>#NAME?</v>
      </c>
      <c r="BN102" s="72"/>
      <c r="BO102" s="72" t="e">
        <f t="shared" ca="1" si="95"/>
        <v>#NAME?</v>
      </c>
      <c r="BP102" s="72" t="e">
        <f t="shared" ca="1" si="79"/>
        <v>#NAME?</v>
      </c>
      <c r="BQ102" s="72"/>
      <c r="BR102" s="72" t="e">
        <f t="shared" ca="1" si="96"/>
        <v>#NAME?</v>
      </c>
      <c r="BS102" s="72" t="e">
        <f ca="1">#REF!-BR102</f>
        <v>#REF!</v>
      </c>
    </row>
    <row r="103" spans="1:71" x14ac:dyDescent="0.2">
      <c r="A103" s="82" t="s">
        <v>293</v>
      </c>
      <c r="B103" s="82" t="s">
        <v>316</v>
      </c>
      <c r="C103" s="82" t="s">
        <v>295</v>
      </c>
      <c r="D103" s="82" t="s">
        <v>250</v>
      </c>
      <c r="E103" s="74" t="e">
        <f ca="1">GetCtLabel(B103,"CURINIT(AC)!LDESC","#Inter-company facilities")</f>
        <v>#NAME?</v>
      </c>
      <c r="F103" s="178">
        <f t="shared" ref="F103:O103" si="101">SUM(F104:F107)</f>
        <v>971</v>
      </c>
      <c r="G103" s="179">
        <f t="shared" si="101"/>
        <v>0</v>
      </c>
      <c r="H103" s="179"/>
      <c r="I103" s="178">
        <f t="shared" si="101"/>
        <v>0</v>
      </c>
      <c r="J103" s="178">
        <f t="shared" si="101"/>
        <v>0</v>
      </c>
      <c r="K103" s="178">
        <f t="shared" si="101"/>
        <v>-93</v>
      </c>
      <c r="L103" s="179">
        <f t="shared" si="101"/>
        <v>0</v>
      </c>
      <c r="M103" s="179">
        <f t="shared" si="101"/>
        <v>0</v>
      </c>
      <c r="N103" s="130"/>
      <c r="O103" s="140">
        <f t="shared" si="101"/>
        <v>878</v>
      </c>
      <c r="P103" s="141">
        <f t="shared" si="71"/>
        <v>93</v>
      </c>
      <c r="Q103" s="141">
        <f t="shared" si="71"/>
        <v>0</v>
      </c>
      <c r="R103" s="161"/>
      <c r="S103" s="161"/>
      <c r="T103" s="161"/>
      <c r="U103" s="161"/>
      <c r="V103" s="144"/>
      <c r="W103" s="142"/>
      <c r="X103" s="142"/>
      <c r="Y103" s="122"/>
      <c r="Z103" s="135"/>
      <c r="AA103" s="135"/>
      <c r="AB103" s="135">
        <f>Z103+AA103</f>
        <v>0</v>
      </c>
      <c r="AC103" s="135">
        <f t="shared" si="84"/>
        <v>878</v>
      </c>
      <c r="AD103" s="122"/>
      <c r="AE103" s="142" t="e">
        <f ca="1">GetCtData("PKAMOUNT","AMOUNT",$AE$11:$AE$18,$B103,$D103,AE$19:AE$20,"#878")</f>
        <v>#NAME?</v>
      </c>
      <c r="AF103" s="142"/>
      <c r="AG103" s="142" t="e">
        <f t="shared" ca="1" si="63"/>
        <v>#NAME?</v>
      </c>
      <c r="AH103" s="143" t="e">
        <f t="shared" ca="1" si="37"/>
        <v>#NAME?</v>
      </c>
      <c r="AI103" s="128"/>
      <c r="AJ103" s="142" t="e">
        <f t="shared" ca="1" si="73"/>
        <v>#NAME?</v>
      </c>
      <c r="AK103" s="142" t="e">
        <f ca="1">GetCtData("PKAMOUNT","AMOUNT",$AK$11:$AK$18,$B103,$D103,AK$19:AK$20,"#126")</f>
        <v>#NAME?</v>
      </c>
      <c r="AL103" s="143" t="e">
        <f t="shared" ca="1" si="74"/>
        <v>#NAME?</v>
      </c>
      <c r="AM103" s="122"/>
      <c r="AN103" s="142" t="e">
        <f ca="1">GetCtData("PKAMOUNT","AMOUNT",$AN$11:$AN$18,$B103,$D103,AN$19:AN$20,"#125")</f>
        <v>#NAME?</v>
      </c>
      <c r="AO103" s="122" t="e">
        <f ca="1">GetCtData("PKAMOUNT","AMOUNT",$AO$11:$AO$18,$B103,$D103,AO$19:AO$20,"#752")</f>
        <v>#NAME?</v>
      </c>
      <c r="AP103" s="122"/>
      <c r="AQ103" s="142" t="e">
        <f ca="1">GetCtData("PKAMOUNT","AMOUNT",$AQ$11:$AQ$18,$B103,$D103,AQ$19:AQ$20,"#879")</f>
        <v>#NAME?</v>
      </c>
      <c r="AR103" s="142" t="e">
        <f t="shared" ca="1" si="90"/>
        <v>#NAME?</v>
      </c>
      <c r="AS103" s="142"/>
      <c r="AT103" s="142" t="e">
        <f ca="1">GetCtData("PKAMOUNT","AMOUNT",AT$11:AT$18,$B103,$D103,AT$19:AT$20,"#934")</f>
        <v>#NAME?</v>
      </c>
      <c r="AU103" s="142" t="e">
        <f t="shared" ca="1" si="91"/>
        <v>#NAME?</v>
      </c>
      <c r="AV103" s="72"/>
      <c r="AW103" s="72" t="e">
        <f t="shared" ca="1" si="92"/>
        <v>#NAME?</v>
      </c>
      <c r="AX103" s="72" t="e">
        <f t="shared" ca="1" si="93"/>
        <v>#NAME?</v>
      </c>
      <c r="AY103" s="72"/>
      <c r="AZ103" s="72" t="e">
        <f ca="1">GetCtData("COAMOUNT","AMOUNT",$AZ$11:$AZ$17,$B103,AZ$19,AZ$20,"#")</f>
        <v>#NAME?</v>
      </c>
      <c r="BA103" s="72" t="e">
        <f t="shared" ca="1" si="99"/>
        <v>#NAME?</v>
      </c>
      <c r="BB103" s="72"/>
      <c r="BC103" s="72" t="e">
        <f ca="1">GetCtData("COAMOUNT","AMOUNT",$BF$11:$BF$17,$B103,BC$19,BC$20,"#")</f>
        <v>#NAME?</v>
      </c>
      <c r="BD103" s="72" t="e">
        <f t="shared" ca="1" si="75"/>
        <v>#NAME?</v>
      </c>
      <c r="BE103" s="72"/>
      <c r="BF103" s="72" t="e">
        <f ca="1">GetCtData("COAMOUNT","AMOUNT",$BF$11:$BF$17,$B103,BF$19,BF$20,"#")</f>
        <v>#NAME?</v>
      </c>
      <c r="BG103" s="72" t="e">
        <f t="shared" ca="1" si="76"/>
        <v>#NAME?</v>
      </c>
      <c r="BH103" s="72"/>
      <c r="BI103" s="72" t="e">
        <f t="shared" ca="1" si="100"/>
        <v>#NAME?</v>
      </c>
      <c r="BJ103" s="72" t="e">
        <f t="shared" ca="1" si="77"/>
        <v>#NAME?</v>
      </c>
      <c r="BK103" s="72"/>
      <c r="BL103" s="72" t="e">
        <f t="shared" ca="1" si="94"/>
        <v>#NAME?</v>
      </c>
      <c r="BM103" s="72" t="e">
        <f t="shared" ca="1" si="78"/>
        <v>#NAME?</v>
      </c>
      <c r="BN103" s="72"/>
      <c r="BO103" s="72" t="e">
        <f t="shared" ca="1" si="95"/>
        <v>#NAME?</v>
      </c>
      <c r="BP103" s="72" t="e">
        <f t="shared" ca="1" si="79"/>
        <v>#NAME?</v>
      </c>
      <c r="BQ103" s="72"/>
      <c r="BR103" s="72" t="e">
        <f t="shared" ca="1" si="96"/>
        <v>#NAME?</v>
      </c>
      <c r="BS103" s="72" t="e">
        <f ca="1">#REF!-BR103</f>
        <v>#REF!</v>
      </c>
    </row>
    <row r="104" spans="1:71" ht="15" outlineLevel="1" x14ac:dyDescent="0.25">
      <c r="A104" s="82" t="s">
        <v>243</v>
      </c>
      <c r="B104" s="82" t="s">
        <v>316</v>
      </c>
      <c r="C104" s="82" t="s">
        <v>295</v>
      </c>
      <c r="D104" s="82" t="s">
        <v>172</v>
      </c>
      <c r="E104" s="153" t="e">
        <f ca="1">GetCtLabel(B104,"CURINIT(AC)!LDESC","#Inter-company facilities")&amp;" "&amp;D104</f>
        <v>#NAME?</v>
      </c>
      <c r="F104" s="185">
        <f>971-24</f>
        <v>947</v>
      </c>
      <c r="G104" s="138"/>
      <c r="H104" s="137"/>
      <c r="I104" s="139"/>
      <c r="J104" s="139"/>
      <c r="K104" s="139"/>
      <c r="L104" s="139"/>
      <c r="M104" s="139"/>
      <c r="N104" s="130"/>
      <c r="O104" s="140">
        <f t="shared" si="98"/>
        <v>947</v>
      </c>
      <c r="P104" s="141">
        <f t="shared" si="71"/>
        <v>0</v>
      </c>
      <c r="Q104" s="141">
        <f t="shared" si="71"/>
        <v>0</v>
      </c>
      <c r="R104" s="184" t="e">
        <f t="shared" ref="R104:R113" ca="1" si="102">PutCtData("PKAMOUNT","AMOUNT",R$11:R$14,$B104:$D104,R$17:R$18,$O104)</f>
        <v>#NAME?</v>
      </c>
      <c r="S104" s="133" t="e">
        <f t="shared" ref="S104:S113" ca="1" si="103">PutCtData("PKAMOUNT","AMOUNT",S$11:S$14,$B104:$D104,S$17,$M104)</f>
        <v>#NAME?</v>
      </c>
      <c r="T104" s="134"/>
      <c r="U104" s="134" t="e">
        <f t="shared" ref="U104:U113" ca="1" si="104">PutCtData("PKAMOUNT","AMOUNT",$U$11:$U$14,$B104:$D104,U$17:U$18,Q104)</f>
        <v>#NAME?</v>
      </c>
      <c r="V104" s="144"/>
      <c r="W104" s="142"/>
      <c r="X104" s="142"/>
      <c r="Y104" s="122"/>
      <c r="Z104" s="135">
        <f>538+135</f>
        <v>673</v>
      </c>
      <c r="AA104" s="135"/>
      <c r="AB104" s="135">
        <f t="shared" si="33"/>
        <v>673</v>
      </c>
      <c r="AC104" s="135">
        <f t="shared" si="84"/>
        <v>274</v>
      </c>
      <c r="AD104" s="122"/>
      <c r="AE104" s="142" t="e">
        <f ca="1">GetCtData("PKAMOUNT","AMOUNT",$AE$11:$AE$18,$B104,$C104:$D104,AE$19:AE$20,"#948")</f>
        <v>#NAME?</v>
      </c>
      <c r="AF104" s="142"/>
      <c r="AG104" s="142" t="e">
        <f t="shared" ca="1" si="63"/>
        <v>#NAME?</v>
      </c>
      <c r="AH104" s="143" t="e">
        <f t="shared" ca="1" si="37"/>
        <v>#NAME?</v>
      </c>
      <c r="AI104" s="128"/>
      <c r="AJ104" s="142" t="e">
        <f t="shared" ca="1" si="73"/>
        <v>#NAME?</v>
      </c>
      <c r="AK104" s="142" t="e">
        <f ca="1">GetCtData("PKAMOUNT","AMOUNT",$AK$11:$AK$18,$B104:$D104,AK$19:AK$20,"#137")</f>
        <v>#NAME?</v>
      </c>
      <c r="AL104" s="143" t="e">
        <f t="shared" ca="1" si="74"/>
        <v>#NAME?</v>
      </c>
      <c r="AM104" s="122"/>
      <c r="AN104" s="142" t="e">
        <f ca="1">GetCtData("PKAMOUNT","AMOUNT",$AN$11:$AN$18,$B104,$C104:$D104,AN$19:AN$20,"#136")</f>
        <v>#NAME?</v>
      </c>
      <c r="AO104" s="142" t="e">
        <f ca="1">GetCtData("PKAMOUNT","AMOUNT",$AO$11:$AO$18,$B104,$C104:$D104,AO$19:AO$20,"#811")</f>
        <v>#NAME?</v>
      </c>
      <c r="AP104" s="122"/>
      <c r="AQ104" s="142" t="e">
        <f ca="1">GetCtData("PKAMOUNT","AMOUNT",$AQ$11:$AQ$18,$B104,$C104:$D104,AQ$19:AQ$20,"#855")</f>
        <v>#NAME?</v>
      </c>
      <c r="AR104" s="142" t="e">
        <f t="shared" ca="1" si="90"/>
        <v>#NAME?</v>
      </c>
      <c r="AS104" s="142"/>
      <c r="AT104" s="142" t="e">
        <f ca="1">GetCtData("PKAMOUNT","AMOUNT",AT$11:AT$18,$B104,$C104:$D104,AT$19:AT$20,"#1020")</f>
        <v>#NAME?</v>
      </c>
      <c r="AU104" s="142" t="e">
        <f t="shared" ca="1" si="91"/>
        <v>#NAME?</v>
      </c>
      <c r="AV104" s="72"/>
      <c r="AW104" s="72" t="e">
        <f t="shared" ca="1" si="92"/>
        <v>#NAME?</v>
      </c>
      <c r="AX104" s="72" t="e">
        <f t="shared" ca="1" si="93"/>
        <v>#NAME?</v>
      </c>
      <c r="AY104" s="72"/>
      <c r="AZ104" s="72" t="e">
        <f ca="1">GetCtData("COAMOUNT","AMOUNT",$AZ$11:$AZ$17,$B104,AZ$19,AZ$20,"#")</f>
        <v>#NAME?</v>
      </c>
      <c r="BA104" s="72" t="e">
        <f t="shared" ca="1" si="99"/>
        <v>#NAME?</v>
      </c>
      <c r="BB104" s="72"/>
      <c r="BC104" s="72" t="e">
        <f ca="1">GetCtData("COAMOUNT","AMOUNT",$BF$11:$BF$17,$B104,BC$19,BC$20,"#")</f>
        <v>#NAME?</v>
      </c>
      <c r="BD104" s="72" t="e">
        <f t="shared" ca="1" si="75"/>
        <v>#NAME?</v>
      </c>
      <c r="BE104" s="72"/>
      <c r="BF104" s="72" t="e">
        <f ca="1">GetCtData("COAMOUNT","AMOUNT",$BF$11:$BF$17,$B104,BF$19,BF$20,"#")</f>
        <v>#NAME?</v>
      </c>
      <c r="BG104" s="72" t="e">
        <f t="shared" ca="1" si="76"/>
        <v>#NAME?</v>
      </c>
      <c r="BH104" s="72"/>
      <c r="BI104" s="72" t="e">
        <f t="shared" ca="1" si="100"/>
        <v>#NAME?</v>
      </c>
      <c r="BJ104" s="72" t="e">
        <f t="shared" ca="1" si="77"/>
        <v>#NAME?</v>
      </c>
      <c r="BK104" s="72"/>
      <c r="BL104" s="72" t="e">
        <f t="shared" ca="1" si="94"/>
        <v>#NAME?</v>
      </c>
      <c r="BM104" s="72" t="e">
        <f t="shared" ca="1" si="78"/>
        <v>#NAME?</v>
      </c>
      <c r="BN104" s="72"/>
      <c r="BO104" s="72" t="e">
        <f t="shared" ca="1" si="95"/>
        <v>#NAME?</v>
      </c>
      <c r="BP104" s="72" t="e">
        <f t="shared" ca="1" si="79"/>
        <v>#NAME?</v>
      </c>
      <c r="BQ104" s="72"/>
      <c r="BR104" s="72" t="e">
        <f t="shared" ca="1" si="96"/>
        <v>#NAME?</v>
      </c>
      <c r="BS104" s="72" t="e">
        <f ca="1">#REF!-BR104</f>
        <v>#REF!</v>
      </c>
    </row>
    <row r="105" spans="1:71" outlineLevel="1" x14ac:dyDescent="0.2">
      <c r="A105" s="82" t="s">
        <v>243</v>
      </c>
      <c r="B105" s="82" t="s">
        <v>316</v>
      </c>
      <c r="C105" s="82" t="s">
        <v>201</v>
      </c>
      <c r="D105" s="82" t="s">
        <v>172</v>
      </c>
      <c r="E105" s="186" t="e">
        <f ca="1">GetCtLabel(B105,"CURINIT(AC)!LDESC","#Inter-company facilities")&amp;" "&amp;D105&amp;" Neo"</f>
        <v>#NAME?</v>
      </c>
      <c r="F105" s="137"/>
      <c r="G105" s="138"/>
      <c r="H105" s="137"/>
      <c r="I105" s="139"/>
      <c r="J105" s="139"/>
      <c r="K105" s="139">
        <v>-93</v>
      </c>
      <c r="L105" s="139"/>
      <c r="M105" s="139"/>
      <c r="N105" s="130"/>
      <c r="O105" s="140">
        <f t="shared" si="98"/>
        <v>-93</v>
      </c>
      <c r="P105" s="141">
        <f t="shared" si="71"/>
        <v>93</v>
      </c>
      <c r="Q105" s="141">
        <f t="shared" si="71"/>
        <v>0</v>
      </c>
      <c r="R105" s="184" t="e">
        <f t="shared" ca="1" si="102"/>
        <v>#NAME?</v>
      </c>
      <c r="S105" s="133" t="e">
        <f t="shared" ca="1" si="103"/>
        <v>#NAME?</v>
      </c>
      <c r="T105" s="134" t="e">
        <f ca="1">PutCtData("PKAMOUNT","AMOUNT",T$11:T$15,$B105,T$17:T$18,$P105)</f>
        <v>#NAME?</v>
      </c>
      <c r="U105" s="134" t="e">
        <f t="shared" ca="1" si="104"/>
        <v>#NAME?</v>
      </c>
      <c r="V105" s="144"/>
      <c r="W105" s="142"/>
      <c r="X105" s="142"/>
      <c r="Y105" s="122"/>
      <c r="Z105" s="135">
        <f>538+135</f>
        <v>673</v>
      </c>
      <c r="AA105" s="135"/>
      <c r="AB105" s="135">
        <f t="shared" si="33"/>
        <v>673</v>
      </c>
      <c r="AC105" s="135">
        <f t="shared" si="84"/>
        <v>-766</v>
      </c>
      <c r="AD105" s="122"/>
      <c r="AE105" s="142" t="e">
        <f ca="1">GetCtData("PKAMOUNT","AMOUNT",$AE$11:$AE$18,$B105,$C105:$D105,AE$19:AE$20,"#-94")</f>
        <v>#NAME?</v>
      </c>
      <c r="AF105" s="142"/>
      <c r="AG105" s="142" t="e">
        <f t="shared" ca="1" si="63"/>
        <v>#NAME?</v>
      </c>
      <c r="AH105" s="143" t="e">
        <f t="shared" ca="1" si="37"/>
        <v>#NAME?</v>
      </c>
      <c r="AI105" s="128"/>
      <c r="AJ105" s="142" t="e">
        <f t="shared" ca="1" si="73"/>
        <v>#NAME?</v>
      </c>
      <c r="AK105" s="142" t="e">
        <f ca="1">GetCtData("PKAMOUNT","AMOUNT",$AK$11:$AK$18,$B105:$D105,AK$19:AK$20,"#-14")</f>
        <v>#NAME?</v>
      </c>
      <c r="AL105" s="143" t="e">
        <f t="shared" ca="1" si="74"/>
        <v>#NAME?</v>
      </c>
      <c r="AM105" s="122"/>
      <c r="AN105" s="142" t="e">
        <f ca="1">GetCtData("PKAMOUNT","AMOUNT",$AN$11:$AN$18,$B105,$C105:$D105,AN$19:AN$20,"#-14")</f>
        <v>#NAME?</v>
      </c>
      <c r="AO105" s="142" t="e">
        <f ca="1">GetCtData("PKAMOUNT","AMOUNT",$AO$11:$AO$18,$B105,$C105:$D105,AO$19:AO$20,"#-80")</f>
        <v>#NAME?</v>
      </c>
      <c r="AP105" s="122"/>
      <c r="AQ105" s="142" t="e">
        <f ca="1">GetCtData("PKAMOUNT","AMOUNT",$AQ$11:$AQ$18,$B105,$C105:$D105,AQ$19:AQ$20,"#")</f>
        <v>#NAME?</v>
      </c>
      <c r="AR105" s="142" t="e">
        <f t="shared" ca="1" si="90"/>
        <v>#NAME?</v>
      </c>
      <c r="AS105" s="142"/>
      <c r="AT105" s="142" t="e">
        <f ca="1">GetCtData("PKAMOUNT","AMOUNT",AT$11:AT$18,$B105,$C105:$D105,AT$19:AT$20,"#-86")</f>
        <v>#NAME?</v>
      </c>
      <c r="AU105" s="142" t="e">
        <f t="shared" ca="1" si="91"/>
        <v>#NAME?</v>
      </c>
      <c r="AV105" s="72"/>
      <c r="AW105" s="72" t="e">
        <f ca="1">GetCtData("PKAMOUNT","AMOUNT",AW$11:AW$18,$B105:$D105,AW$19:AW$20,"#-73")</f>
        <v>#NAME?</v>
      </c>
      <c r="AX105" s="72" t="e">
        <f t="shared" ca="1" si="93"/>
        <v>#NAME?</v>
      </c>
      <c r="AY105" s="72"/>
      <c r="AZ105" s="72" t="e">
        <f ca="1">GetCtData("COAMOUNT","AMOUNT",$AZ$11:$AZ$17,$B105,AZ$19,AZ$20,"#913")</f>
        <v>#NAME?</v>
      </c>
      <c r="BA105" s="72" t="e">
        <f t="shared" ca="1" si="99"/>
        <v>#NAME?</v>
      </c>
      <c r="BB105" s="72"/>
      <c r="BC105" s="72" t="e">
        <f ca="1">GetCtData("COAMOUNT","AMOUNT",$BF$11:$BF$17,$B105,BC$19,BC$20,"#753")</f>
        <v>#NAME?</v>
      </c>
      <c r="BD105" s="72" t="e">
        <f t="shared" ca="1" si="75"/>
        <v>#NAME?</v>
      </c>
      <c r="BE105" s="72"/>
      <c r="BF105" s="72" t="e">
        <f ca="1">GetCtData("COAMOUNT","AMOUNT",$BF$11:$BF$17,$B105,BF$19,BF$20,"#-216")</f>
        <v>#NAME?</v>
      </c>
      <c r="BG105" s="72" t="e">
        <f t="shared" ca="1" si="76"/>
        <v>#NAME?</v>
      </c>
      <c r="BH105" s="72"/>
      <c r="BI105" s="72" t="e">
        <f t="shared" ca="1" si="100"/>
        <v>#NAME?</v>
      </c>
      <c r="BJ105" s="72" t="e">
        <f t="shared" ca="1" si="77"/>
        <v>#NAME?</v>
      </c>
      <c r="BK105" s="72"/>
      <c r="BL105" s="72" t="e">
        <f t="shared" ca="1" si="94"/>
        <v>#NAME?</v>
      </c>
      <c r="BM105" s="72" t="e">
        <f t="shared" ca="1" si="78"/>
        <v>#NAME?</v>
      </c>
      <c r="BN105" s="72"/>
      <c r="BO105" s="72" t="e">
        <f ca="1">GetCtData("COAMOUNT","AMOUNT",$BO$11:$BO$17,$B105,BO$19,BO$20,"#1612")</f>
        <v>#NAME?</v>
      </c>
      <c r="BP105" s="72" t="e">
        <f t="shared" ca="1" si="79"/>
        <v>#NAME?</v>
      </c>
      <c r="BQ105" s="72"/>
      <c r="BR105" s="72" t="e">
        <f ca="1">GetCtData("COAMOUNT","AMOUNT",$BO$11:$BO$17,$B105,BR$19,BR$20,"#1118")</f>
        <v>#NAME?</v>
      </c>
      <c r="BS105" s="72" t="e">
        <f ca="1">#REF!-BR105</f>
        <v>#REF!</v>
      </c>
    </row>
    <row r="106" spans="1:71" outlineLevel="1" x14ac:dyDescent="0.2">
      <c r="A106" s="82" t="s">
        <v>243</v>
      </c>
      <c r="B106" s="82" t="s">
        <v>316</v>
      </c>
      <c r="C106" s="82" t="s">
        <v>295</v>
      </c>
      <c r="D106" s="82" t="s">
        <v>196</v>
      </c>
      <c r="E106" s="153" t="e">
        <f ca="1">GetCtLabel(B106,"CURINIT(AC)!LDESC","#Inter-company facilities")&amp;" "&amp;D106</f>
        <v>#NAME?</v>
      </c>
      <c r="F106" s="137">
        <v>23</v>
      </c>
      <c r="G106" s="138"/>
      <c r="H106" s="137"/>
      <c r="I106" s="139"/>
      <c r="J106" s="139"/>
      <c r="K106" s="139"/>
      <c r="L106" s="139"/>
      <c r="M106" s="139"/>
      <c r="N106" s="130"/>
      <c r="O106" s="140">
        <f>SUM(F106:M106)</f>
        <v>23</v>
      </c>
      <c r="P106" s="141">
        <f t="shared" si="71"/>
        <v>0</v>
      </c>
      <c r="Q106" s="141">
        <f t="shared" si="71"/>
        <v>0</v>
      </c>
      <c r="R106" s="133" t="e">
        <f t="shared" ca="1" si="102"/>
        <v>#NAME?</v>
      </c>
      <c r="S106" s="133" t="e">
        <f t="shared" ca="1" si="103"/>
        <v>#NAME?</v>
      </c>
      <c r="T106" s="134" t="e">
        <f t="shared" ref="T106:T113" ca="1" si="105">PutCtData("PKAMOUNT","AMOUNT",T$11:T$14,$B106:$D106,T$17:T$18,$P106)</f>
        <v>#NAME?</v>
      </c>
      <c r="U106" s="134" t="e">
        <f t="shared" ca="1" si="104"/>
        <v>#NAME?</v>
      </c>
      <c r="V106" s="144"/>
      <c r="W106" s="142"/>
      <c r="X106" s="142"/>
      <c r="Y106" s="122"/>
      <c r="Z106" s="135">
        <f>538+135</f>
        <v>673</v>
      </c>
      <c r="AA106" s="135"/>
      <c r="AB106" s="135">
        <f>Z106+AA106</f>
        <v>673</v>
      </c>
      <c r="AC106" s="135">
        <f t="shared" si="84"/>
        <v>-650</v>
      </c>
      <c r="AD106" s="122"/>
      <c r="AE106" s="142" t="e">
        <f ca="1">GetCtData("PKAMOUNT","AMOUNT",$AE$11:$AE$18,$B106,$D106,AE$19:AE$20,"#23")</f>
        <v>#NAME?</v>
      </c>
      <c r="AF106" s="142"/>
      <c r="AG106" s="142" t="e">
        <f t="shared" ca="1" si="63"/>
        <v>#NAME?</v>
      </c>
      <c r="AH106" s="143" t="e">
        <f t="shared" ca="1" si="37"/>
        <v>#NAME?</v>
      </c>
      <c r="AI106" s="128"/>
      <c r="AJ106" s="142" t="e">
        <f t="shared" ca="1" si="73"/>
        <v>#NAME?</v>
      </c>
      <c r="AK106" s="142" t="e">
        <f ca="1">GetCtData("PKAMOUNT","AMOUNT",$AK$11:$AK$18,$B106:$D106,AK$19:AK$20,"#3")</f>
        <v>#NAME?</v>
      </c>
      <c r="AL106" s="143" t="e">
        <f t="shared" ca="1" si="74"/>
        <v>#NAME?</v>
      </c>
      <c r="AM106" s="122"/>
      <c r="AN106" s="142" t="e">
        <f ca="1">GetCtData("PKAMOUNT","AMOUNT",$AN$11:$AN$18,$B106,$D106,AN$19:AN$20,"#3")</f>
        <v>#NAME?</v>
      </c>
      <c r="AO106" s="142" t="e">
        <f ca="1">GetCtData("PKAMOUNT","AMOUNT",$AO$11:$AO$18,$B106,$D106,AO$19:AO$20,"#20")</f>
        <v>#NAME?</v>
      </c>
      <c r="AP106" s="122"/>
      <c r="AQ106" s="142" t="e">
        <f ca="1">GetCtData("PKAMOUNT","AMOUNT",$AQ$11:$AQ$18,$B106,$C106:$D106,AQ$19:AQ$20,"#23")</f>
        <v>#NAME?</v>
      </c>
      <c r="AR106" s="142" t="e">
        <f t="shared" ca="1" si="90"/>
        <v>#NAME?</v>
      </c>
      <c r="AS106" s="142"/>
      <c r="AT106" s="142" t="e">
        <f ca="1">GetCtData("PKAMOUNT","AMOUNT",AT$11:AT$18,$B106,$C106:$D106,AT$19:AT$20,"#")</f>
        <v>#NAME?</v>
      </c>
      <c r="AU106" s="142" t="e">
        <f t="shared" ca="1" si="91"/>
        <v>#NAME?</v>
      </c>
      <c r="AV106" s="72"/>
      <c r="AW106" s="72" t="e">
        <f t="shared" ref="AW106:AW113" ca="1" si="106">GetCtData("PKAMOUNT","AMOUNT",AW$11:AW$18,$B106:$D106,AW$19:AW$20,"#")</f>
        <v>#NAME?</v>
      </c>
      <c r="AX106" s="72" t="e">
        <f t="shared" ca="1" si="93"/>
        <v>#NAME?</v>
      </c>
      <c r="AY106" s="72"/>
      <c r="AZ106" s="72" t="e">
        <f t="shared" ref="AZ106:AZ113" ca="1" si="107">GetCtData("COAMOUNT","AMOUNT",$AZ$11:$AZ$17,$B106,AZ$19,AZ$20,"#")</f>
        <v>#NAME?</v>
      </c>
      <c r="BA106" s="72" t="e">
        <f t="shared" ca="1" si="99"/>
        <v>#NAME?</v>
      </c>
      <c r="BB106" s="72"/>
      <c r="BC106" s="72" t="e">
        <f t="shared" ref="BC106:BC113" ca="1" si="108">GetCtData("COAMOUNT","AMOUNT",$BF$11:$BF$17,$B106,BC$19,BC$20,"#")</f>
        <v>#NAME?</v>
      </c>
      <c r="BD106" s="72" t="e">
        <f t="shared" ca="1" si="75"/>
        <v>#NAME?</v>
      </c>
      <c r="BE106" s="72"/>
      <c r="BF106" s="72" t="e">
        <f t="shared" ref="BF106:BF113" ca="1" si="109">GetCtData("COAMOUNT","AMOUNT",$BF$11:$BF$17,$B106,BF$19,BF$20,"#")</f>
        <v>#NAME?</v>
      </c>
      <c r="BG106" s="72" t="e">
        <f t="shared" ca="1" si="76"/>
        <v>#NAME?</v>
      </c>
      <c r="BH106" s="72"/>
      <c r="BI106" s="72" t="e">
        <f t="shared" ca="1" si="100"/>
        <v>#NAME?</v>
      </c>
      <c r="BJ106" s="72" t="e">
        <f t="shared" ca="1" si="77"/>
        <v>#NAME?</v>
      </c>
      <c r="BK106" s="72"/>
      <c r="BL106" s="72" t="e">
        <f t="shared" ca="1" si="94"/>
        <v>#NAME?</v>
      </c>
      <c r="BM106" s="72" t="e">
        <f t="shared" ca="1" si="78"/>
        <v>#NAME?</v>
      </c>
      <c r="BN106" s="72"/>
      <c r="BO106" s="72" t="e">
        <f t="shared" ref="BO106:BO113" ca="1" si="110">GetCtData("COAMOUNT","AMOUNT",$BO$11:$BO$17,$B106,BO$19,BO$20,"#")</f>
        <v>#NAME?</v>
      </c>
      <c r="BP106" s="72" t="e">
        <f t="shared" ca="1" si="79"/>
        <v>#NAME?</v>
      </c>
      <c r="BQ106" s="72"/>
      <c r="BR106" s="72" t="e">
        <f t="shared" ref="BR106:BR113" ca="1" si="111">GetCtData("COAMOUNT","AMOUNT",$BO$11:$BO$17,$B106,BR$19,BR$20,"#")</f>
        <v>#NAME?</v>
      </c>
      <c r="BS106" s="72" t="e">
        <f ca="1">#REF!-BR106</f>
        <v>#REF!</v>
      </c>
    </row>
    <row r="107" spans="1:71" outlineLevel="1" x14ac:dyDescent="0.2">
      <c r="A107" s="82" t="s">
        <v>243</v>
      </c>
      <c r="B107" s="82" t="s">
        <v>316</v>
      </c>
      <c r="C107" s="82" t="s">
        <v>295</v>
      </c>
      <c r="D107" s="82" t="s">
        <v>296</v>
      </c>
      <c r="E107" s="153" t="e">
        <f ca="1">GetCtLabel(B107,"CURINIT(AC)!LDESC","#Inter-company facilities")&amp;" "&amp;D107</f>
        <v>#NAME?</v>
      </c>
      <c r="F107" s="137">
        <v>1</v>
      </c>
      <c r="G107" s="138"/>
      <c r="H107" s="137"/>
      <c r="I107" s="139"/>
      <c r="J107" s="139"/>
      <c r="K107" s="139"/>
      <c r="L107" s="139"/>
      <c r="M107" s="139"/>
      <c r="N107" s="130"/>
      <c r="O107" s="140">
        <f>SUM(F107:M107)</f>
        <v>1</v>
      </c>
      <c r="P107" s="141">
        <f t="shared" si="71"/>
        <v>0</v>
      </c>
      <c r="Q107" s="141">
        <f t="shared" si="71"/>
        <v>0</v>
      </c>
      <c r="R107" s="133" t="e">
        <f t="shared" ca="1" si="102"/>
        <v>#NAME?</v>
      </c>
      <c r="S107" s="133" t="e">
        <f t="shared" ca="1" si="103"/>
        <v>#NAME?</v>
      </c>
      <c r="T107" s="134" t="e">
        <f t="shared" ca="1" si="105"/>
        <v>#NAME?</v>
      </c>
      <c r="U107" s="134" t="e">
        <f t="shared" ca="1" si="104"/>
        <v>#NAME?</v>
      </c>
      <c r="V107" s="144"/>
      <c r="W107" s="142"/>
      <c r="X107" s="142"/>
      <c r="Y107" s="122"/>
      <c r="Z107" s="135">
        <f>538+135</f>
        <v>673</v>
      </c>
      <c r="AA107" s="135"/>
      <c r="AB107" s="135">
        <f>Z107+AA107</f>
        <v>673</v>
      </c>
      <c r="AC107" s="135">
        <f t="shared" si="84"/>
        <v>-672</v>
      </c>
      <c r="AD107" s="122"/>
      <c r="AE107" s="142" t="e">
        <f ca="1">GetCtData("PKAMOUNT","AMOUNT",$AE$11:$AE$18,$B107,$D107,AE$19:AE$20,"#1")</f>
        <v>#NAME?</v>
      </c>
      <c r="AF107" s="142"/>
      <c r="AG107" s="142" t="e">
        <f t="shared" ca="1" si="63"/>
        <v>#NAME?</v>
      </c>
      <c r="AH107" s="143" t="e">
        <f t="shared" ca="1" si="37"/>
        <v>#NAME?</v>
      </c>
      <c r="AI107" s="128"/>
      <c r="AJ107" s="142" t="e">
        <f t="shared" ca="1" si="73"/>
        <v>#NAME?</v>
      </c>
      <c r="AK107" s="142" t="e">
        <f ca="1">GetCtData("PKAMOUNT","AMOUNT",$AK$11:$AK$18,$B107:$D107,AK$19:AK$20,"#")</f>
        <v>#NAME?</v>
      </c>
      <c r="AL107" s="143" t="e">
        <f t="shared" ca="1" si="74"/>
        <v>#NAME?</v>
      </c>
      <c r="AM107" s="122"/>
      <c r="AN107" s="142" t="e">
        <f t="shared" ref="AN107:AN112" ca="1" si="112">GetCtData("PKAMOUNT","AMOUNT",$AN$11:$AN$18,$B107:$D107,AN$19:AN$20,"#0")</f>
        <v>#NAME?</v>
      </c>
      <c r="AO107" s="142" t="e">
        <f ca="1">GetCtData("PKAMOUNT","AMOUNT",$AO$11:$AO$18,$B107,$D107,AO$19:AO$20,"#1")</f>
        <v>#NAME?</v>
      </c>
      <c r="AP107" s="122"/>
      <c r="AQ107" s="142" t="e">
        <f ca="1">GetCtData("PKAMOUNT","AMOUNT",$AQ$11:$AQ$18,$B107,$D107,AQ$19:AQ$20,"#1")</f>
        <v>#NAME?</v>
      </c>
      <c r="AR107" s="142" t="e">
        <f t="shared" ca="1" si="90"/>
        <v>#NAME?</v>
      </c>
      <c r="AS107" s="142"/>
      <c r="AT107" s="142" t="e">
        <f ca="1">GetCtData("PKAMOUNT","AMOUNT",AT$11:AT$18,$B107,$D107,AT$19:AT$20,"#1")</f>
        <v>#NAME?</v>
      </c>
      <c r="AU107" s="142" t="e">
        <f t="shared" ca="1" si="91"/>
        <v>#NAME?</v>
      </c>
      <c r="AV107" s="72"/>
      <c r="AW107" s="72" t="e">
        <f t="shared" ca="1" si="106"/>
        <v>#NAME?</v>
      </c>
      <c r="AX107" s="72" t="e">
        <f t="shared" ca="1" si="93"/>
        <v>#NAME?</v>
      </c>
      <c r="AY107" s="72"/>
      <c r="AZ107" s="72" t="e">
        <f t="shared" ca="1" si="107"/>
        <v>#NAME?</v>
      </c>
      <c r="BA107" s="72" t="e">
        <f t="shared" ca="1" si="99"/>
        <v>#NAME?</v>
      </c>
      <c r="BB107" s="72"/>
      <c r="BC107" s="72" t="e">
        <f t="shared" ca="1" si="108"/>
        <v>#NAME?</v>
      </c>
      <c r="BD107" s="72" t="e">
        <f t="shared" ca="1" si="75"/>
        <v>#NAME?</v>
      </c>
      <c r="BE107" s="72"/>
      <c r="BF107" s="72" t="e">
        <f t="shared" ca="1" si="109"/>
        <v>#NAME?</v>
      </c>
      <c r="BG107" s="72" t="e">
        <f t="shared" ca="1" si="76"/>
        <v>#NAME?</v>
      </c>
      <c r="BH107" s="72"/>
      <c r="BI107" s="72" t="e">
        <f t="shared" ca="1" si="100"/>
        <v>#NAME?</v>
      </c>
      <c r="BJ107" s="72" t="e">
        <f t="shared" ca="1" si="77"/>
        <v>#NAME?</v>
      </c>
      <c r="BK107" s="72"/>
      <c r="BL107" s="72" t="e">
        <f t="shared" ca="1" si="94"/>
        <v>#NAME?</v>
      </c>
      <c r="BM107" s="72" t="e">
        <f t="shared" ca="1" si="78"/>
        <v>#NAME?</v>
      </c>
      <c r="BN107" s="72"/>
      <c r="BO107" s="72" t="e">
        <f t="shared" ca="1" si="110"/>
        <v>#NAME?</v>
      </c>
      <c r="BP107" s="72" t="e">
        <f t="shared" ca="1" si="79"/>
        <v>#NAME?</v>
      </c>
      <c r="BQ107" s="72"/>
      <c r="BR107" s="72" t="e">
        <f t="shared" ca="1" si="111"/>
        <v>#NAME?</v>
      </c>
      <c r="BS107" s="72" t="e">
        <f ca="1">#REF!-BR107</f>
        <v>#REF!</v>
      </c>
    </row>
    <row r="108" spans="1:71" outlineLevel="1" x14ac:dyDescent="0.2">
      <c r="A108" s="82" t="s">
        <v>243</v>
      </c>
      <c r="B108" s="82" t="s">
        <v>317</v>
      </c>
      <c r="D108" s="82" t="s">
        <v>172</v>
      </c>
      <c r="E108" s="74" t="e">
        <f ca="1">GetCtLabel(B108,"CURINIT(AC)!LDESC","#Sublease income")</f>
        <v>#NAME?</v>
      </c>
      <c r="F108" s="137"/>
      <c r="G108" s="138"/>
      <c r="H108" s="137"/>
      <c r="I108" s="139"/>
      <c r="J108" s="139"/>
      <c r="K108" s="139"/>
      <c r="L108" s="139"/>
      <c r="M108" s="139"/>
      <c r="N108" s="130"/>
      <c r="O108" s="140">
        <f t="shared" si="98"/>
        <v>0</v>
      </c>
      <c r="P108" s="141">
        <f t="shared" si="71"/>
        <v>0</v>
      </c>
      <c r="Q108" s="141">
        <f t="shared" si="71"/>
        <v>0</v>
      </c>
      <c r="R108" s="133" t="e">
        <f t="shared" ca="1" si="102"/>
        <v>#NAME?</v>
      </c>
      <c r="S108" s="133" t="e">
        <f t="shared" ca="1" si="103"/>
        <v>#NAME?</v>
      </c>
      <c r="T108" s="134" t="e">
        <f t="shared" ca="1" si="105"/>
        <v>#NAME?</v>
      </c>
      <c r="U108" s="134" t="e">
        <f t="shared" ca="1" si="104"/>
        <v>#NAME?</v>
      </c>
      <c r="V108" s="144"/>
      <c r="W108" s="142"/>
      <c r="X108" s="142"/>
      <c r="Y108" s="122"/>
      <c r="Z108" s="135"/>
      <c r="AA108" s="135"/>
      <c r="AB108" s="135">
        <f t="shared" si="33"/>
        <v>0</v>
      </c>
      <c r="AC108" s="135">
        <f t="shared" si="84"/>
        <v>0</v>
      </c>
      <c r="AD108" s="122"/>
      <c r="AE108" s="142" t="e">
        <f ca="1">GetCtData("PKAMOUNT","AMOUNT",$AE$11:$AE$18,$B108:$D108,AE$19:AE$20,"#0")</f>
        <v>#NAME?</v>
      </c>
      <c r="AF108" s="142"/>
      <c r="AG108" s="142" t="e">
        <f t="shared" ca="1" si="63"/>
        <v>#NAME?</v>
      </c>
      <c r="AH108" s="143" t="e">
        <f t="shared" ca="1" si="37"/>
        <v>#NAME?</v>
      </c>
      <c r="AI108" s="128"/>
      <c r="AJ108" s="142" t="e">
        <f t="shared" ca="1" si="73"/>
        <v>#NAME?</v>
      </c>
      <c r="AK108" s="142" t="e">
        <f ca="1">GetCtData("PKAMOUNT","AMOUNT",$AK$11:$AK$18,$B108:$D108,AK$19:AK$20,"#0")</f>
        <v>#NAME?</v>
      </c>
      <c r="AL108" s="143" t="e">
        <f t="shared" ca="1" si="74"/>
        <v>#NAME?</v>
      </c>
      <c r="AM108" s="122"/>
      <c r="AN108" s="142" t="e">
        <f t="shared" ca="1" si="112"/>
        <v>#NAME?</v>
      </c>
      <c r="AO108" s="142" t="e">
        <f ca="1">GetCtData("PKAMOUNT","AMOUNT",$AO$11:$AO$18,$B108:$D108,AO$19:AO$20,"#0")</f>
        <v>#NAME?</v>
      </c>
      <c r="AP108" s="122"/>
      <c r="AQ108" s="142" t="e">
        <f ca="1">GetCtData("PKAMOUNT","AMOUNT",$AQ$11:$AQ$18,$B108:$D108,AQ$19:AQ$20,"#0")</f>
        <v>#NAME?</v>
      </c>
      <c r="AR108" s="142" t="e">
        <f t="shared" ca="1" si="90"/>
        <v>#NAME?</v>
      </c>
      <c r="AS108" s="142"/>
      <c r="AT108" s="142" t="e">
        <f ca="1">GetCtData("PKAMOUNT","AMOUNT",AT$11:AT$18,$B108:$D108,AT$19:AT$20,"#0")</f>
        <v>#NAME?</v>
      </c>
      <c r="AU108" s="142" t="e">
        <f t="shared" ca="1" si="91"/>
        <v>#NAME?</v>
      </c>
      <c r="AV108" s="72"/>
      <c r="AW108" s="72" t="e">
        <f t="shared" ca="1" si="106"/>
        <v>#NAME?</v>
      </c>
      <c r="AX108" s="72" t="e">
        <f t="shared" ca="1" si="93"/>
        <v>#NAME?</v>
      </c>
      <c r="AY108" s="72"/>
      <c r="AZ108" s="72" t="e">
        <f t="shared" ca="1" si="107"/>
        <v>#NAME?</v>
      </c>
      <c r="BA108" s="72" t="e">
        <f t="shared" ca="1" si="99"/>
        <v>#NAME?</v>
      </c>
      <c r="BB108" s="72"/>
      <c r="BC108" s="72" t="e">
        <f t="shared" ca="1" si="108"/>
        <v>#NAME?</v>
      </c>
      <c r="BD108" s="72" t="e">
        <f t="shared" ca="1" si="75"/>
        <v>#NAME?</v>
      </c>
      <c r="BE108" s="72"/>
      <c r="BF108" s="72" t="e">
        <f t="shared" ca="1" si="109"/>
        <v>#NAME?</v>
      </c>
      <c r="BG108" s="72" t="e">
        <f t="shared" ca="1" si="76"/>
        <v>#NAME?</v>
      </c>
      <c r="BH108" s="72"/>
      <c r="BI108" s="72" t="e">
        <f t="shared" ca="1" si="100"/>
        <v>#NAME?</v>
      </c>
      <c r="BJ108" s="72" t="e">
        <f t="shared" ca="1" si="77"/>
        <v>#NAME?</v>
      </c>
      <c r="BK108" s="72"/>
      <c r="BL108" s="72" t="e">
        <f t="shared" ca="1" si="94"/>
        <v>#NAME?</v>
      </c>
      <c r="BM108" s="72" t="e">
        <f t="shared" ca="1" si="78"/>
        <v>#NAME?</v>
      </c>
      <c r="BN108" s="72"/>
      <c r="BO108" s="72" t="e">
        <f t="shared" ca="1" si="110"/>
        <v>#NAME?</v>
      </c>
      <c r="BP108" s="72" t="e">
        <f t="shared" ca="1" si="79"/>
        <v>#NAME?</v>
      </c>
      <c r="BQ108" s="72"/>
      <c r="BR108" s="72" t="e">
        <f t="shared" ca="1" si="111"/>
        <v>#NAME?</v>
      </c>
      <c r="BS108" s="72" t="e">
        <f ca="1">#REF!-BR108</f>
        <v>#REF!</v>
      </c>
    </row>
    <row r="109" spans="1:71" ht="12.75" customHeight="1" outlineLevel="1" x14ac:dyDescent="0.2">
      <c r="A109" s="82" t="s">
        <v>243</v>
      </c>
      <c r="B109" s="82" t="s">
        <v>318</v>
      </c>
      <c r="D109" s="82" t="s">
        <v>172</v>
      </c>
      <c r="E109" s="74" t="e">
        <f ca="1">GetCtLabel(B109,"CURINIT(AC)!LDESC","#Office services")</f>
        <v>#NAME?</v>
      </c>
      <c r="F109" s="137"/>
      <c r="G109" s="138"/>
      <c r="H109" s="137"/>
      <c r="I109" s="139"/>
      <c r="J109" s="139"/>
      <c r="K109" s="139"/>
      <c r="L109" s="139"/>
      <c r="M109" s="139"/>
      <c r="N109" s="130"/>
      <c r="O109" s="140">
        <f t="shared" si="98"/>
        <v>0</v>
      </c>
      <c r="P109" s="141">
        <f t="shared" si="71"/>
        <v>0</v>
      </c>
      <c r="Q109" s="141">
        <f t="shared" si="71"/>
        <v>0</v>
      </c>
      <c r="R109" s="133" t="e">
        <f t="shared" ca="1" si="102"/>
        <v>#NAME?</v>
      </c>
      <c r="S109" s="133" t="e">
        <f t="shared" ca="1" si="103"/>
        <v>#NAME?</v>
      </c>
      <c r="T109" s="134" t="e">
        <f t="shared" ca="1" si="105"/>
        <v>#NAME?</v>
      </c>
      <c r="U109" s="134" t="e">
        <f t="shared" ca="1" si="104"/>
        <v>#NAME?</v>
      </c>
      <c r="V109" s="144"/>
      <c r="W109" s="142"/>
      <c r="X109" s="142"/>
      <c r="Y109" s="122"/>
      <c r="Z109" s="135"/>
      <c r="AA109" s="135"/>
      <c r="AB109" s="135">
        <f t="shared" si="33"/>
        <v>0</v>
      </c>
      <c r="AC109" s="135">
        <f t="shared" si="84"/>
        <v>0</v>
      </c>
      <c r="AD109" s="122"/>
      <c r="AE109" s="142" t="e">
        <f ca="1">GetCtData("PKAMOUNT","AMOUNT",$AE$11:$AE$18,$B109:$D109,AE$19:AE$20,"#0")</f>
        <v>#NAME?</v>
      </c>
      <c r="AF109" s="142"/>
      <c r="AG109" s="142" t="e">
        <f t="shared" ca="1" si="63"/>
        <v>#NAME?</v>
      </c>
      <c r="AH109" s="143" t="e">
        <f t="shared" ca="1" si="37"/>
        <v>#NAME?</v>
      </c>
      <c r="AI109" s="128"/>
      <c r="AJ109" s="142" t="e">
        <f t="shared" ca="1" si="73"/>
        <v>#NAME?</v>
      </c>
      <c r="AK109" s="142" t="e">
        <f ca="1">GetCtData("PKAMOUNT","AMOUNT",$AK$11:$AK$18,$B109:$D109,AK$19:AK$20,"#0")</f>
        <v>#NAME?</v>
      </c>
      <c r="AL109" s="143" t="e">
        <f t="shared" ca="1" si="74"/>
        <v>#NAME?</v>
      </c>
      <c r="AM109" s="122"/>
      <c r="AN109" s="142" t="e">
        <f t="shared" ca="1" si="112"/>
        <v>#NAME?</v>
      </c>
      <c r="AO109" s="142" t="e">
        <f ca="1">GetCtData("PKAMOUNT","AMOUNT",$AO$11:$AO$18,$B109:$D109,AO$19:AO$20,"#0")</f>
        <v>#NAME?</v>
      </c>
      <c r="AP109" s="122"/>
      <c r="AQ109" s="142" t="e">
        <f ca="1">GetCtData("PKAMOUNT","AMOUNT",$AQ$11:$AQ$18,$B109:$D109,AQ$19:AQ$20,"#0")</f>
        <v>#NAME?</v>
      </c>
      <c r="AR109" s="142" t="e">
        <f t="shared" ca="1" si="90"/>
        <v>#NAME?</v>
      </c>
      <c r="AS109" s="142"/>
      <c r="AT109" s="142" t="e">
        <f ca="1">GetCtData("PKAMOUNT","AMOUNT",AT$11:AT$18,$B109:$D109,AT$19:AT$20,"#0")</f>
        <v>#NAME?</v>
      </c>
      <c r="AU109" s="142" t="e">
        <f t="shared" ca="1" si="91"/>
        <v>#NAME?</v>
      </c>
      <c r="AV109" s="72"/>
      <c r="AW109" s="72" t="e">
        <f t="shared" ca="1" si="106"/>
        <v>#NAME?</v>
      </c>
      <c r="AX109" s="72" t="e">
        <f t="shared" ca="1" si="93"/>
        <v>#NAME?</v>
      </c>
      <c r="AY109" s="72"/>
      <c r="AZ109" s="72" t="e">
        <f t="shared" ca="1" si="107"/>
        <v>#NAME?</v>
      </c>
      <c r="BA109" s="72" t="e">
        <f t="shared" ca="1" si="99"/>
        <v>#NAME?</v>
      </c>
      <c r="BB109" s="72"/>
      <c r="BC109" s="72" t="e">
        <f t="shared" ca="1" si="108"/>
        <v>#NAME?</v>
      </c>
      <c r="BD109" s="72" t="e">
        <f t="shared" ca="1" si="75"/>
        <v>#NAME?</v>
      </c>
      <c r="BE109" s="72"/>
      <c r="BF109" s="72" t="e">
        <f t="shared" ca="1" si="109"/>
        <v>#NAME?</v>
      </c>
      <c r="BG109" s="72" t="e">
        <f t="shared" ca="1" si="76"/>
        <v>#NAME?</v>
      </c>
      <c r="BH109" s="72"/>
      <c r="BI109" s="72" t="e">
        <f t="shared" ca="1" si="100"/>
        <v>#NAME?</v>
      </c>
      <c r="BJ109" s="72" t="e">
        <f t="shared" ca="1" si="77"/>
        <v>#NAME?</v>
      </c>
      <c r="BK109" s="72"/>
      <c r="BL109" s="72" t="e">
        <f t="shared" ca="1" si="94"/>
        <v>#NAME?</v>
      </c>
      <c r="BM109" s="72" t="e">
        <f t="shared" ca="1" si="78"/>
        <v>#NAME?</v>
      </c>
      <c r="BN109" s="72"/>
      <c r="BO109" s="72" t="e">
        <f t="shared" ca="1" si="110"/>
        <v>#NAME?</v>
      </c>
      <c r="BP109" s="72" t="e">
        <f t="shared" ca="1" si="79"/>
        <v>#NAME?</v>
      </c>
      <c r="BQ109" s="72"/>
      <c r="BR109" s="72" t="e">
        <f t="shared" ca="1" si="111"/>
        <v>#NAME?</v>
      </c>
      <c r="BS109" s="72" t="e">
        <f ca="1">#REF!-BR109</f>
        <v>#REF!</v>
      </c>
    </row>
    <row r="110" spans="1:71" ht="12.75" customHeight="1" outlineLevel="1" x14ac:dyDescent="0.2">
      <c r="A110" s="82" t="s">
        <v>243</v>
      </c>
      <c r="B110" s="82" t="s">
        <v>319</v>
      </c>
      <c r="D110" s="82" t="s">
        <v>172</v>
      </c>
      <c r="E110" s="74" t="e">
        <f ca="1">GetCtLabel(B110,"CURINIT(AC)!LDESC","#Office relocation costs")</f>
        <v>#NAME?</v>
      </c>
      <c r="F110" s="137"/>
      <c r="G110" s="138"/>
      <c r="H110" s="137"/>
      <c r="I110" s="139"/>
      <c r="J110" s="139"/>
      <c r="K110" s="139"/>
      <c r="L110" s="139"/>
      <c r="M110" s="139"/>
      <c r="N110" s="130"/>
      <c r="O110" s="140">
        <f t="shared" si="98"/>
        <v>0</v>
      </c>
      <c r="P110" s="141">
        <f t="shared" si="71"/>
        <v>0</v>
      </c>
      <c r="Q110" s="141">
        <f t="shared" si="71"/>
        <v>0</v>
      </c>
      <c r="R110" s="133" t="e">
        <f t="shared" ca="1" si="102"/>
        <v>#NAME?</v>
      </c>
      <c r="S110" s="133" t="e">
        <f t="shared" ca="1" si="103"/>
        <v>#NAME?</v>
      </c>
      <c r="T110" s="134" t="e">
        <f t="shared" ca="1" si="105"/>
        <v>#NAME?</v>
      </c>
      <c r="U110" s="134" t="e">
        <f t="shared" ca="1" si="104"/>
        <v>#NAME?</v>
      </c>
      <c r="V110" s="144"/>
      <c r="W110" s="142"/>
      <c r="X110" s="142"/>
      <c r="Y110" s="122"/>
      <c r="Z110" s="135"/>
      <c r="AA110" s="135"/>
      <c r="AB110" s="135">
        <f t="shared" si="33"/>
        <v>0</v>
      </c>
      <c r="AC110" s="135">
        <f t="shared" si="84"/>
        <v>0</v>
      </c>
      <c r="AD110" s="122"/>
      <c r="AE110" s="142" t="e">
        <f ca="1">GetCtData("PKAMOUNT","AMOUNT",$AE$11:$AE$18,$B110:$D110,AE$19:AE$20,"#0")</f>
        <v>#NAME?</v>
      </c>
      <c r="AF110" s="142"/>
      <c r="AG110" s="142" t="e">
        <f t="shared" ca="1" si="63"/>
        <v>#NAME?</v>
      </c>
      <c r="AH110" s="143" t="e">
        <f t="shared" ca="1" si="37"/>
        <v>#NAME?</v>
      </c>
      <c r="AI110" s="128"/>
      <c r="AJ110" s="142" t="e">
        <f t="shared" ca="1" si="73"/>
        <v>#NAME?</v>
      </c>
      <c r="AK110" s="142" t="e">
        <f ca="1">GetCtData("PKAMOUNT","AMOUNT",$AK$11:$AK$18,$B110:$D110,AK$19:AK$20,"#0")</f>
        <v>#NAME?</v>
      </c>
      <c r="AL110" s="143" t="e">
        <f t="shared" ca="1" si="74"/>
        <v>#NAME?</v>
      </c>
      <c r="AM110" s="122"/>
      <c r="AN110" s="142" t="e">
        <f t="shared" ca="1" si="112"/>
        <v>#NAME?</v>
      </c>
      <c r="AO110" s="142" t="e">
        <f ca="1">GetCtData("PKAMOUNT","AMOUNT",$AO$11:$AO$18,$B110:$D110,AO$19:AO$20,"#0")</f>
        <v>#NAME?</v>
      </c>
      <c r="AP110" s="122"/>
      <c r="AQ110" s="142" t="e">
        <f ca="1">GetCtData("PKAMOUNT","AMOUNT",$AQ$11:$AQ$18,$B110:$D110,AQ$19:AQ$20,"#0")</f>
        <v>#NAME?</v>
      </c>
      <c r="AR110" s="142" t="e">
        <f t="shared" ca="1" si="90"/>
        <v>#NAME?</v>
      </c>
      <c r="AS110" s="142"/>
      <c r="AT110" s="142" t="e">
        <f ca="1">GetCtData("PKAMOUNT","AMOUNT",AT$11:AT$18,$B110:$D110,AT$19:AT$20,"#0")</f>
        <v>#NAME?</v>
      </c>
      <c r="AU110" s="142" t="e">
        <f t="shared" ca="1" si="91"/>
        <v>#NAME?</v>
      </c>
      <c r="AV110" s="72"/>
      <c r="AW110" s="72" t="e">
        <f t="shared" ca="1" si="106"/>
        <v>#NAME?</v>
      </c>
      <c r="AX110" s="72" t="e">
        <f t="shared" ca="1" si="93"/>
        <v>#NAME?</v>
      </c>
      <c r="AY110" s="72"/>
      <c r="AZ110" s="72" t="e">
        <f t="shared" ca="1" si="107"/>
        <v>#NAME?</v>
      </c>
      <c r="BA110" s="72" t="e">
        <f t="shared" ca="1" si="99"/>
        <v>#NAME?</v>
      </c>
      <c r="BB110" s="72"/>
      <c r="BC110" s="72" t="e">
        <f t="shared" ca="1" si="108"/>
        <v>#NAME?</v>
      </c>
      <c r="BD110" s="72" t="e">
        <f t="shared" ca="1" si="75"/>
        <v>#NAME?</v>
      </c>
      <c r="BE110" s="72"/>
      <c r="BF110" s="72" t="e">
        <f t="shared" ca="1" si="109"/>
        <v>#NAME?</v>
      </c>
      <c r="BG110" s="72" t="e">
        <f t="shared" ca="1" si="76"/>
        <v>#NAME?</v>
      </c>
      <c r="BH110" s="72"/>
      <c r="BI110" s="72" t="e">
        <f t="shared" ca="1" si="100"/>
        <v>#NAME?</v>
      </c>
      <c r="BJ110" s="72" t="e">
        <f t="shared" ca="1" si="77"/>
        <v>#NAME?</v>
      </c>
      <c r="BK110" s="72"/>
      <c r="BL110" s="72" t="e">
        <f t="shared" ca="1" si="94"/>
        <v>#NAME?</v>
      </c>
      <c r="BM110" s="72" t="e">
        <f t="shared" ca="1" si="78"/>
        <v>#NAME?</v>
      </c>
      <c r="BN110" s="72"/>
      <c r="BO110" s="72" t="e">
        <f t="shared" ca="1" si="110"/>
        <v>#NAME?</v>
      </c>
      <c r="BP110" s="72" t="e">
        <f t="shared" ca="1" si="79"/>
        <v>#NAME?</v>
      </c>
      <c r="BQ110" s="72"/>
      <c r="BR110" s="72" t="e">
        <f t="shared" ca="1" si="111"/>
        <v>#NAME?</v>
      </c>
      <c r="BS110" s="72" t="e">
        <f ca="1">#REF!-BR110</f>
        <v>#REF!</v>
      </c>
    </row>
    <row r="111" spans="1:71" x14ac:dyDescent="0.2">
      <c r="A111" s="82" t="s">
        <v>243</v>
      </c>
      <c r="B111" s="82" t="s">
        <v>320</v>
      </c>
      <c r="D111" s="82" t="s">
        <v>172</v>
      </c>
      <c r="E111" s="74" t="e">
        <f ca="1">GetCtLabel(B111,"CURINIT(AC)!LDESC","#Cleaning costs")</f>
        <v>#NAME?</v>
      </c>
      <c r="F111" s="137">
        <v>1</v>
      </c>
      <c r="G111" s="138">
        <v>-1</v>
      </c>
      <c r="H111" s="137"/>
      <c r="I111" s="139"/>
      <c r="J111" s="139"/>
      <c r="K111" s="139"/>
      <c r="L111" s="139"/>
      <c r="M111" s="139"/>
      <c r="N111" s="130"/>
      <c r="O111" s="140">
        <f t="shared" si="98"/>
        <v>0</v>
      </c>
      <c r="P111" s="141">
        <f t="shared" si="71"/>
        <v>0</v>
      </c>
      <c r="Q111" s="141">
        <f t="shared" si="71"/>
        <v>0</v>
      </c>
      <c r="R111" s="133" t="e">
        <f t="shared" ca="1" si="102"/>
        <v>#NAME?</v>
      </c>
      <c r="S111" s="133" t="e">
        <f t="shared" ca="1" si="103"/>
        <v>#NAME?</v>
      </c>
      <c r="T111" s="134" t="e">
        <f t="shared" ca="1" si="105"/>
        <v>#NAME?</v>
      </c>
      <c r="U111" s="134" t="e">
        <f t="shared" ca="1" si="104"/>
        <v>#NAME?</v>
      </c>
      <c r="V111" s="144"/>
      <c r="W111" s="142"/>
      <c r="X111" s="142"/>
      <c r="Y111" s="122"/>
      <c r="Z111" s="135"/>
      <c r="AA111" s="135"/>
      <c r="AB111" s="135"/>
      <c r="AC111" s="135">
        <f t="shared" si="84"/>
        <v>0</v>
      </c>
      <c r="AD111" s="122"/>
      <c r="AE111" s="142" t="e">
        <f ca="1">GetCtData("PKAMOUNT","AMOUNT",$AE$11:$AE$18,$B111:$D111,AE$19:AE$20,"#0")</f>
        <v>#NAME?</v>
      </c>
      <c r="AF111" s="142"/>
      <c r="AG111" s="142" t="e">
        <f t="shared" ca="1" si="63"/>
        <v>#NAME?</v>
      </c>
      <c r="AH111" s="143" t="e">
        <f t="shared" ca="1" si="37"/>
        <v>#NAME?</v>
      </c>
      <c r="AI111" s="128"/>
      <c r="AJ111" s="142" t="e">
        <f t="shared" ca="1" si="73"/>
        <v>#NAME?</v>
      </c>
      <c r="AK111" s="142" t="e">
        <f ca="1">GetCtData("PKAMOUNT","AMOUNT",$AK$11:$AK$18,$B111:$D111,AK$19:AK$20,"#0")</f>
        <v>#NAME?</v>
      </c>
      <c r="AL111" s="143" t="e">
        <f t="shared" ca="1" si="74"/>
        <v>#NAME?</v>
      </c>
      <c r="AM111" s="122"/>
      <c r="AN111" s="142" t="e">
        <f t="shared" ca="1" si="112"/>
        <v>#NAME?</v>
      </c>
      <c r="AO111" s="142" t="e">
        <f ca="1">GetCtData("PKAMOUNT","AMOUNT",$AO$11:$AO$18,$B111:$D111,AO$19:AO$20,"#0")</f>
        <v>#NAME?</v>
      </c>
      <c r="AP111" s="122"/>
      <c r="AQ111" s="142" t="e">
        <f ca="1">GetCtData("PKAMOUNT","AMOUNT",$AQ$11:$AQ$18,$B111:$D111,AQ$19:AQ$20,"#0")</f>
        <v>#NAME?</v>
      </c>
      <c r="AR111" s="142" t="e">
        <f t="shared" ca="1" si="90"/>
        <v>#NAME?</v>
      </c>
      <c r="AS111" s="142"/>
      <c r="AT111" s="142" t="e">
        <f ca="1">GetCtData("PKAMOUNT","AMOUNT",AT$11:AT$18,$B111:$D111,AT$19:AT$20,"#0")</f>
        <v>#NAME?</v>
      </c>
      <c r="AU111" s="142" t="e">
        <f t="shared" ca="1" si="91"/>
        <v>#NAME?</v>
      </c>
      <c r="AV111" s="72"/>
      <c r="AW111" s="72" t="e">
        <f t="shared" ca="1" si="106"/>
        <v>#NAME?</v>
      </c>
      <c r="AX111" s="72" t="e">
        <f t="shared" ca="1" si="93"/>
        <v>#NAME?</v>
      </c>
      <c r="AY111" s="72"/>
      <c r="AZ111" s="72" t="e">
        <f t="shared" ca="1" si="107"/>
        <v>#NAME?</v>
      </c>
      <c r="BA111" s="72" t="e">
        <f t="shared" ca="1" si="99"/>
        <v>#NAME?</v>
      </c>
      <c r="BB111" s="72"/>
      <c r="BC111" s="72" t="e">
        <f t="shared" ca="1" si="108"/>
        <v>#NAME?</v>
      </c>
      <c r="BD111" s="72" t="e">
        <f t="shared" ca="1" si="75"/>
        <v>#NAME?</v>
      </c>
      <c r="BE111" s="72"/>
      <c r="BF111" s="72" t="e">
        <f t="shared" ca="1" si="109"/>
        <v>#NAME?</v>
      </c>
      <c r="BG111" s="72" t="e">
        <f t="shared" ca="1" si="76"/>
        <v>#NAME?</v>
      </c>
      <c r="BH111" s="72"/>
      <c r="BI111" s="72" t="e">
        <f t="shared" ca="1" si="100"/>
        <v>#NAME?</v>
      </c>
      <c r="BJ111" s="72" t="e">
        <f t="shared" ca="1" si="77"/>
        <v>#NAME?</v>
      </c>
      <c r="BK111" s="72"/>
      <c r="BL111" s="72" t="e">
        <f t="shared" ca="1" si="94"/>
        <v>#NAME?</v>
      </c>
      <c r="BM111" s="72" t="e">
        <f t="shared" ca="1" si="78"/>
        <v>#NAME?</v>
      </c>
      <c r="BN111" s="72"/>
      <c r="BO111" s="72" t="e">
        <f t="shared" ca="1" si="110"/>
        <v>#NAME?</v>
      </c>
      <c r="BP111" s="72" t="e">
        <f t="shared" ca="1" si="79"/>
        <v>#NAME?</v>
      </c>
      <c r="BQ111" s="72"/>
      <c r="BR111" s="72" t="e">
        <f t="shared" ca="1" si="111"/>
        <v>#NAME?</v>
      </c>
      <c r="BS111" s="72" t="e">
        <f ca="1">#REF!-BR111</f>
        <v>#REF!</v>
      </c>
    </row>
    <row r="112" spans="1:71" x14ac:dyDescent="0.2">
      <c r="A112" s="82" t="s">
        <v>243</v>
      </c>
      <c r="B112" s="82" t="s">
        <v>321</v>
      </c>
      <c r="D112" s="82" t="s">
        <v>172</v>
      </c>
      <c r="E112" s="74" t="e">
        <f ca="1">GetCtLabel(B112,"CURINIT(AC)!LDESC","#Security costs")</f>
        <v>#NAME?</v>
      </c>
      <c r="F112" s="137"/>
      <c r="G112" s="138"/>
      <c r="H112" s="137"/>
      <c r="I112" s="139"/>
      <c r="J112" s="139"/>
      <c r="K112" s="139"/>
      <c r="L112" s="139"/>
      <c r="M112" s="139"/>
      <c r="N112" s="130"/>
      <c r="O112" s="140">
        <f t="shared" si="98"/>
        <v>0</v>
      </c>
      <c r="P112" s="141">
        <f t="shared" si="71"/>
        <v>0</v>
      </c>
      <c r="Q112" s="141">
        <f t="shared" si="71"/>
        <v>0</v>
      </c>
      <c r="R112" s="133" t="e">
        <f t="shared" ca="1" si="102"/>
        <v>#NAME?</v>
      </c>
      <c r="S112" s="133" t="e">
        <f t="shared" ca="1" si="103"/>
        <v>#NAME?</v>
      </c>
      <c r="T112" s="134" t="e">
        <f t="shared" ca="1" si="105"/>
        <v>#NAME?</v>
      </c>
      <c r="U112" s="134" t="e">
        <f t="shared" ca="1" si="104"/>
        <v>#NAME?</v>
      </c>
      <c r="V112" s="144"/>
      <c r="W112" s="142"/>
      <c r="X112" s="142"/>
      <c r="Y112" s="122"/>
      <c r="Z112" s="135"/>
      <c r="AA112" s="135"/>
      <c r="AB112" s="135">
        <f t="shared" si="33"/>
        <v>0</v>
      </c>
      <c r="AC112" s="135">
        <f t="shared" si="84"/>
        <v>0</v>
      </c>
      <c r="AD112" s="122"/>
      <c r="AE112" s="142" t="e">
        <f ca="1">GetCtData("PKAMOUNT","AMOUNT",$AE$11:$AE$18,$B112:$D112,AE$19:AE$20,"#0")</f>
        <v>#NAME?</v>
      </c>
      <c r="AF112" s="142"/>
      <c r="AG112" s="142" t="e">
        <f t="shared" ca="1" si="63"/>
        <v>#NAME?</v>
      </c>
      <c r="AH112" s="143" t="e">
        <f t="shared" ca="1" si="37"/>
        <v>#NAME?</v>
      </c>
      <c r="AI112" s="128"/>
      <c r="AJ112" s="142" t="e">
        <f t="shared" ca="1" si="73"/>
        <v>#NAME?</v>
      </c>
      <c r="AK112" s="142" t="e">
        <f ca="1">GetCtData("PKAMOUNT","AMOUNT",$AK$11:$AK$18,$B112:$D112,AK$19:AK$20,"#0")</f>
        <v>#NAME?</v>
      </c>
      <c r="AL112" s="143" t="e">
        <f t="shared" ca="1" si="74"/>
        <v>#NAME?</v>
      </c>
      <c r="AM112" s="122"/>
      <c r="AN112" s="142" t="e">
        <f t="shared" ca="1" si="112"/>
        <v>#NAME?</v>
      </c>
      <c r="AO112" s="142" t="e">
        <f ca="1">GetCtData("PKAMOUNT","AMOUNT",$AO$11:$AO$18,$B112:$D112,AO$19:AO$20,"#0")</f>
        <v>#NAME?</v>
      </c>
      <c r="AP112" s="122"/>
      <c r="AQ112" s="142" t="e">
        <f ca="1">GetCtData("PKAMOUNT","AMOUNT",$AQ$11:$AQ$18,$B112:$D112,AQ$19:AQ$20,"#0")</f>
        <v>#NAME?</v>
      </c>
      <c r="AR112" s="142" t="e">
        <f t="shared" ca="1" si="90"/>
        <v>#NAME?</v>
      </c>
      <c r="AS112" s="142"/>
      <c r="AT112" s="142" t="e">
        <f ca="1">GetCtData("PKAMOUNT","AMOUNT",AT$11:AT$18,$B112:$D112,AT$19:AT$20,"#0")</f>
        <v>#NAME?</v>
      </c>
      <c r="AU112" s="142" t="e">
        <f t="shared" ca="1" si="91"/>
        <v>#NAME?</v>
      </c>
      <c r="AV112" s="72"/>
      <c r="AW112" s="72" t="e">
        <f t="shared" ca="1" si="106"/>
        <v>#NAME?</v>
      </c>
      <c r="AX112" s="72" t="e">
        <f t="shared" ca="1" si="93"/>
        <v>#NAME?</v>
      </c>
      <c r="AY112" s="72"/>
      <c r="AZ112" s="72" t="e">
        <f t="shared" ca="1" si="107"/>
        <v>#NAME?</v>
      </c>
      <c r="BA112" s="72" t="e">
        <f t="shared" ca="1" si="99"/>
        <v>#NAME?</v>
      </c>
      <c r="BB112" s="72"/>
      <c r="BC112" s="72" t="e">
        <f t="shared" ca="1" si="108"/>
        <v>#NAME?</v>
      </c>
      <c r="BD112" s="72" t="e">
        <f t="shared" ca="1" si="75"/>
        <v>#NAME?</v>
      </c>
      <c r="BE112" s="72"/>
      <c r="BF112" s="72" t="e">
        <f t="shared" ca="1" si="109"/>
        <v>#NAME?</v>
      </c>
      <c r="BG112" s="72" t="e">
        <f t="shared" ca="1" si="76"/>
        <v>#NAME?</v>
      </c>
      <c r="BH112" s="72"/>
      <c r="BI112" s="72" t="e">
        <f t="shared" ca="1" si="100"/>
        <v>#NAME?</v>
      </c>
      <c r="BJ112" s="72" t="e">
        <f t="shared" ca="1" si="77"/>
        <v>#NAME?</v>
      </c>
      <c r="BK112" s="72"/>
      <c r="BL112" s="72" t="e">
        <f t="shared" ca="1" si="94"/>
        <v>#NAME?</v>
      </c>
      <c r="BM112" s="72" t="e">
        <f t="shared" ca="1" si="78"/>
        <v>#NAME?</v>
      </c>
      <c r="BN112" s="72"/>
      <c r="BO112" s="72" t="e">
        <f t="shared" ca="1" si="110"/>
        <v>#NAME?</v>
      </c>
      <c r="BP112" s="72" t="e">
        <f t="shared" ca="1" si="79"/>
        <v>#NAME?</v>
      </c>
      <c r="BQ112" s="72"/>
      <c r="BR112" s="72" t="e">
        <f t="shared" ca="1" si="111"/>
        <v>#NAME?</v>
      </c>
      <c r="BS112" s="72" t="e">
        <f ca="1">#REF!-BR112</f>
        <v>#REF!</v>
      </c>
    </row>
    <row r="113" spans="1:71" x14ac:dyDescent="0.2">
      <c r="A113" s="82" t="s">
        <v>243</v>
      </c>
      <c r="B113" s="82" t="s">
        <v>322</v>
      </c>
      <c r="D113" s="82" t="s">
        <v>172</v>
      </c>
      <c r="E113" s="74" t="e">
        <f ca="1">GetCtLabel(B113,"CURINIT(AC)!LDESC","#Other establishment costs")</f>
        <v>#NAME?</v>
      </c>
      <c r="F113" s="137">
        <f>8+16</f>
        <v>24</v>
      </c>
      <c r="G113" s="138">
        <v>1</v>
      </c>
      <c r="H113" s="137"/>
      <c r="I113" s="139"/>
      <c r="J113" s="139"/>
      <c r="K113" s="139">
        <v>-3</v>
      </c>
      <c r="L113" s="139">
        <v>10</v>
      </c>
      <c r="M113" s="139"/>
      <c r="N113" s="130"/>
      <c r="O113" s="140">
        <f t="shared" si="98"/>
        <v>32</v>
      </c>
      <c r="P113" s="141">
        <f t="shared" si="71"/>
        <v>3</v>
      </c>
      <c r="Q113" s="141">
        <f t="shared" si="71"/>
        <v>-10</v>
      </c>
      <c r="R113" s="133" t="e">
        <f t="shared" ca="1" si="102"/>
        <v>#NAME?</v>
      </c>
      <c r="S113" s="133" t="e">
        <f t="shared" ca="1" si="103"/>
        <v>#NAME?</v>
      </c>
      <c r="T113" s="134" t="e">
        <f t="shared" ca="1" si="105"/>
        <v>#NAME?</v>
      </c>
      <c r="U113" s="134" t="e">
        <f t="shared" ca="1" si="104"/>
        <v>#NAME?</v>
      </c>
      <c r="V113" s="144"/>
      <c r="W113" s="142"/>
      <c r="X113" s="142"/>
      <c r="Y113" s="122"/>
      <c r="Z113" s="135">
        <f>17+4</f>
        <v>21</v>
      </c>
      <c r="AA113" s="135"/>
      <c r="AB113" s="135">
        <f t="shared" si="33"/>
        <v>21</v>
      </c>
      <c r="AC113" s="135">
        <f t="shared" si="84"/>
        <v>11</v>
      </c>
      <c r="AD113" s="122"/>
      <c r="AE113" s="142" t="e">
        <f ca="1">GetCtData("PKAMOUNT","AMOUNT",$AE$11:$AE$18,$B113:$D113,AE$19:AE$20,"#32")</f>
        <v>#NAME?</v>
      </c>
      <c r="AF113" s="142"/>
      <c r="AG113" s="142" t="e">
        <f t="shared" ca="1" si="63"/>
        <v>#NAME?</v>
      </c>
      <c r="AH113" s="143" t="e">
        <f t="shared" ca="1" si="37"/>
        <v>#NAME?</v>
      </c>
      <c r="AI113" s="128"/>
      <c r="AJ113" s="142" t="e">
        <f t="shared" ca="1" si="73"/>
        <v>#NAME?</v>
      </c>
      <c r="AK113" s="142" t="e">
        <f ca="1">GetCtData("PKAMOUNT","AMOUNT",$AK$11:$AK$18,$B113:$D113,AK$19:AK$20,"#4")</f>
        <v>#NAME?</v>
      </c>
      <c r="AL113" s="143" t="e">
        <f t="shared" ca="1" si="74"/>
        <v>#NAME?</v>
      </c>
      <c r="AM113" s="122"/>
      <c r="AN113" s="142" t="e">
        <f ca="1">GetCtData("PKAMOUNT","AMOUNT",$AN$11:$AN$18,$B113:$D113,AN$19:AN$20,"#3")</f>
        <v>#NAME?</v>
      </c>
      <c r="AO113" s="142" t="e">
        <f ca="1">GetCtData("PKAMOUNT","AMOUNT",$AO$11:$AO$18,$B113:$D113,AO$19:AO$20,"#28")</f>
        <v>#NAME?</v>
      </c>
      <c r="AP113" s="122"/>
      <c r="AQ113" s="142" t="e">
        <f ca="1">GetCtData("PKAMOUNT","AMOUNT",$AQ$11:$AQ$18,$B113:$D113,AQ$19:AQ$20,"#35")</f>
        <v>#NAME?</v>
      </c>
      <c r="AR113" s="142" t="e">
        <f t="shared" ca="1" si="90"/>
        <v>#NAME?</v>
      </c>
      <c r="AS113" s="142"/>
      <c r="AT113" s="142" t="e">
        <f ca="1">GetCtData("PKAMOUNT","AMOUNT",AT$11:AT$18,$B113:$D113,AT$19:AT$20,"#21")</f>
        <v>#NAME?</v>
      </c>
      <c r="AU113" s="142" t="e">
        <f t="shared" ca="1" si="91"/>
        <v>#NAME?</v>
      </c>
      <c r="AV113" s="72"/>
      <c r="AW113" s="72" t="e">
        <f t="shared" ca="1" si="106"/>
        <v>#NAME?</v>
      </c>
      <c r="AX113" s="72" t="e">
        <f t="shared" ca="1" si="93"/>
        <v>#NAME?</v>
      </c>
      <c r="AY113" s="72"/>
      <c r="AZ113" s="72" t="e">
        <f t="shared" ca="1" si="107"/>
        <v>#NAME?</v>
      </c>
      <c r="BA113" s="72" t="e">
        <f t="shared" ca="1" si="99"/>
        <v>#NAME?</v>
      </c>
      <c r="BB113" s="72"/>
      <c r="BC113" s="72" t="e">
        <f t="shared" ca="1" si="108"/>
        <v>#NAME?</v>
      </c>
      <c r="BD113" s="72" t="e">
        <f t="shared" ca="1" si="75"/>
        <v>#NAME?</v>
      </c>
      <c r="BE113" s="72"/>
      <c r="BF113" s="72" t="e">
        <f t="shared" ca="1" si="109"/>
        <v>#NAME?</v>
      </c>
      <c r="BG113" s="72" t="e">
        <f t="shared" ca="1" si="76"/>
        <v>#NAME?</v>
      </c>
      <c r="BH113" s="72"/>
      <c r="BI113" s="72" t="e">
        <f t="shared" ca="1" si="100"/>
        <v>#NAME?</v>
      </c>
      <c r="BJ113" s="72" t="e">
        <f t="shared" ca="1" si="77"/>
        <v>#NAME?</v>
      </c>
      <c r="BK113" s="72"/>
      <c r="BL113" s="72" t="e">
        <f t="shared" ca="1" si="94"/>
        <v>#NAME?</v>
      </c>
      <c r="BM113" s="72" t="e">
        <f t="shared" ca="1" si="78"/>
        <v>#NAME?</v>
      </c>
      <c r="BN113" s="72"/>
      <c r="BO113" s="72" t="e">
        <f t="shared" ca="1" si="110"/>
        <v>#NAME?</v>
      </c>
      <c r="BP113" s="72" t="e">
        <f t="shared" ca="1" si="79"/>
        <v>#NAME?</v>
      </c>
      <c r="BQ113" s="72"/>
      <c r="BR113" s="72" t="e">
        <f t="shared" ca="1" si="111"/>
        <v>#NAME?</v>
      </c>
      <c r="BS113" s="72" t="e">
        <f ca="1">#REF!-BR113</f>
        <v>#REF!</v>
      </c>
    </row>
    <row r="114" spans="1:71" x14ac:dyDescent="0.2">
      <c r="E114" s="74"/>
      <c r="F114" s="130"/>
      <c r="G114" s="131"/>
      <c r="H114" s="130"/>
      <c r="I114" s="130"/>
      <c r="J114" s="72"/>
      <c r="K114" s="72"/>
      <c r="L114" s="72"/>
      <c r="M114" s="72"/>
      <c r="N114" s="130"/>
      <c r="O114" s="121"/>
      <c r="P114" s="141">
        <f t="shared" si="71"/>
        <v>0</v>
      </c>
      <c r="Q114" s="141"/>
      <c r="R114" s="122"/>
      <c r="S114" s="122"/>
      <c r="T114" s="122" t="e">
        <f ca="1">PutCtData("PKAMOUNT","AMOUNT",$T$11:$T$15,$B114,$T$18,$T$17,P114)</f>
        <v>#NAME?</v>
      </c>
      <c r="U114" s="122" t="e">
        <f ca="1">PutCtData("PKAMOUNT","AMOUNT",$U$11:$U$15,$B114,$U$18,$U$17,L114)</f>
        <v>#NAME?</v>
      </c>
      <c r="V114" s="144"/>
      <c r="W114" s="122"/>
      <c r="X114" s="122"/>
      <c r="Y114" s="122"/>
      <c r="Z114" s="135"/>
      <c r="AA114" s="135"/>
      <c r="AB114" s="135">
        <f t="shared" si="33"/>
        <v>0</v>
      </c>
      <c r="AC114" s="135"/>
      <c r="AD114" s="122"/>
      <c r="AE114" s="122"/>
      <c r="AF114" s="122"/>
      <c r="AG114" s="122">
        <f t="shared" si="63"/>
        <v>0</v>
      </c>
      <c r="AH114" s="136">
        <f t="shared" si="37"/>
        <v>0</v>
      </c>
      <c r="AI114" s="128"/>
      <c r="AJ114" s="122">
        <f t="shared" si="73"/>
        <v>0</v>
      </c>
      <c r="AK114" s="122"/>
      <c r="AL114" s="136"/>
      <c r="AM114" s="122"/>
      <c r="AN114" s="122"/>
      <c r="AO114" s="122"/>
      <c r="AP114" s="122"/>
      <c r="AQ114" s="122"/>
      <c r="AR114" s="122"/>
      <c r="AS114" s="122"/>
      <c r="AT114" s="122"/>
      <c r="AU114" s="122"/>
      <c r="AV114" s="130"/>
      <c r="AW114" s="130"/>
      <c r="AX114" s="130"/>
      <c r="AY114" s="130"/>
      <c r="AZ114" s="130"/>
      <c r="BA114" s="130"/>
      <c r="BB114" s="130"/>
      <c r="BC114" s="130"/>
      <c r="BD114" s="130">
        <f t="shared" si="75"/>
        <v>0</v>
      </c>
      <c r="BE114" s="130"/>
      <c r="BF114" s="130"/>
      <c r="BG114" s="130">
        <f t="shared" si="76"/>
        <v>0</v>
      </c>
      <c r="BH114" s="130"/>
      <c r="BI114" s="130"/>
      <c r="BJ114" s="130">
        <f t="shared" si="77"/>
        <v>0</v>
      </c>
      <c r="BK114" s="130"/>
      <c r="BL114" s="130"/>
      <c r="BM114" s="130">
        <f t="shared" si="78"/>
        <v>0</v>
      </c>
      <c r="BN114" s="130"/>
      <c r="BO114" s="130"/>
      <c r="BP114" s="130">
        <f t="shared" si="79"/>
        <v>0</v>
      </c>
      <c r="BQ114" s="130"/>
      <c r="BR114" s="130"/>
      <c r="BS114" s="130" t="e">
        <f>#REF!-BR114</f>
        <v>#REF!</v>
      </c>
    </row>
    <row r="115" spans="1:71" s="163" customFormat="1" x14ac:dyDescent="0.2">
      <c r="A115" s="146"/>
      <c r="B115" s="146" t="s">
        <v>323</v>
      </c>
      <c r="C115" s="146"/>
      <c r="D115" s="146" t="s">
        <v>250</v>
      </c>
      <c r="E115" s="147" t="e">
        <f ca="1">GetCtLabel(B115,"CURINIT(AC)!LDESC","#TOTAL ESTABLISHMENT COSTS")</f>
        <v>#NAME?</v>
      </c>
      <c r="F115" s="148">
        <f ca="1">SUMIF($A94:F113,"yes",F94:F113)</f>
        <v>996</v>
      </c>
      <c r="G115" s="148">
        <f ca="1">SUMIF($A94:G113,"yes",G94:G113)</f>
        <v>0</v>
      </c>
      <c r="H115" s="148">
        <f ca="1">SUMIF($A94:H113,"yes",H94:H113)</f>
        <v>0</v>
      </c>
      <c r="I115" s="148">
        <f ca="1">SUMIF($A94:I113,"yes",I94:I113)</f>
        <v>0</v>
      </c>
      <c r="J115" s="148">
        <f ca="1">SUMIF($A94:J113,"yes",J94:J113)</f>
        <v>0</v>
      </c>
      <c r="K115" s="148">
        <f ca="1">SUMIF($A94:K113,"yes",K94:K113)</f>
        <v>-96</v>
      </c>
      <c r="L115" s="148">
        <f ca="1">SUMIF($A94:L113,"yes",L94:L113)</f>
        <v>10</v>
      </c>
      <c r="M115" s="148">
        <f ca="1">SUMIF($A94:M113,"yes",M94:M113)</f>
        <v>0</v>
      </c>
      <c r="N115" s="148"/>
      <c r="O115" s="149">
        <f ca="1">SUMIF($A94:O113,"yes",O94:O113)</f>
        <v>910</v>
      </c>
      <c r="P115" s="123">
        <f ca="1">SUMIF($A94:P113,"yes",P94:P113)</f>
        <v>96</v>
      </c>
      <c r="Q115" s="123"/>
      <c r="R115" s="148" t="e">
        <f ca="1">SUMIF($A94:R113,"yes",R94:R113)</f>
        <v>#NAME?</v>
      </c>
      <c r="S115" s="148" t="e">
        <f ca="1">SUMIF($A94:S113,"yes",S94:S113)</f>
        <v>#NAME?</v>
      </c>
      <c r="T115" s="148" t="e">
        <f ca="1">SUMIF($A94:T113,"yes",T94:T113)</f>
        <v>#NAME?</v>
      </c>
      <c r="U115" s="148" t="e">
        <f ca="1">SUMIF($A94:U113,"yes",U94:U113)</f>
        <v>#NAME?</v>
      </c>
      <c r="V115" s="144"/>
      <c r="W115" s="148">
        <f>SUM(W99:W113)+W95+W94</f>
        <v>0</v>
      </c>
      <c r="X115" s="148">
        <f>SUM(X99:X113)+X95+X94</f>
        <v>0</v>
      </c>
      <c r="Y115" s="136"/>
      <c r="Z115" s="150">
        <f>SUM(Z99:Z113)+Z95+Z94</f>
        <v>2713</v>
      </c>
      <c r="AA115" s="150">
        <f>SUM(AA99:AA113)+AA95+AA94</f>
        <v>0</v>
      </c>
      <c r="AB115" s="150">
        <f t="shared" si="33"/>
        <v>2713</v>
      </c>
      <c r="AC115" s="150">
        <f ca="1">+O115-AB115</f>
        <v>-1803</v>
      </c>
      <c r="AD115" s="136"/>
      <c r="AE115" s="148" t="e">
        <f ca="1">GetCtData("PKAMOUNT","AMOUNT",$AE$11:$AE$18,$B115:$D115,AE$19:AE$20,"#910")</f>
        <v>#NAME?</v>
      </c>
      <c r="AF115" s="148">
        <f>SUM(AF99:AF113)+AF95+AF94</f>
        <v>0</v>
      </c>
      <c r="AG115" s="148" t="e">
        <f t="shared" ca="1" si="63"/>
        <v>#NAME?</v>
      </c>
      <c r="AH115" s="148" t="e">
        <f t="shared" ca="1" si="37"/>
        <v>#NAME?</v>
      </c>
      <c r="AI115" s="128"/>
      <c r="AJ115" s="148" t="e">
        <f t="shared" ca="1" si="73"/>
        <v>#NAME?</v>
      </c>
      <c r="AK115" s="148" t="e">
        <f ca="1">GetCtData("PKAMOUNT","AMOUNT",$AK$11:$AK$18,$B115:$D115,AK$19:AK$20,"#130")</f>
        <v>#NAME?</v>
      </c>
      <c r="AL115" s="148" t="e">
        <f ca="1">(O115-AO115)-AK115</f>
        <v>#NAME?</v>
      </c>
      <c r="AM115" s="136"/>
      <c r="AN115" s="148" t="e">
        <f ca="1">GetCtData("PKAMOUNT","AMOUNT",$AN$11:$AN$18,$B115:$D115,AN$19:AN$20,"#128")</f>
        <v>#NAME?</v>
      </c>
      <c r="AO115" s="148" t="e">
        <f ca="1">GetCtData("PKAMOUNT","AMOUNT",$AO$11:$AO$18,$B115:$D115,AO$19:AO$20,"#780")</f>
        <v>#NAME?</v>
      </c>
      <c r="AP115" s="136"/>
      <c r="AQ115" s="148" t="e">
        <f ca="1">GetCtData("PKAMOUNT","AMOUNT",$AQ$11:$AQ$18,$B115:$D115,AQ$19:AQ$20,"#914")</f>
        <v>#NAME?</v>
      </c>
      <c r="AR115" s="148" t="e">
        <f ca="1">O115-AQ115</f>
        <v>#NAME?</v>
      </c>
      <c r="AS115" s="148"/>
      <c r="AT115" s="148" t="e">
        <f ca="1">GetCtData("PKAMOUNT","AMOUNT",AT$11:AT$18,$B115:$D115,AT$19:AT$20,"#972")</f>
        <v>#NAME?</v>
      </c>
      <c r="AU115" s="148" t="e">
        <f ca="1">O115-AT115</f>
        <v>#NAME?</v>
      </c>
      <c r="AV115" s="148"/>
      <c r="AW115" s="148" t="e">
        <f ca="1">GetCtData("PKAMOUNT","AMOUNT",AW$11:AW$18,$B115:$D115,AW$19:AW$20,"#")</f>
        <v>#NAME?</v>
      </c>
      <c r="AX115" s="148" t="e">
        <f ca="1">O115-AW115</f>
        <v>#NAME?</v>
      </c>
      <c r="AY115" s="148"/>
      <c r="AZ115" s="148" t="e">
        <f ca="1">SUM(AZ99:AZ113)+AZ95+AZ94</f>
        <v>#NAME?</v>
      </c>
      <c r="BA115" s="148" t="e">
        <f ca="1">SUM(BA99:BA113)+BA94+BA95</f>
        <v>#NAME?</v>
      </c>
      <c r="BB115" s="148"/>
      <c r="BC115" s="148" t="e">
        <f ca="1">SUM(BC99:BC113)+BC95+BC94</f>
        <v>#NAME?</v>
      </c>
      <c r="BD115" s="148" t="e">
        <f t="shared" ca="1" si="75"/>
        <v>#NAME?</v>
      </c>
      <c r="BE115" s="148"/>
      <c r="BF115" s="148" t="e">
        <f ca="1">SUM(BF99:BF113)+BF95+BF94</f>
        <v>#NAME?</v>
      </c>
      <c r="BG115" s="148" t="e">
        <f t="shared" ca="1" si="76"/>
        <v>#NAME?</v>
      </c>
      <c r="BH115" s="148"/>
      <c r="BI115" s="148" t="e">
        <f ca="1">SUM(BI99:BI113)+BI95+BI94</f>
        <v>#NAME?</v>
      </c>
      <c r="BJ115" s="148" t="e">
        <f t="shared" ca="1" si="77"/>
        <v>#NAME?</v>
      </c>
      <c r="BK115" s="148"/>
      <c r="BL115" s="148" t="e">
        <f ca="1">SUM(BL99:BL113)+BL95+BL94</f>
        <v>#NAME?</v>
      </c>
      <c r="BM115" s="148" t="e">
        <f t="shared" ca="1" si="78"/>
        <v>#NAME?</v>
      </c>
      <c r="BN115" s="148"/>
      <c r="BO115" s="148" t="e">
        <f ca="1">SUM(BO99:BO113)+BO95+BO94</f>
        <v>#NAME?</v>
      </c>
      <c r="BP115" s="148" t="e">
        <f t="shared" ca="1" si="79"/>
        <v>#NAME?</v>
      </c>
      <c r="BQ115" s="148"/>
      <c r="BR115" s="148" t="e">
        <f ca="1">SUM(BR99:BR113)+BR95+BR94</f>
        <v>#NAME?</v>
      </c>
      <c r="BS115" s="148" t="e">
        <f ca="1">#REF!-BR115</f>
        <v>#REF!</v>
      </c>
    </row>
    <row r="116" spans="1:71" x14ac:dyDescent="0.2">
      <c r="E116" s="74"/>
      <c r="F116" s="130"/>
      <c r="G116" s="131"/>
      <c r="H116" s="130"/>
      <c r="I116" s="72"/>
      <c r="J116" s="72"/>
      <c r="K116" s="72"/>
      <c r="L116" s="72"/>
      <c r="M116" s="72"/>
      <c r="N116" s="130"/>
      <c r="O116" s="121"/>
      <c r="P116" s="141">
        <f t="shared" ref="P116:Q131" si="113">-K116</f>
        <v>0</v>
      </c>
      <c r="Q116" s="141"/>
      <c r="R116" s="122"/>
      <c r="S116" s="122"/>
      <c r="T116" s="122" t="e">
        <f ca="1">PutCtData("PKAMOUNT","AMOUNT",$T$11:$T$15,$B116,$T$18,$T$17,P116)</f>
        <v>#NAME?</v>
      </c>
      <c r="U116" s="122" t="e">
        <f ca="1">PutCtData("PKAMOUNT","AMOUNT",$U$11:$U$15,$B116,$U$18,$U$17,L116)</f>
        <v>#NAME?</v>
      </c>
      <c r="V116" s="144"/>
      <c r="W116" s="122"/>
      <c r="X116" s="122"/>
      <c r="Y116" s="122"/>
      <c r="Z116" s="135"/>
      <c r="AA116" s="135"/>
      <c r="AB116" s="135">
        <f t="shared" si="33"/>
        <v>0</v>
      </c>
      <c r="AC116" s="135"/>
      <c r="AD116" s="122"/>
      <c r="AE116" s="164" t="e">
        <f ca="1">AE115-SUMIF($A94:AG113,"yes",AE94:AE113)</f>
        <v>#NAME?</v>
      </c>
      <c r="AF116" s="164"/>
      <c r="AG116" s="164" t="e">
        <f t="shared" ca="1" si="63"/>
        <v>#NAME?</v>
      </c>
      <c r="AH116" s="164" t="e">
        <f ca="1">AH115-SUMIF($A94:AI113,"yes",AH94:AH113)</f>
        <v>#NAME?</v>
      </c>
      <c r="AI116" s="128"/>
      <c r="AJ116" s="122">
        <f t="shared" si="73"/>
        <v>0</v>
      </c>
      <c r="AK116" s="122"/>
      <c r="AL116" s="136"/>
      <c r="AM116" s="122"/>
      <c r="AN116" s="122"/>
      <c r="AO116" s="122"/>
      <c r="AP116" s="122"/>
      <c r="AQ116" s="122"/>
      <c r="AR116" s="122"/>
      <c r="AS116" s="122"/>
      <c r="AT116" s="122"/>
      <c r="AU116" s="122"/>
      <c r="AV116" s="130"/>
      <c r="AW116" s="130"/>
      <c r="AX116" s="130"/>
      <c r="AY116" s="130"/>
      <c r="AZ116" s="130"/>
      <c r="BA116" s="130"/>
      <c r="BB116" s="130"/>
      <c r="BC116" s="130"/>
      <c r="BD116" s="130">
        <f t="shared" si="75"/>
        <v>0</v>
      </c>
      <c r="BE116" s="130"/>
      <c r="BF116" s="130"/>
      <c r="BG116" s="130">
        <f t="shared" si="76"/>
        <v>0</v>
      </c>
      <c r="BH116" s="130"/>
      <c r="BI116" s="130"/>
      <c r="BJ116" s="130">
        <f t="shared" si="77"/>
        <v>0</v>
      </c>
      <c r="BK116" s="130"/>
      <c r="BL116" s="130"/>
      <c r="BM116" s="130">
        <f t="shared" si="78"/>
        <v>0</v>
      </c>
      <c r="BN116" s="130"/>
      <c r="BO116" s="130"/>
      <c r="BP116" s="130">
        <f t="shared" si="79"/>
        <v>0</v>
      </c>
      <c r="BQ116" s="130"/>
      <c r="BR116" s="130"/>
      <c r="BS116" s="130" t="e">
        <f>#REF!-BR116</f>
        <v>#REF!</v>
      </c>
    </row>
    <row r="117" spans="1:71" ht="15" x14ac:dyDescent="0.25">
      <c r="A117" s="82" t="s">
        <v>243</v>
      </c>
      <c r="B117" s="82" t="s">
        <v>324</v>
      </c>
      <c r="D117" s="82" t="s">
        <v>172</v>
      </c>
      <c r="E117" s="74" t="e">
        <f ca="1">GetCtLabel(B117,"CURINIT(AC)!LDESC","#Travel")</f>
        <v>#NAME?</v>
      </c>
      <c r="F117" s="185">
        <f>74-3</f>
        <v>71</v>
      </c>
      <c r="G117" s="138">
        <v>-24</v>
      </c>
      <c r="H117" s="137"/>
      <c r="I117" s="139"/>
      <c r="J117" s="145"/>
      <c r="K117" s="139">
        <f>-27+3</f>
        <v>-24</v>
      </c>
      <c r="L117" s="139"/>
      <c r="M117" s="139"/>
      <c r="N117" s="130"/>
      <c r="O117" s="140">
        <f t="shared" ref="O117:O128" si="114">SUM(F117:M117)</f>
        <v>23</v>
      </c>
      <c r="P117" s="141">
        <f t="shared" si="113"/>
        <v>24</v>
      </c>
      <c r="Q117" s="141">
        <f t="shared" si="113"/>
        <v>0</v>
      </c>
      <c r="R117" s="133" t="e">
        <f t="shared" ref="R117:R128" ca="1" si="115">PutCtData("PKAMOUNT","AMOUNT",R$11:R$14,$B117:$D117,R$17:R$18,$O117)</f>
        <v>#NAME?</v>
      </c>
      <c r="S117" s="133" t="e">
        <f t="shared" ref="S117:S128" ca="1" si="116">PutCtData("PKAMOUNT","AMOUNT",S$11:S$14,$B117:$D117,S$17,$M117)</f>
        <v>#NAME?</v>
      </c>
      <c r="T117" s="134" t="e">
        <f t="shared" ref="T117:T128" ca="1" si="117">PutCtData("PKAMOUNT","AMOUNT",T$11:T$14,$B117:$D117,T$17:T$18,$P117)</f>
        <v>#NAME?</v>
      </c>
      <c r="U117" s="134" t="e">
        <f t="shared" ref="U117:U128" ca="1" si="118">PutCtData("PKAMOUNT","AMOUNT",$U$11:$U$14,$B117:$D117,U$17:U$18,Q117)</f>
        <v>#NAME?</v>
      </c>
      <c r="V117" s="144"/>
      <c r="W117" s="142"/>
      <c r="X117" s="142">
        <f>O117-W117</f>
        <v>23</v>
      </c>
      <c r="Y117" s="122"/>
      <c r="Z117" s="135">
        <f>13+5</f>
        <v>18</v>
      </c>
      <c r="AA117" s="135"/>
      <c r="AB117" s="135">
        <f t="shared" si="33"/>
        <v>18</v>
      </c>
      <c r="AC117" s="135">
        <f t="shared" ref="AC117:AC128" si="119">+O117-AB117</f>
        <v>5</v>
      </c>
      <c r="AD117" s="122"/>
      <c r="AE117" s="142" t="e">
        <f ca="1">GetCtData("PKAMOUNT","AMOUNT",$AE$11:$AE$18,$B117:$D117,AE$19:AE$20,"#24")</f>
        <v>#NAME?</v>
      </c>
      <c r="AF117" s="142"/>
      <c r="AG117" s="142" t="e">
        <f t="shared" ca="1" si="63"/>
        <v>#NAME?</v>
      </c>
      <c r="AH117" s="175" t="e">
        <f t="shared" ca="1" si="37"/>
        <v>#NAME?</v>
      </c>
      <c r="AI117" s="128"/>
      <c r="AJ117" s="142" t="e">
        <f t="shared" ca="1" si="73"/>
        <v>#NAME?</v>
      </c>
      <c r="AK117" s="142" t="e">
        <f ca="1">GetCtData("PKAMOUNT","AMOUNT",$AK$11:$AK$18,$B117:$D117,AK$19:AK$20,"#3")</f>
        <v>#NAME?</v>
      </c>
      <c r="AL117" s="143" t="e">
        <f t="shared" ref="AL117:AL128" ca="1" si="120">(O117-AO117)-AK117</f>
        <v>#NAME?</v>
      </c>
      <c r="AM117" s="122"/>
      <c r="AN117" s="142" t="e">
        <f ca="1">GetCtData("PKAMOUNT","AMOUNT",$AN$11:$AN$18,$B117:$D117,AN$19:AN$20,"#1")</f>
        <v>#NAME?</v>
      </c>
      <c r="AO117" s="142" t="e">
        <f ca="1">GetCtData("PKAMOUNT","AMOUNT",$AO$11:$AO$18,$B117:$D117,AO$19:AO$20,"#21")</f>
        <v>#NAME?</v>
      </c>
      <c r="AP117" s="122"/>
      <c r="AQ117" s="142" t="e">
        <f ca="1">GetCtData("PKAMOUNT","AMOUNT",$AQ$11:$AQ$18,$B117:$D117,AQ$19:AQ$20,"#21")</f>
        <v>#NAME?</v>
      </c>
      <c r="AR117" s="142" t="e">
        <f t="shared" ref="AR117:AR128" ca="1" si="121">O117-AQ117</f>
        <v>#NAME?</v>
      </c>
      <c r="AS117" s="142"/>
      <c r="AT117" s="142" t="e">
        <f ca="1">GetCtData("PKAMOUNT","AMOUNT",AT$11:AT$18,$B117:$D117,AT$19:AT$20,"#18")</f>
        <v>#NAME?</v>
      </c>
      <c r="AU117" s="142" t="e">
        <f t="shared" ref="AU117:AU128" ca="1" si="122">O117-AT117</f>
        <v>#NAME?</v>
      </c>
      <c r="AV117" s="72"/>
      <c r="AW117" s="72" t="e">
        <f t="shared" ref="AW117:AW128" ca="1" si="123">GetCtData("PKAMOUNT","AMOUNT",AW$11:AW$18,$B117:$D117,AW$19:AW$20,"#")</f>
        <v>#NAME?</v>
      </c>
      <c r="AX117" s="72" t="e">
        <f t="shared" ref="AX117:AX128" ca="1" si="124">O117-AW117</f>
        <v>#NAME?</v>
      </c>
      <c r="AY117" s="72"/>
      <c r="AZ117" s="72" t="e">
        <f t="shared" ref="AZ117:AZ128" ca="1" si="125">GetCtData("COAMOUNT","AMOUNT",$AZ$11:$AZ$17,$B117,AZ$19,AZ$20,"#")</f>
        <v>#NAME?</v>
      </c>
      <c r="BA117" s="72" t="e">
        <f t="shared" ref="BA117:BA128" ca="1" si="126">O117-AZ117</f>
        <v>#NAME?</v>
      </c>
      <c r="BB117" s="72"/>
      <c r="BC117" s="72" t="e">
        <f t="shared" ref="BC117:BC128" ca="1" si="127">GetCtData("COAMOUNT","AMOUNT",$BF$11:$BF$17,$B117,BC$19,BC$20,"#")</f>
        <v>#NAME?</v>
      </c>
      <c r="BD117" s="72" t="e">
        <f t="shared" ca="1" si="75"/>
        <v>#NAME?</v>
      </c>
      <c r="BE117" s="72"/>
      <c r="BF117" s="72" t="e">
        <f t="shared" ref="BF117:BF128" ca="1" si="128">GetCtData("COAMOUNT","AMOUNT",$BF$11:$BF$17,$B117,BF$19,BF$20,"#")</f>
        <v>#NAME?</v>
      </c>
      <c r="BG117" s="72" t="e">
        <f t="shared" ca="1" si="76"/>
        <v>#NAME?</v>
      </c>
      <c r="BH117" s="72"/>
      <c r="BI117" s="72" t="e">
        <f t="shared" ref="BI117:BI128" ca="1" si="129">GetCtData("COAMOUNT","AMOUNT",$AO$11:$AO$17,$B117,BI$19,BI$20,"#")</f>
        <v>#NAME?</v>
      </c>
      <c r="BJ117" s="72" t="e">
        <f t="shared" ca="1" si="77"/>
        <v>#NAME?</v>
      </c>
      <c r="BK117" s="72"/>
      <c r="BL117" s="72" t="e">
        <f t="shared" ref="BL117:BL128" ca="1" si="130">GetCtData("COAMOUNT","AMOUNT",$BO$11:$BO$17,$B117,BL$19,BL$20,"#")</f>
        <v>#NAME?</v>
      </c>
      <c r="BM117" s="72" t="e">
        <f t="shared" ca="1" si="78"/>
        <v>#NAME?</v>
      </c>
      <c r="BN117" s="72"/>
      <c r="BO117" s="72" t="e">
        <f t="shared" ref="BO117:BO128" ca="1" si="131">GetCtData("COAMOUNT","AMOUNT",$BO$11:$BO$17,$B117,BO$19,BO$20,"#")</f>
        <v>#NAME?</v>
      </c>
      <c r="BP117" s="72" t="e">
        <f t="shared" ca="1" si="79"/>
        <v>#NAME?</v>
      </c>
      <c r="BQ117" s="72"/>
      <c r="BR117" s="72" t="e">
        <f t="shared" ref="BR117:BR128" ca="1" si="132">GetCtData("COAMOUNT","AMOUNT",$BO$11:$BO$17,$B117,BR$19,BR$20,"#")</f>
        <v>#NAME?</v>
      </c>
      <c r="BS117" s="72" t="e">
        <f ca="1">#REF!-BR117</f>
        <v>#REF!</v>
      </c>
    </row>
    <row r="118" spans="1:71" outlineLevel="1" x14ac:dyDescent="0.2">
      <c r="A118" s="82" t="s">
        <v>243</v>
      </c>
      <c r="B118" s="82" t="s">
        <v>325</v>
      </c>
      <c r="D118" s="82" t="s">
        <v>172</v>
      </c>
      <c r="E118" s="74" t="e">
        <f ca="1">GetCtLabel(B118,"CURINIT(AC)!LDESC","#Entertainment")</f>
        <v>#NAME?</v>
      </c>
      <c r="F118" s="137">
        <v>1</v>
      </c>
      <c r="G118" s="138"/>
      <c r="H118" s="137"/>
      <c r="I118" s="139"/>
      <c r="J118" s="139"/>
      <c r="K118" s="139"/>
      <c r="L118" s="139"/>
      <c r="M118" s="139"/>
      <c r="N118" s="130"/>
      <c r="O118" s="140">
        <f t="shared" si="114"/>
        <v>1</v>
      </c>
      <c r="P118" s="141">
        <f t="shared" si="113"/>
        <v>0</v>
      </c>
      <c r="Q118" s="141">
        <f t="shared" si="113"/>
        <v>0</v>
      </c>
      <c r="R118" s="133" t="e">
        <f t="shared" ca="1" si="115"/>
        <v>#NAME?</v>
      </c>
      <c r="S118" s="133" t="e">
        <f t="shared" ca="1" si="116"/>
        <v>#NAME?</v>
      </c>
      <c r="T118" s="134" t="e">
        <f t="shared" ca="1" si="117"/>
        <v>#NAME?</v>
      </c>
      <c r="U118" s="134" t="e">
        <f t="shared" ca="1" si="118"/>
        <v>#NAME?</v>
      </c>
      <c r="V118" s="144"/>
      <c r="W118" s="142"/>
      <c r="X118" s="142">
        <f t="shared" ref="X118:X128" si="133">O118-W118</f>
        <v>1</v>
      </c>
      <c r="Y118" s="122"/>
      <c r="Z118" s="135">
        <v>1</v>
      </c>
      <c r="AA118" s="135"/>
      <c r="AB118" s="135"/>
      <c r="AC118" s="135">
        <f t="shared" si="119"/>
        <v>1</v>
      </c>
      <c r="AD118" s="122"/>
      <c r="AE118" s="142" t="e">
        <f ca="1">GetCtData("PKAMOUNT","AMOUNT",$AE$11:$AE$18,$B118:$D118,AE$19:AE$20,"#0")</f>
        <v>#NAME?</v>
      </c>
      <c r="AF118" s="142"/>
      <c r="AG118" s="142" t="e">
        <f t="shared" ca="1" si="63"/>
        <v>#NAME?</v>
      </c>
      <c r="AH118" s="143" t="e">
        <f t="shared" ca="1" si="37"/>
        <v>#NAME?</v>
      </c>
      <c r="AI118" s="128"/>
      <c r="AJ118" s="142" t="e">
        <f t="shared" ca="1" si="73"/>
        <v>#NAME?</v>
      </c>
      <c r="AK118" s="142" t="e">
        <f ca="1">GetCtData("PKAMOUNT","AMOUNT",$AK$11:$AK$18,$B118:$D118,AK$19:AK$20,"#0")</f>
        <v>#NAME?</v>
      </c>
      <c r="AL118" s="143" t="e">
        <f t="shared" ca="1" si="120"/>
        <v>#NAME?</v>
      </c>
      <c r="AM118" s="122"/>
      <c r="AN118" s="142" t="e">
        <f ca="1">GetCtData("PKAMOUNT","AMOUNT",$AN$11:$AN$18,$B118:$D118,AN$19:AN$20,"#0")</f>
        <v>#NAME?</v>
      </c>
      <c r="AO118" s="142" t="e">
        <f ca="1">GetCtData("PKAMOUNT","AMOUNT",$AO$11:$AO$18,$B118:$D118,AO$19:AO$20,"#0")</f>
        <v>#NAME?</v>
      </c>
      <c r="AP118" s="122"/>
      <c r="AQ118" s="142" t="e">
        <f ca="1">GetCtData("PKAMOUNT","AMOUNT",$AQ$11:$AQ$18,$B118:$D118,AQ$19:AQ$20,"#0")</f>
        <v>#NAME?</v>
      </c>
      <c r="AR118" s="142" t="e">
        <f t="shared" ca="1" si="121"/>
        <v>#NAME?</v>
      </c>
      <c r="AS118" s="142"/>
      <c r="AT118" s="142" t="e">
        <f ca="1">GetCtData("PKAMOUNT","AMOUNT",AT$11:AT$18,$B118:$D118,AT$19:AT$20,"#0")</f>
        <v>#NAME?</v>
      </c>
      <c r="AU118" s="142" t="e">
        <f t="shared" ca="1" si="122"/>
        <v>#NAME?</v>
      </c>
      <c r="AV118" s="72"/>
      <c r="AW118" s="72" t="e">
        <f t="shared" ca="1" si="123"/>
        <v>#NAME?</v>
      </c>
      <c r="AX118" s="72" t="e">
        <f t="shared" ca="1" si="124"/>
        <v>#NAME?</v>
      </c>
      <c r="AY118" s="72"/>
      <c r="AZ118" s="72" t="e">
        <f t="shared" ca="1" si="125"/>
        <v>#NAME?</v>
      </c>
      <c r="BA118" s="72" t="e">
        <f t="shared" ca="1" si="126"/>
        <v>#NAME?</v>
      </c>
      <c r="BB118" s="72"/>
      <c r="BC118" s="72" t="e">
        <f t="shared" ca="1" si="127"/>
        <v>#NAME?</v>
      </c>
      <c r="BD118" s="72" t="e">
        <f t="shared" ca="1" si="75"/>
        <v>#NAME?</v>
      </c>
      <c r="BE118" s="72"/>
      <c r="BF118" s="72" t="e">
        <f t="shared" ca="1" si="128"/>
        <v>#NAME?</v>
      </c>
      <c r="BG118" s="72" t="e">
        <f t="shared" ca="1" si="76"/>
        <v>#NAME?</v>
      </c>
      <c r="BH118" s="72"/>
      <c r="BI118" s="72" t="e">
        <f t="shared" ca="1" si="129"/>
        <v>#NAME?</v>
      </c>
      <c r="BJ118" s="72" t="e">
        <f t="shared" ca="1" si="77"/>
        <v>#NAME?</v>
      </c>
      <c r="BK118" s="72"/>
      <c r="BL118" s="72" t="e">
        <f t="shared" ca="1" si="130"/>
        <v>#NAME?</v>
      </c>
      <c r="BM118" s="72" t="e">
        <f t="shared" ca="1" si="78"/>
        <v>#NAME?</v>
      </c>
      <c r="BN118" s="72"/>
      <c r="BO118" s="72" t="e">
        <f t="shared" ca="1" si="131"/>
        <v>#NAME?</v>
      </c>
      <c r="BP118" s="72" t="e">
        <f t="shared" ca="1" si="79"/>
        <v>#NAME?</v>
      </c>
      <c r="BQ118" s="72"/>
      <c r="BR118" s="72" t="e">
        <f t="shared" ca="1" si="132"/>
        <v>#NAME?</v>
      </c>
      <c r="BS118" s="72" t="e">
        <f ca="1">#REF!-BR118</f>
        <v>#REF!</v>
      </c>
    </row>
    <row r="119" spans="1:71" x14ac:dyDescent="0.2">
      <c r="A119" s="82" t="s">
        <v>243</v>
      </c>
      <c r="B119" s="82" t="s">
        <v>326</v>
      </c>
      <c r="D119" s="82" t="s">
        <v>172</v>
      </c>
      <c r="E119" s="74" t="e">
        <f ca="1">GetCtLabel(B119,"CURINIT(AC)!LDESC","#Allowance &amp; subsistence")</f>
        <v>#NAME?</v>
      </c>
      <c r="F119" s="137">
        <v>24</v>
      </c>
      <c r="G119" s="138">
        <v>-7</v>
      </c>
      <c r="H119" s="137"/>
      <c r="I119" s="139"/>
      <c r="J119" s="139"/>
      <c r="K119" s="139">
        <f>-5-1</f>
        <v>-6</v>
      </c>
      <c r="L119" s="139"/>
      <c r="M119" s="139"/>
      <c r="N119" s="130"/>
      <c r="O119" s="140">
        <f t="shared" si="114"/>
        <v>11</v>
      </c>
      <c r="P119" s="141">
        <f t="shared" si="113"/>
        <v>6</v>
      </c>
      <c r="Q119" s="141">
        <f t="shared" si="113"/>
        <v>0</v>
      </c>
      <c r="R119" s="133" t="e">
        <f t="shared" ca="1" si="115"/>
        <v>#NAME?</v>
      </c>
      <c r="S119" s="133" t="e">
        <f t="shared" ca="1" si="116"/>
        <v>#NAME?</v>
      </c>
      <c r="T119" s="134" t="e">
        <f t="shared" ca="1" si="117"/>
        <v>#NAME?</v>
      </c>
      <c r="U119" s="134" t="e">
        <f t="shared" ca="1" si="118"/>
        <v>#NAME?</v>
      </c>
      <c r="V119" s="144"/>
      <c r="W119" s="142"/>
      <c r="X119" s="142">
        <f t="shared" si="133"/>
        <v>11</v>
      </c>
      <c r="Y119" s="122"/>
      <c r="Z119" s="135">
        <f>6+2</f>
        <v>8</v>
      </c>
      <c r="AA119" s="135"/>
      <c r="AB119" s="135">
        <f t="shared" si="33"/>
        <v>8</v>
      </c>
      <c r="AC119" s="135">
        <f t="shared" si="119"/>
        <v>3</v>
      </c>
      <c r="AD119" s="122"/>
      <c r="AE119" s="142" t="e">
        <f ca="1">GetCtData("PKAMOUNT","AMOUNT",$AE$11:$AE$18,$B119:$D119,AE$19:AE$20,"#11")</f>
        <v>#NAME?</v>
      </c>
      <c r="AF119" s="142"/>
      <c r="AG119" s="142" t="e">
        <f t="shared" ca="1" si="63"/>
        <v>#NAME?</v>
      </c>
      <c r="AH119" s="175" t="e">
        <f t="shared" ref="AH119:AH182" ca="1" si="134">+O119-AG119</f>
        <v>#NAME?</v>
      </c>
      <c r="AI119" s="128"/>
      <c r="AJ119" s="142" t="e">
        <f t="shared" ca="1" si="73"/>
        <v>#NAME?</v>
      </c>
      <c r="AK119" s="142" t="e">
        <f ca="1">GetCtData("PKAMOUNT","AMOUNT",$AK$11:$AK$18,$B119:$D119,AK$19:AK$20,"#2")</f>
        <v>#NAME?</v>
      </c>
      <c r="AL119" s="143" t="e">
        <f t="shared" ca="1" si="120"/>
        <v>#NAME?</v>
      </c>
      <c r="AM119" s="122"/>
      <c r="AN119" s="142" t="e">
        <f ca="1">GetCtData("PKAMOUNT","AMOUNT",$AN$11:$AN$18,$B119:$D119,AN$19:AN$20,"#0")</f>
        <v>#NAME?</v>
      </c>
      <c r="AO119" s="142" t="e">
        <f ca="1">GetCtData("PKAMOUNT","AMOUNT",$AO$11:$AO$18,$B119:$D119,AO$19:AO$20,"#9")</f>
        <v>#NAME?</v>
      </c>
      <c r="AP119" s="122"/>
      <c r="AQ119" s="142" t="e">
        <f ca="1">GetCtData("PKAMOUNT","AMOUNT",$AQ$11:$AQ$18,$B119:$D119,AQ$19:AQ$20,"#11")</f>
        <v>#NAME?</v>
      </c>
      <c r="AR119" s="142" t="e">
        <f t="shared" ca="1" si="121"/>
        <v>#NAME?</v>
      </c>
      <c r="AS119" s="142"/>
      <c r="AT119" s="142" t="e">
        <f ca="1">GetCtData("PKAMOUNT","AMOUNT",AT$11:AT$18,$B119:$D119,AT$19:AT$20,"#9")</f>
        <v>#NAME?</v>
      </c>
      <c r="AU119" s="142" t="e">
        <f t="shared" ca="1" si="122"/>
        <v>#NAME?</v>
      </c>
      <c r="AV119" s="72"/>
      <c r="AW119" s="72" t="e">
        <f t="shared" ca="1" si="123"/>
        <v>#NAME?</v>
      </c>
      <c r="AX119" s="72" t="e">
        <f t="shared" ca="1" si="124"/>
        <v>#NAME?</v>
      </c>
      <c r="AY119" s="72"/>
      <c r="AZ119" s="72" t="e">
        <f t="shared" ca="1" si="125"/>
        <v>#NAME?</v>
      </c>
      <c r="BA119" s="72" t="e">
        <f t="shared" ca="1" si="126"/>
        <v>#NAME?</v>
      </c>
      <c r="BB119" s="72"/>
      <c r="BC119" s="72" t="e">
        <f t="shared" ca="1" si="127"/>
        <v>#NAME?</v>
      </c>
      <c r="BD119" s="72" t="e">
        <f t="shared" ca="1" si="75"/>
        <v>#NAME?</v>
      </c>
      <c r="BE119" s="72"/>
      <c r="BF119" s="72" t="e">
        <f t="shared" ca="1" si="128"/>
        <v>#NAME?</v>
      </c>
      <c r="BG119" s="72" t="e">
        <f t="shared" ca="1" si="76"/>
        <v>#NAME?</v>
      </c>
      <c r="BH119" s="72"/>
      <c r="BI119" s="72" t="e">
        <f t="shared" ca="1" si="129"/>
        <v>#NAME?</v>
      </c>
      <c r="BJ119" s="72" t="e">
        <f t="shared" ca="1" si="77"/>
        <v>#NAME?</v>
      </c>
      <c r="BK119" s="72"/>
      <c r="BL119" s="72" t="e">
        <f t="shared" ca="1" si="130"/>
        <v>#NAME?</v>
      </c>
      <c r="BM119" s="72" t="e">
        <f t="shared" ca="1" si="78"/>
        <v>#NAME?</v>
      </c>
      <c r="BN119" s="72"/>
      <c r="BO119" s="72" t="e">
        <f t="shared" ca="1" si="131"/>
        <v>#NAME?</v>
      </c>
      <c r="BP119" s="72" t="e">
        <f t="shared" ca="1" si="79"/>
        <v>#NAME?</v>
      </c>
      <c r="BQ119" s="72"/>
      <c r="BR119" s="72" t="e">
        <f t="shared" ca="1" si="132"/>
        <v>#NAME?</v>
      </c>
      <c r="BS119" s="72" t="e">
        <f ca="1">#REF!-BR119</f>
        <v>#REF!</v>
      </c>
    </row>
    <row r="120" spans="1:71" ht="12.75" customHeight="1" outlineLevel="1" x14ac:dyDescent="0.2">
      <c r="A120" s="82" t="s">
        <v>243</v>
      </c>
      <c r="B120" s="82" t="s">
        <v>327</v>
      </c>
      <c r="D120" s="82" t="s">
        <v>172</v>
      </c>
      <c r="E120" s="74" t="e">
        <f ca="1">GetCtLabel(B120,"CURINIT(AC)!LDESC","#Staff training travel")</f>
        <v>#NAME?</v>
      </c>
      <c r="F120" s="137"/>
      <c r="G120" s="138"/>
      <c r="H120" s="137"/>
      <c r="I120" s="139"/>
      <c r="J120" s="139"/>
      <c r="K120" s="139"/>
      <c r="L120" s="139"/>
      <c r="M120" s="139"/>
      <c r="N120" s="130"/>
      <c r="O120" s="140">
        <f t="shared" si="114"/>
        <v>0</v>
      </c>
      <c r="P120" s="141">
        <f t="shared" si="113"/>
        <v>0</v>
      </c>
      <c r="Q120" s="141">
        <f t="shared" si="113"/>
        <v>0</v>
      </c>
      <c r="R120" s="133" t="e">
        <f t="shared" ca="1" si="115"/>
        <v>#NAME?</v>
      </c>
      <c r="S120" s="133" t="e">
        <f t="shared" ca="1" si="116"/>
        <v>#NAME?</v>
      </c>
      <c r="T120" s="134" t="e">
        <f t="shared" ca="1" si="117"/>
        <v>#NAME?</v>
      </c>
      <c r="U120" s="134" t="e">
        <f t="shared" ca="1" si="118"/>
        <v>#NAME?</v>
      </c>
      <c r="V120" s="144"/>
      <c r="W120" s="142"/>
      <c r="X120" s="142">
        <f t="shared" si="133"/>
        <v>0</v>
      </c>
      <c r="Y120" s="122"/>
      <c r="Z120" s="135"/>
      <c r="AA120" s="135"/>
      <c r="AB120" s="135"/>
      <c r="AC120" s="135">
        <f t="shared" si="119"/>
        <v>0</v>
      </c>
      <c r="AD120" s="122"/>
      <c r="AE120" s="142" t="e">
        <f ca="1">GetCtData("PKAMOUNT","AMOUNT",$AE$11:$AE$18,$B120:$D120,AE$19:AE$20,"#0")</f>
        <v>#NAME?</v>
      </c>
      <c r="AF120" s="142"/>
      <c r="AG120" s="142" t="e">
        <f t="shared" ca="1" si="63"/>
        <v>#NAME?</v>
      </c>
      <c r="AH120" s="143" t="e">
        <f t="shared" ca="1" si="134"/>
        <v>#NAME?</v>
      </c>
      <c r="AI120" s="128"/>
      <c r="AJ120" s="142" t="e">
        <f t="shared" ca="1" si="73"/>
        <v>#NAME?</v>
      </c>
      <c r="AK120" s="142" t="e">
        <f ca="1">GetCtData("PKAMOUNT","AMOUNT",$AK$11:$AK$18,$B120:$D120,AK$19:AK$20,"#0")</f>
        <v>#NAME?</v>
      </c>
      <c r="AL120" s="143" t="e">
        <f t="shared" ca="1" si="120"/>
        <v>#NAME?</v>
      </c>
      <c r="AM120" s="122"/>
      <c r="AN120" s="142" t="e">
        <f ca="1">GetCtData("PKAMOUNT","AMOUNT",$AN$11:$AN$18,$B120:$D120,AN$19:AN$20,"#0")</f>
        <v>#NAME?</v>
      </c>
      <c r="AO120" s="142" t="e">
        <f ca="1">GetCtData("PKAMOUNT","AMOUNT",$AO$11:$AO$18,$B120:$D120,AO$19:AO$20,"#0")</f>
        <v>#NAME?</v>
      </c>
      <c r="AP120" s="122"/>
      <c r="AQ120" s="142" t="e">
        <f ca="1">GetCtData("PKAMOUNT","AMOUNT",$AQ$11:$AQ$18,$B120:$D120,AQ$19:AQ$20,"#0")</f>
        <v>#NAME?</v>
      </c>
      <c r="AR120" s="142" t="e">
        <f t="shared" ca="1" si="121"/>
        <v>#NAME?</v>
      </c>
      <c r="AS120" s="142"/>
      <c r="AT120" s="142" t="e">
        <f ca="1">GetCtData("PKAMOUNT","AMOUNT",AT$11:AT$18,$B120:$D120,AT$19:AT$20,"#0")</f>
        <v>#NAME?</v>
      </c>
      <c r="AU120" s="142" t="e">
        <f t="shared" ca="1" si="122"/>
        <v>#NAME?</v>
      </c>
      <c r="AV120" s="72"/>
      <c r="AW120" s="72" t="e">
        <f t="shared" ca="1" si="123"/>
        <v>#NAME?</v>
      </c>
      <c r="AX120" s="72" t="e">
        <f t="shared" ca="1" si="124"/>
        <v>#NAME?</v>
      </c>
      <c r="AY120" s="72"/>
      <c r="AZ120" s="72" t="e">
        <f t="shared" ca="1" si="125"/>
        <v>#NAME?</v>
      </c>
      <c r="BA120" s="72" t="e">
        <f t="shared" ca="1" si="126"/>
        <v>#NAME?</v>
      </c>
      <c r="BB120" s="72"/>
      <c r="BC120" s="72" t="e">
        <f t="shared" ca="1" si="127"/>
        <v>#NAME?</v>
      </c>
      <c r="BD120" s="72" t="e">
        <f t="shared" ca="1" si="75"/>
        <v>#NAME?</v>
      </c>
      <c r="BE120" s="72"/>
      <c r="BF120" s="72" t="e">
        <f t="shared" ca="1" si="128"/>
        <v>#NAME?</v>
      </c>
      <c r="BG120" s="72" t="e">
        <f t="shared" ca="1" si="76"/>
        <v>#NAME?</v>
      </c>
      <c r="BH120" s="72"/>
      <c r="BI120" s="72" t="e">
        <f t="shared" ca="1" si="129"/>
        <v>#NAME?</v>
      </c>
      <c r="BJ120" s="72" t="e">
        <f t="shared" ca="1" si="77"/>
        <v>#NAME?</v>
      </c>
      <c r="BK120" s="72"/>
      <c r="BL120" s="72" t="e">
        <f t="shared" ca="1" si="130"/>
        <v>#NAME?</v>
      </c>
      <c r="BM120" s="72" t="e">
        <f t="shared" ca="1" si="78"/>
        <v>#NAME?</v>
      </c>
      <c r="BN120" s="72"/>
      <c r="BO120" s="72" t="e">
        <f t="shared" ca="1" si="131"/>
        <v>#NAME?</v>
      </c>
      <c r="BP120" s="72" t="e">
        <f t="shared" ca="1" si="79"/>
        <v>#NAME?</v>
      </c>
      <c r="BQ120" s="72"/>
      <c r="BR120" s="72" t="e">
        <f t="shared" ca="1" si="132"/>
        <v>#NAME?</v>
      </c>
      <c r="BS120" s="72" t="e">
        <f ca="1">#REF!-BR120</f>
        <v>#REF!</v>
      </c>
    </row>
    <row r="121" spans="1:71" ht="12.75" customHeight="1" outlineLevel="1" x14ac:dyDescent="0.2">
      <c r="A121" s="82" t="s">
        <v>243</v>
      </c>
      <c r="B121" s="82" t="s">
        <v>328</v>
      </c>
      <c r="D121" s="82" t="s">
        <v>172</v>
      </c>
      <c r="E121" s="74" t="e">
        <f ca="1">GetCtLabel(B121,"CURINIT(AC)!LDESC","#Staff training accom. &amp; subsistence")</f>
        <v>#NAME?</v>
      </c>
      <c r="F121" s="137"/>
      <c r="G121" s="138"/>
      <c r="H121" s="137"/>
      <c r="I121" s="139"/>
      <c r="J121" s="139"/>
      <c r="K121" s="139"/>
      <c r="L121" s="139"/>
      <c r="M121" s="139"/>
      <c r="N121" s="130"/>
      <c r="O121" s="140">
        <f t="shared" si="114"/>
        <v>0</v>
      </c>
      <c r="P121" s="141">
        <f t="shared" si="113"/>
        <v>0</v>
      </c>
      <c r="Q121" s="141">
        <f t="shared" si="113"/>
        <v>0</v>
      </c>
      <c r="R121" s="133" t="e">
        <f t="shared" ca="1" si="115"/>
        <v>#NAME?</v>
      </c>
      <c r="S121" s="133" t="e">
        <f t="shared" ca="1" si="116"/>
        <v>#NAME?</v>
      </c>
      <c r="T121" s="134" t="e">
        <f t="shared" ca="1" si="117"/>
        <v>#NAME?</v>
      </c>
      <c r="U121" s="134" t="e">
        <f t="shared" ca="1" si="118"/>
        <v>#NAME?</v>
      </c>
      <c r="V121" s="144"/>
      <c r="W121" s="142"/>
      <c r="X121" s="142">
        <f t="shared" si="133"/>
        <v>0</v>
      </c>
      <c r="Y121" s="122"/>
      <c r="Z121" s="135"/>
      <c r="AA121" s="135"/>
      <c r="AB121" s="135"/>
      <c r="AC121" s="135">
        <f t="shared" si="119"/>
        <v>0</v>
      </c>
      <c r="AD121" s="122"/>
      <c r="AE121" s="142" t="e">
        <f ca="1">GetCtData("PKAMOUNT","AMOUNT",$AE$11:$AE$18,$B121:$D121,AE$19:AE$20,"#0")</f>
        <v>#NAME?</v>
      </c>
      <c r="AF121" s="142"/>
      <c r="AG121" s="142" t="e">
        <f t="shared" ca="1" si="63"/>
        <v>#NAME?</v>
      </c>
      <c r="AH121" s="143" t="e">
        <f t="shared" ca="1" si="134"/>
        <v>#NAME?</v>
      </c>
      <c r="AI121" s="128"/>
      <c r="AJ121" s="142" t="e">
        <f t="shared" ca="1" si="73"/>
        <v>#NAME?</v>
      </c>
      <c r="AK121" s="142" t="e">
        <f ca="1">GetCtData("PKAMOUNT","AMOUNT",$AK$11:$AK$18,$B121:$D121,AK$19:AK$20,"#0")</f>
        <v>#NAME?</v>
      </c>
      <c r="AL121" s="143" t="e">
        <f t="shared" ca="1" si="120"/>
        <v>#NAME?</v>
      </c>
      <c r="AM121" s="122"/>
      <c r="AN121" s="142" t="e">
        <f ca="1">GetCtData("PKAMOUNT","AMOUNT",$AN$11:$AN$18,$B121:$D121,AN$19:AN$20,"#0")</f>
        <v>#NAME?</v>
      </c>
      <c r="AO121" s="142" t="e">
        <f ca="1">GetCtData("PKAMOUNT","AMOUNT",$AO$11:$AO$18,$B121:$D121,AO$19:AO$20,"#0")</f>
        <v>#NAME?</v>
      </c>
      <c r="AP121" s="122"/>
      <c r="AQ121" s="142" t="e">
        <f ca="1">GetCtData("PKAMOUNT","AMOUNT",$AQ$11:$AQ$18,$B121:$D121,AQ$19:AQ$20,"#0")</f>
        <v>#NAME?</v>
      </c>
      <c r="AR121" s="142" t="e">
        <f t="shared" ca="1" si="121"/>
        <v>#NAME?</v>
      </c>
      <c r="AS121" s="142"/>
      <c r="AT121" s="142" t="e">
        <f ca="1">GetCtData("PKAMOUNT","AMOUNT",AT$11:AT$18,$B121:$D121,AT$19:AT$20,"#0")</f>
        <v>#NAME?</v>
      </c>
      <c r="AU121" s="142" t="e">
        <f t="shared" ca="1" si="122"/>
        <v>#NAME?</v>
      </c>
      <c r="AV121" s="72"/>
      <c r="AW121" s="72" t="e">
        <f t="shared" ca="1" si="123"/>
        <v>#NAME?</v>
      </c>
      <c r="AX121" s="72" t="e">
        <f t="shared" ca="1" si="124"/>
        <v>#NAME?</v>
      </c>
      <c r="AY121" s="72"/>
      <c r="AZ121" s="72" t="e">
        <f t="shared" ca="1" si="125"/>
        <v>#NAME?</v>
      </c>
      <c r="BA121" s="72" t="e">
        <f t="shared" ca="1" si="126"/>
        <v>#NAME?</v>
      </c>
      <c r="BB121" s="72"/>
      <c r="BC121" s="72" t="e">
        <f t="shared" ca="1" si="127"/>
        <v>#NAME?</v>
      </c>
      <c r="BD121" s="72" t="e">
        <f t="shared" ca="1" si="75"/>
        <v>#NAME?</v>
      </c>
      <c r="BE121" s="72"/>
      <c r="BF121" s="72" t="e">
        <f t="shared" ca="1" si="128"/>
        <v>#NAME?</v>
      </c>
      <c r="BG121" s="72" t="e">
        <f t="shared" ca="1" si="76"/>
        <v>#NAME?</v>
      </c>
      <c r="BH121" s="72"/>
      <c r="BI121" s="72" t="e">
        <f t="shared" ca="1" si="129"/>
        <v>#NAME?</v>
      </c>
      <c r="BJ121" s="72" t="e">
        <f t="shared" ca="1" si="77"/>
        <v>#NAME?</v>
      </c>
      <c r="BK121" s="72"/>
      <c r="BL121" s="72" t="e">
        <f t="shared" ca="1" si="130"/>
        <v>#NAME?</v>
      </c>
      <c r="BM121" s="72" t="e">
        <f t="shared" ca="1" si="78"/>
        <v>#NAME?</v>
      </c>
      <c r="BN121" s="72"/>
      <c r="BO121" s="72" t="e">
        <f t="shared" ca="1" si="131"/>
        <v>#NAME?</v>
      </c>
      <c r="BP121" s="72" t="e">
        <f t="shared" ca="1" si="79"/>
        <v>#NAME?</v>
      </c>
      <c r="BQ121" s="72"/>
      <c r="BR121" s="72" t="e">
        <f t="shared" ca="1" si="132"/>
        <v>#NAME?</v>
      </c>
      <c r="BS121" s="72" t="e">
        <f ca="1">#REF!-BR121</f>
        <v>#REF!</v>
      </c>
    </row>
    <row r="122" spans="1:71" x14ac:dyDescent="0.2">
      <c r="A122" s="82" t="s">
        <v>243</v>
      </c>
      <c r="B122" s="82" t="s">
        <v>329</v>
      </c>
      <c r="D122" s="82" t="s">
        <v>172</v>
      </c>
      <c r="E122" s="74" t="e">
        <f ca="1">GetCtLabel(B122,"CURINIT(AC)!LDESC","#Staff training course fees")</f>
        <v>#NAME?</v>
      </c>
      <c r="F122" s="137">
        <v>71</v>
      </c>
      <c r="G122" s="138"/>
      <c r="H122" s="137"/>
      <c r="I122" s="139"/>
      <c r="J122" s="139"/>
      <c r="K122" s="139">
        <f>-1-2-11-2</f>
        <v>-16</v>
      </c>
      <c r="L122" s="139"/>
      <c r="M122" s="139"/>
      <c r="N122" s="130"/>
      <c r="O122" s="140">
        <f t="shared" si="114"/>
        <v>55</v>
      </c>
      <c r="P122" s="141">
        <f t="shared" si="113"/>
        <v>16</v>
      </c>
      <c r="Q122" s="141">
        <f t="shared" si="113"/>
        <v>0</v>
      </c>
      <c r="R122" s="133" t="e">
        <f t="shared" ca="1" si="115"/>
        <v>#NAME?</v>
      </c>
      <c r="S122" s="133" t="e">
        <f t="shared" ca="1" si="116"/>
        <v>#NAME?</v>
      </c>
      <c r="T122" s="134" t="e">
        <f t="shared" ca="1" si="117"/>
        <v>#NAME?</v>
      </c>
      <c r="U122" s="134" t="e">
        <f t="shared" ca="1" si="118"/>
        <v>#NAME?</v>
      </c>
      <c r="V122" s="144"/>
      <c r="W122" s="142"/>
      <c r="X122" s="142">
        <f t="shared" si="133"/>
        <v>55</v>
      </c>
      <c r="Y122" s="122"/>
      <c r="Z122" s="135">
        <f>37+10</f>
        <v>47</v>
      </c>
      <c r="AA122" s="135"/>
      <c r="AB122" s="135">
        <f t="shared" si="33"/>
        <v>47</v>
      </c>
      <c r="AC122" s="135">
        <f t="shared" si="119"/>
        <v>8</v>
      </c>
      <c r="AD122" s="122"/>
      <c r="AE122" s="142" t="e">
        <f ca="1">GetCtData("PKAMOUNT","AMOUNT",$AE$11:$AE$18,$B122:$D122,AE$19:AE$20,"#55")</f>
        <v>#NAME?</v>
      </c>
      <c r="AF122" s="142"/>
      <c r="AG122" s="142" t="e">
        <f t="shared" ca="1" si="63"/>
        <v>#NAME?</v>
      </c>
      <c r="AH122" s="143" t="e">
        <f t="shared" ca="1" si="134"/>
        <v>#NAME?</v>
      </c>
      <c r="AI122" s="128"/>
      <c r="AJ122" s="142" t="e">
        <f t="shared" ca="1" si="73"/>
        <v>#NAME?</v>
      </c>
      <c r="AK122" s="142" t="e">
        <f ca="1">GetCtData("PKAMOUNT","AMOUNT",$AK$11:$AK$18,$B122:$D122,AK$19:AK$20,"#11")</f>
        <v>#NAME?</v>
      </c>
      <c r="AL122" s="143" t="e">
        <f t="shared" ca="1" si="120"/>
        <v>#NAME?</v>
      </c>
      <c r="AM122" s="122"/>
      <c r="AN122" s="142" t="e">
        <f ca="1">GetCtData("PKAMOUNT","AMOUNT",$AN$11:$AN$18,$B122:$D122,AN$19:AN$20,"#15")</f>
        <v>#NAME?</v>
      </c>
      <c r="AO122" s="142" t="e">
        <f ca="1">GetCtData("PKAMOUNT","AMOUNT",$AO$11:$AO$18,$B122:$D122,AO$19:AO$20,"#44")</f>
        <v>#NAME?</v>
      </c>
      <c r="AP122" s="122"/>
      <c r="AQ122" s="142" t="e">
        <f ca="1">GetCtData("PKAMOUNT","AMOUNT",$AQ$11:$AQ$18,$B122:$D122,AQ$19:AQ$20,"#59")</f>
        <v>#NAME?</v>
      </c>
      <c r="AR122" s="142" t="e">
        <f t="shared" ca="1" si="121"/>
        <v>#NAME?</v>
      </c>
      <c r="AS122" s="142"/>
      <c r="AT122" s="142" t="e">
        <f ca="1">GetCtData("PKAMOUNT","AMOUNT",AT$11:AT$18,$B122:$D122,AT$19:AT$20,"#70")</f>
        <v>#NAME?</v>
      </c>
      <c r="AU122" s="142" t="e">
        <f t="shared" ca="1" si="122"/>
        <v>#NAME?</v>
      </c>
      <c r="AV122" s="72"/>
      <c r="AW122" s="72" t="e">
        <f t="shared" ca="1" si="123"/>
        <v>#NAME?</v>
      </c>
      <c r="AX122" s="72" t="e">
        <f t="shared" ca="1" si="124"/>
        <v>#NAME?</v>
      </c>
      <c r="AY122" s="72"/>
      <c r="AZ122" s="72" t="e">
        <f t="shared" ca="1" si="125"/>
        <v>#NAME?</v>
      </c>
      <c r="BA122" s="72" t="e">
        <f t="shared" ca="1" si="126"/>
        <v>#NAME?</v>
      </c>
      <c r="BB122" s="72"/>
      <c r="BC122" s="72" t="e">
        <f t="shared" ca="1" si="127"/>
        <v>#NAME?</v>
      </c>
      <c r="BD122" s="72" t="e">
        <f t="shared" ca="1" si="75"/>
        <v>#NAME?</v>
      </c>
      <c r="BE122" s="72"/>
      <c r="BF122" s="72" t="e">
        <f t="shared" ca="1" si="128"/>
        <v>#NAME?</v>
      </c>
      <c r="BG122" s="72" t="e">
        <f t="shared" ca="1" si="76"/>
        <v>#NAME?</v>
      </c>
      <c r="BH122" s="72"/>
      <c r="BI122" s="72" t="e">
        <f t="shared" ca="1" si="129"/>
        <v>#NAME?</v>
      </c>
      <c r="BJ122" s="72" t="e">
        <f t="shared" ca="1" si="77"/>
        <v>#NAME?</v>
      </c>
      <c r="BK122" s="72"/>
      <c r="BL122" s="72" t="e">
        <f t="shared" ca="1" si="130"/>
        <v>#NAME?</v>
      </c>
      <c r="BM122" s="72" t="e">
        <f t="shared" ca="1" si="78"/>
        <v>#NAME?</v>
      </c>
      <c r="BN122" s="72"/>
      <c r="BO122" s="72" t="e">
        <f t="shared" ca="1" si="131"/>
        <v>#NAME?</v>
      </c>
      <c r="BP122" s="72" t="e">
        <f t="shared" ca="1" si="79"/>
        <v>#NAME?</v>
      </c>
      <c r="BQ122" s="72"/>
      <c r="BR122" s="72" t="e">
        <f t="shared" ca="1" si="132"/>
        <v>#NAME?</v>
      </c>
      <c r="BS122" s="72" t="e">
        <f ca="1">#REF!-BR122</f>
        <v>#REF!</v>
      </c>
    </row>
    <row r="123" spans="1:71" x14ac:dyDescent="0.2">
      <c r="A123" s="82" t="s">
        <v>243</v>
      </c>
      <c r="B123" s="82" t="s">
        <v>330</v>
      </c>
      <c r="D123" s="82" t="s">
        <v>172</v>
      </c>
      <c r="E123" s="74" t="e">
        <f ca="1">GetCtLabel(B123,"CURINIT(AC)!LDESC","#Staff Welfare")</f>
        <v>#NAME?</v>
      </c>
      <c r="F123" s="137">
        <v>382</v>
      </c>
      <c r="G123" s="138"/>
      <c r="H123" s="137"/>
      <c r="I123" s="139"/>
      <c r="J123" s="139"/>
      <c r="K123" s="139">
        <f>-70-5-1-7</f>
        <v>-83</v>
      </c>
      <c r="L123" s="139"/>
      <c r="M123" s="139"/>
      <c r="N123" s="130"/>
      <c r="O123" s="140">
        <f t="shared" si="114"/>
        <v>299</v>
      </c>
      <c r="P123" s="141">
        <f t="shared" si="113"/>
        <v>83</v>
      </c>
      <c r="Q123" s="141">
        <f t="shared" si="113"/>
        <v>0</v>
      </c>
      <c r="R123" s="133" t="e">
        <f t="shared" ca="1" si="115"/>
        <v>#NAME?</v>
      </c>
      <c r="S123" s="133" t="e">
        <f t="shared" ca="1" si="116"/>
        <v>#NAME?</v>
      </c>
      <c r="T123" s="134" t="e">
        <f t="shared" ca="1" si="117"/>
        <v>#NAME?</v>
      </c>
      <c r="U123" s="134" t="e">
        <f t="shared" ca="1" si="118"/>
        <v>#NAME?</v>
      </c>
      <c r="V123" s="144"/>
      <c r="W123" s="142"/>
      <c r="X123" s="142">
        <f t="shared" si="133"/>
        <v>299</v>
      </c>
      <c r="Y123" s="122"/>
      <c r="Z123" s="135">
        <f>177+44</f>
        <v>221</v>
      </c>
      <c r="AA123" s="135"/>
      <c r="AB123" s="135">
        <f t="shared" si="33"/>
        <v>221</v>
      </c>
      <c r="AC123" s="135">
        <f t="shared" si="119"/>
        <v>78</v>
      </c>
      <c r="AD123" s="122"/>
      <c r="AE123" s="142" t="e">
        <f ca="1">GetCtData("PKAMOUNT","AMOUNT",$AE$11:$AE$18,$B123:$D123,AE$19:AE$20,"#296")</f>
        <v>#NAME?</v>
      </c>
      <c r="AF123" s="142"/>
      <c r="AG123" s="142" t="e">
        <f t="shared" ca="1" si="63"/>
        <v>#NAME?</v>
      </c>
      <c r="AH123" s="175" t="e">
        <f t="shared" ca="1" si="134"/>
        <v>#NAME?</v>
      </c>
      <c r="AI123" s="128"/>
      <c r="AJ123" s="142" t="e">
        <f t="shared" ca="1" si="73"/>
        <v>#NAME?</v>
      </c>
      <c r="AK123" s="142" t="e">
        <f ca="1">GetCtData("PKAMOUNT","AMOUNT",$AK$11:$AK$18,$B123:$D123,AK$19:AK$20,"#42")</f>
        <v>#NAME?</v>
      </c>
      <c r="AL123" s="143" t="e">
        <f t="shared" ca="1" si="120"/>
        <v>#NAME?</v>
      </c>
      <c r="AM123" s="122"/>
      <c r="AN123" s="142" t="e">
        <f ca="1">GetCtData("PKAMOUNT","AMOUNT",$AN$11:$AN$18,$B123:$D123,AN$19:AN$20,"#39")</f>
        <v>#NAME?</v>
      </c>
      <c r="AO123" s="142" t="e">
        <f ca="1">GetCtData("PKAMOUNT","AMOUNT",$AO$11:$AO$18,$B123:$D123,AO$19:AO$20,"#254")</f>
        <v>#NAME?</v>
      </c>
      <c r="AP123" s="122"/>
      <c r="AQ123" s="142" t="e">
        <f ca="1">GetCtData("PKAMOUNT","AMOUNT",$AQ$11:$AQ$18,$B123:$D123,AQ$19:AQ$20,"#268")</f>
        <v>#NAME?</v>
      </c>
      <c r="AR123" s="142" t="e">
        <f t="shared" ca="1" si="121"/>
        <v>#NAME?</v>
      </c>
      <c r="AS123" s="142"/>
      <c r="AT123" s="142" t="e">
        <f ca="1">GetCtData("PKAMOUNT","AMOUNT",AT$11:AT$18,$B123:$D123,AT$19:AT$20,"#311")</f>
        <v>#NAME?</v>
      </c>
      <c r="AU123" s="142" t="e">
        <f t="shared" ca="1" si="122"/>
        <v>#NAME?</v>
      </c>
      <c r="AV123" s="72"/>
      <c r="AW123" s="72" t="e">
        <f t="shared" ca="1" si="123"/>
        <v>#NAME?</v>
      </c>
      <c r="AX123" s="72" t="e">
        <f t="shared" ca="1" si="124"/>
        <v>#NAME?</v>
      </c>
      <c r="AY123" s="72"/>
      <c r="AZ123" s="72" t="e">
        <f t="shared" ca="1" si="125"/>
        <v>#NAME?</v>
      </c>
      <c r="BA123" s="72" t="e">
        <f t="shared" ca="1" si="126"/>
        <v>#NAME?</v>
      </c>
      <c r="BB123" s="72"/>
      <c r="BC123" s="72" t="e">
        <f t="shared" ca="1" si="127"/>
        <v>#NAME?</v>
      </c>
      <c r="BD123" s="72" t="e">
        <f t="shared" ca="1" si="75"/>
        <v>#NAME?</v>
      </c>
      <c r="BE123" s="72"/>
      <c r="BF123" s="72" t="e">
        <f t="shared" ca="1" si="128"/>
        <v>#NAME?</v>
      </c>
      <c r="BG123" s="72" t="e">
        <f t="shared" ca="1" si="76"/>
        <v>#NAME?</v>
      </c>
      <c r="BH123" s="72"/>
      <c r="BI123" s="72" t="e">
        <f t="shared" ca="1" si="129"/>
        <v>#NAME?</v>
      </c>
      <c r="BJ123" s="72" t="e">
        <f t="shared" ca="1" si="77"/>
        <v>#NAME?</v>
      </c>
      <c r="BK123" s="72"/>
      <c r="BL123" s="72" t="e">
        <f t="shared" ca="1" si="130"/>
        <v>#NAME?</v>
      </c>
      <c r="BM123" s="72" t="e">
        <f t="shared" ca="1" si="78"/>
        <v>#NAME?</v>
      </c>
      <c r="BN123" s="72"/>
      <c r="BO123" s="72" t="e">
        <f t="shared" ca="1" si="131"/>
        <v>#NAME?</v>
      </c>
      <c r="BP123" s="72" t="e">
        <f t="shared" ca="1" si="79"/>
        <v>#NAME?</v>
      </c>
      <c r="BQ123" s="72"/>
      <c r="BR123" s="72" t="e">
        <f t="shared" ca="1" si="132"/>
        <v>#NAME?</v>
      </c>
      <c r="BS123" s="72" t="e">
        <f ca="1">#REF!-BR123</f>
        <v>#REF!</v>
      </c>
    </row>
    <row r="124" spans="1:71" outlineLevel="1" x14ac:dyDescent="0.2">
      <c r="A124" s="82" t="s">
        <v>243</v>
      </c>
      <c r="B124" s="82" t="s">
        <v>331</v>
      </c>
      <c r="D124" s="82" t="s">
        <v>172</v>
      </c>
      <c r="E124" s="74" t="e">
        <f ca="1">GetCtLabel(B124,"CURINIT(AC)!LDESC","#Membership dues and subscriptions")</f>
        <v>#NAME?</v>
      </c>
      <c r="F124" s="137"/>
      <c r="G124" s="138"/>
      <c r="H124" s="137"/>
      <c r="I124" s="139"/>
      <c r="J124" s="139"/>
      <c r="K124" s="139"/>
      <c r="L124" s="139"/>
      <c r="M124" s="139"/>
      <c r="N124" s="130"/>
      <c r="O124" s="140">
        <f t="shared" si="114"/>
        <v>0</v>
      </c>
      <c r="P124" s="141">
        <f t="shared" si="113"/>
        <v>0</v>
      </c>
      <c r="Q124" s="141">
        <f t="shared" si="113"/>
        <v>0</v>
      </c>
      <c r="R124" s="133" t="e">
        <f t="shared" ca="1" si="115"/>
        <v>#NAME?</v>
      </c>
      <c r="S124" s="133" t="e">
        <f t="shared" ca="1" si="116"/>
        <v>#NAME?</v>
      </c>
      <c r="T124" s="134" t="e">
        <f t="shared" ca="1" si="117"/>
        <v>#NAME?</v>
      </c>
      <c r="U124" s="134" t="e">
        <f t="shared" ca="1" si="118"/>
        <v>#NAME?</v>
      </c>
      <c r="V124" s="144"/>
      <c r="W124" s="142"/>
      <c r="X124" s="142">
        <f t="shared" si="133"/>
        <v>0</v>
      </c>
      <c r="Y124" s="122"/>
      <c r="Z124" s="135"/>
      <c r="AA124" s="135"/>
      <c r="AB124" s="135">
        <f t="shared" si="33"/>
        <v>0</v>
      </c>
      <c r="AC124" s="135">
        <f t="shared" si="119"/>
        <v>0</v>
      </c>
      <c r="AD124" s="122"/>
      <c r="AE124" s="142" t="e">
        <f ca="1">GetCtData("PKAMOUNT","AMOUNT",$AE$11:$AE$18,$B124:$D124,AE$19:AE$20,"#0")</f>
        <v>#NAME?</v>
      </c>
      <c r="AF124" s="142"/>
      <c r="AG124" s="142" t="e">
        <f t="shared" ca="1" si="63"/>
        <v>#NAME?</v>
      </c>
      <c r="AH124" s="143" t="e">
        <f t="shared" ca="1" si="134"/>
        <v>#NAME?</v>
      </c>
      <c r="AI124" s="128"/>
      <c r="AJ124" s="142" t="e">
        <f t="shared" ca="1" si="73"/>
        <v>#NAME?</v>
      </c>
      <c r="AK124" s="142" t="e">
        <f ca="1">GetCtData("PKAMOUNT","AMOUNT",$AK$11:$AK$18,$B124:$D124,AK$19:AK$20,"#0")</f>
        <v>#NAME?</v>
      </c>
      <c r="AL124" s="143" t="e">
        <f t="shared" ca="1" si="120"/>
        <v>#NAME?</v>
      </c>
      <c r="AM124" s="122"/>
      <c r="AN124" s="142" t="e">
        <f ca="1">GetCtData("PKAMOUNT","AMOUNT",$AN$11:$AN$18,$B124:$D124,AN$19:AN$20,"#0")</f>
        <v>#NAME?</v>
      </c>
      <c r="AO124" s="142" t="e">
        <f ca="1">GetCtData("PKAMOUNT","AMOUNT",$AO$11:$AO$18,$B124:$D124,AO$19:AO$20,"#0")</f>
        <v>#NAME?</v>
      </c>
      <c r="AP124" s="122"/>
      <c r="AQ124" s="142" t="e">
        <f ca="1">GetCtData("PKAMOUNT","AMOUNT",$AQ$11:$AQ$18,$B124:$D124,AQ$19:AQ$20,"#0")</f>
        <v>#NAME?</v>
      </c>
      <c r="AR124" s="142" t="e">
        <f t="shared" ca="1" si="121"/>
        <v>#NAME?</v>
      </c>
      <c r="AS124" s="142"/>
      <c r="AT124" s="142" t="e">
        <f ca="1">GetCtData("PKAMOUNT","AMOUNT",AT$11:AT$18,$B124:$D124,AT$19:AT$20,"#0")</f>
        <v>#NAME?</v>
      </c>
      <c r="AU124" s="142" t="e">
        <f t="shared" ca="1" si="122"/>
        <v>#NAME?</v>
      </c>
      <c r="AV124" s="72"/>
      <c r="AW124" s="72" t="e">
        <f t="shared" ca="1" si="123"/>
        <v>#NAME?</v>
      </c>
      <c r="AX124" s="72" t="e">
        <f t="shared" ca="1" si="124"/>
        <v>#NAME?</v>
      </c>
      <c r="AY124" s="72"/>
      <c r="AZ124" s="72" t="e">
        <f t="shared" ca="1" si="125"/>
        <v>#NAME?</v>
      </c>
      <c r="BA124" s="72" t="e">
        <f t="shared" ca="1" si="126"/>
        <v>#NAME?</v>
      </c>
      <c r="BB124" s="72"/>
      <c r="BC124" s="72" t="e">
        <f t="shared" ca="1" si="127"/>
        <v>#NAME?</v>
      </c>
      <c r="BD124" s="72" t="e">
        <f t="shared" ca="1" si="75"/>
        <v>#NAME?</v>
      </c>
      <c r="BE124" s="72"/>
      <c r="BF124" s="72" t="e">
        <f t="shared" ca="1" si="128"/>
        <v>#NAME?</v>
      </c>
      <c r="BG124" s="72" t="e">
        <f t="shared" ca="1" si="76"/>
        <v>#NAME?</v>
      </c>
      <c r="BH124" s="72"/>
      <c r="BI124" s="72" t="e">
        <f t="shared" ca="1" si="129"/>
        <v>#NAME?</v>
      </c>
      <c r="BJ124" s="72" t="e">
        <f t="shared" ca="1" si="77"/>
        <v>#NAME?</v>
      </c>
      <c r="BK124" s="72"/>
      <c r="BL124" s="72" t="e">
        <f t="shared" ca="1" si="130"/>
        <v>#NAME?</v>
      </c>
      <c r="BM124" s="72" t="e">
        <f t="shared" ca="1" si="78"/>
        <v>#NAME?</v>
      </c>
      <c r="BN124" s="72"/>
      <c r="BO124" s="72" t="e">
        <f t="shared" ca="1" si="131"/>
        <v>#NAME?</v>
      </c>
      <c r="BP124" s="72" t="e">
        <f t="shared" ca="1" si="79"/>
        <v>#NAME?</v>
      </c>
      <c r="BQ124" s="72"/>
      <c r="BR124" s="72" t="e">
        <f t="shared" ca="1" si="132"/>
        <v>#NAME?</v>
      </c>
      <c r="BS124" s="72" t="e">
        <f ca="1">#REF!-BR124</f>
        <v>#REF!</v>
      </c>
    </row>
    <row r="125" spans="1:71" outlineLevel="1" x14ac:dyDescent="0.2">
      <c r="A125" s="82" t="s">
        <v>243</v>
      </c>
      <c r="B125" s="82" t="s">
        <v>332</v>
      </c>
      <c r="D125" s="82" t="s">
        <v>172</v>
      </c>
      <c r="E125" s="74" t="e">
        <f ca="1">GetCtLabel(B125,"CURINIT(AC)!LDESC","#Charitable donations")</f>
        <v>#NAME?</v>
      </c>
      <c r="F125" s="137"/>
      <c r="G125" s="138"/>
      <c r="H125" s="137"/>
      <c r="I125" s="139"/>
      <c r="J125" s="139"/>
      <c r="K125" s="139"/>
      <c r="L125" s="139"/>
      <c r="M125" s="139"/>
      <c r="N125" s="130"/>
      <c r="O125" s="140">
        <f t="shared" si="114"/>
        <v>0</v>
      </c>
      <c r="P125" s="141">
        <f t="shared" si="113"/>
        <v>0</v>
      </c>
      <c r="Q125" s="141">
        <f t="shared" si="113"/>
        <v>0</v>
      </c>
      <c r="R125" s="133" t="e">
        <f t="shared" ca="1" si="115"/>
        <v>#NAME?</v>
      </c>
      <c r="S125" s="133" t="e">
        <f t="shared" ca="1" si="116"/>
        <v>#NAME?</v>
      </c>
      <c r="T125" s="134" t="e">
        <f t="shared" ca="1" si="117"/>
        <v>#NAME?</v>
      </c>
      <c r="U125" s="134" t="e">
        <f t="shared" ca="1" si="118"/>
        <v>#NAME?</v>
      </c>
      <c r="V125" s="144"/>
      <c r="W125" s="142"/>
      <c r="X125" s="142">
        <f t="shared" si="133"/>
        <v>0</v>
      </c>
      <c r="Y125" s="122"/>
      <c r="Z125" s="135"/>
      <c r="AA125" s="135"/>
      <c r="AB125" s="135">
        <f t="shared" si="33"/>
        <v>0</v>
      </c>
      <c r="AC125" s="135">
        <f t="shared" si="119"/>
        <v>0</v>
      </c>
      <c r="AD125" s="122"/>
      <c r="AE125" s="142" t="e">
        <f ca="1">GetCtData("PKAMOUNT","AMOUNT",$AE$11:$AE$18,$B125:$D125,AE$19:AE$20,"#0")</f>
        <v>#NAME?</v>
      </c>
      <c r="AF125" s="142"/>
      <c r="AG125" s="142" t="e">
        <f t="shared" ca="1" si="63"/>
        <v>#NAME?</v>
      </c>
      <c r="AH125" s="143" t="e">
        <f t="shared" ca="1" si="134"/>
        <v>#NAME?</v>
      </c>
      <c r="AI125" s="128"/>
      <c r="AJ125" s="142" t="e">
        <f t="shared" ca="1" si="73"/>
        <v>#NAME?</v>
      </c>
      <c r="AK125" s="142" t="e">
        <f ca="1">GetCtData("PKAMOUNT","AMOUNT",$AK$11:$AK$18,$B125:$D125,AK$19:AK$20,"#0")</f>
        <v>#NAME?</v>
      </c>
      <c r="AL125" s="143" t="e">
        <f t="shared" ca="1" si="120"/>
        <v>#NAME?</v>
      </c>
      <c r="AM125" s="122"/>
      <c r="AN125" s="142" t="e">
        <f ca="1">GetCtData("PKAMOUNT","AMOUNT",$AN$11:$AN$18,$B125:$D125,AN$19:AN$20,"#0")</f>
        <v>#NAME?</v>
      </c>
      <c r="AO125" s="142" t="e">
        <f ca="1">GetCtData("PKAMOUNT","AMOUNT",$AO$11:$AO$18,$B125:$D125,AO$19:AO$20,"#0")</f>
        <v>#NAME?</v>
      </c>
      <c r="AP125" s="122"/>
      <c r="AQ125" s="142" t="e">
        <f ca="1">GetCtData("PKAMOUNT","AMOUNT",$AQ$11:$AQ$18,$B125:$D125,AQ$19:AQ$20,"#0")</f>
        <v>#NAME?</v>
      </c>
      <c r="AR125" s="142" t="e">
        <f t="shared" ca="1" si="121"/>
        <v>#NAME?</v>
      </c>
      <c r="AS125" s="142"/>
      <c r="AT125" s="142" t="e">
        <f ca="1">GetCtData("PKAMOUNT","AMOUNT",AT$11:AT$18,$B125:$D125,AT$19:AT$20,"#0")</f>
        <v>#NAME?</v>
      </c>
      <c r="AU125" s="142" t="e">
        <f t="shared" ca="1" si="122"/>
        <v>#NAME?</v>
      </c>
      <c r="AV125" s="72"/>
      <c r="AW125" s="72" t="e">
        <f t="shared" ca="1" si="123"/>
        <v>#NAME?</v>
      </c>
      <c r="AX125" s="72" t="e">
        <f t="shared" ca="1" si="124"/>
        <v>#NAME?</v>
      </c>
      <c r="AY125" s="72"/>
      <c r="AZ125" s="72" t="e">
        <f t="shared" ca="1" si="125"/>
        <v>#NAME?</v>
      </c>
      <c r="BA125" s="72" t="e">
        <f t="shared" ca="1" si="126"/>
        <v>#NAME?</v>
      </c>
      <c r="BB125" s="72"/>
      <c r="BC125" s="72" t="e">
        <f t="shared" ca="1" si="127"/>
        <v>#NAME?</v>
      </c>
      <c r="BD125" s="72" t="e">
        <f t="shared" ca="1" si="75"/>
        <v>#NAME?</v>
      </c>
      <c r="BE125" s="72"/>
      <c r="BF125" s="72" t="e">
        <f t="shared" ca="1" si="128"/>
        <v>#NAME?</v>
      </c>
      <c r="BG125" s="72" t="e">
        <f t="shared" ca="1" si="76"/>
        <v>#NAME?</v>
      </c>
      <c r="BH125" s="72"/>
      <c r="BI125" s="72" t="e">
        <f t="shared" ca="1" si="129"/>
        <v>#NAME?</v>
      </c>
      <c r="BJ125" s="72" t="e">
        <f t="shared" ca="1" si="77"/>
        <v>#NAME?</v>
      </c>
      <c r="BK125" s="72"/>
      <c r="BL125" s="72" t="e">
        <f t="shared" ca="1" si="130"/>
        <v>#NAME?</v>
      </c>
      <c r="BM125" s="72" t="e">
        <f t="shared" ca="1" si="78"/>
        <v>#NAME?</v>
      </c>
      <c r="BN125" s="72"/>
      <c r="BO125" s="72" t="e">
        <f t="shared" ca="1" si="131"/>
        <v>#NAME?</v>
      </c>
      <c r="BP125" s="72" t="e">
        <f t="shared" ca="1" si="79"/>
        <v>#NAME?</v>
      </c>
      <c r="BQ125" s="72"/>
      <c r="BR125" s="72" t="e">
        <f t="shared" ca="1" si="132"/>
        <v>#NAME?</v>
      </c>
      <c r="BS125" s="72" t="e">
        <f ca="1">#REF!-BR125</f>
        <v>#REF!</v>
      </c>
    </row>
    <row r="126" spans="1:71" outlineLevel="1" x14ac:dyDescent="0.2">
      <c r="A126" s="82" t="s">
        <v>243</v>
      </c>
      <c r="B126" s="82" t="s">
        <v>333</v>
      </c>
      <c r="D126" s="82" t="s">
        <v>172</v>
      </c>
      <c r="E126" s="74" t="e">
        <f ca="1">GetCtLabel(B126,"CURINIT(AC)!LDESC","#Employee flowers/gifts")</f>
        <v>#NAME?</v>
      </c>
      <c r="F126" s="137"/>
      <c r="G126" s="138"/>
      <c r="H126" s="137"/>
      <c r="I126" s="139"/>
      <c r="J126" s="139"/>
      <c r="K126" s="139"/>
      <c r="L126" s="139"/>
      <c r="M126" s="139"/>
      <c r="N126" s="130"/>
      <c r="O126" s="140">
        <f t="shared" si="114"/>
        <v>0</v>
      </c>
      <c r="P126" s="141">
        <f t="shared" si="113"/>
        <v>0</v>
      </c>
      <c r="Q126" s="141">
        <f t="shared" si="113"/>
        <v>0</v>
      </c>
      <c r="R126" s="133" t="e">
        <f t="shared" ca="1" si="115"/>
        <v>#NAME?</v>
      </c>
      <c r="S126" s="133" t="e">
        <f t="shared" ca="1" si="116"/>
        <v>#NAME?</v>
      </c>
      <c r="T126" s="134" t="e">
        <f t="shared" ca="1" si="117"/>
        <v>#NAME?</v>
      </c>
      <c r="U126" s="134" t="e">
        <f t="shared" ca="1" si="118"/>
        <v>#NAME?</v>
      </c>
      <c r="V126" s="144"/>
      <c r="W126" s="142"/>
      <c r="X126" s="142">
        <f t="shared" si="133"/>
        <v>0</v>
      </c>
      <c r="Y126" s="122"/>
      <c r="Z126" s="135"/>
      <c r="AA126" s="135"/>
      <c r="AB126" s="135">
        <f t="shared" si="33"/>
        <v>0</v>
      </c>
      <c r="AC126" s="135">
        <f t="shared" si="119"/>
        <v>0</v>
      </c>
      <c r="AD126" s="122"/>
      <c r="AE126" s="142" t="e">
        <f ca="1">GetCtData("PKAMOUNT","AMOUNT",$AE$11:$AE$18,$B126:$D126,AE$19:AE$20,"#0")</f>
        <v>#NAME?</v>
      </c>
      <c r="AF126" s="142"/>
      <c r="AG126" s="142" t="e">
        <f t="shared" ref="AG126:AG186" ca="1" si="135">AE126+AF126</f>
        <v>#NAME?</v>
      </c>
      <c r="AH126" s="143" t="e">
        <f t="shared" ca="1" si="134"/>
        <v>#NAME?</v>
      </c>
      <c r="AI126" s="128"/>
      <c r="AJ126" s="142" t="e">
        <f t="shared" ca="1" si="73"/>
        <v>#NAME?</v>
      </c>
      <c r="AK126" s="142" t="e">
        <f ca="1">GetCtData("PKAMOUNT","AMOUNT",$AK$11:$AK$18,$B126:$D126,AK$19:AK$20,"#0")</f>
        <v>#NAME?</v>
      </c>
      <c r="AL126" s="143" t="e">
        <f t="shared" ca="1" si="120"/>
        <v>#NAME?</v>
      </c>
      <c r="AM126" s="122"/>
      <c r="AN126" s="142" t="e">
        <f ca="1">GetCtData("PKAMOUNT","AMOUNT",$AN$11:$AN$18,$B126:$D126,AN$19:AN$20,"#0")</f>
        <v>#NAME?</v>
      </c>
      <c r="AO126" s="142" t="e">
        <f ca="1">GetCtData("PKAMOUNT","AMOUNT",$AO$11:$AO$18,$B126:$D126,AO$19:AO$20,"#0")</f>
        <v>#NAME?</v>
      </c>
      <c r="AP126" s="122"/>
      <c r="AQ126" s="142" t="e">
        <f ca="1">GetCtData("PKAMOUNT","AMOUNT",$AQ$11:$AQ$18,$B126:$D126,AQ$19:AQ$20,"#0")</f>
        <v>#NAME?</v>
      </c>
      <c r="AR126" s="142" t="e">
        <f t="shared" ca="1" si="121"/>
        <v>#NAME?</v>
      </c>
      <c r="AS126" s="142"/>
      <c r="AT126" s="142" t="e">
        <f ca="1">GetCtData("PKAMOUNT","AMOUNT",AT$11:AT$18,$B126:$D126,AT$19:AT$20,"#0")</f>
        <v>#NAME?</v>
      </c>
      <c r="AU126" s="142" t="e">
        <f t="shared" ca="1" si="122"/>
        <v>#NAME?</v>
      </c>
      <c r="AV126" s="72"/>
      <c r="AW126" s="72" t="e">
        <f t="shared" ca="1" si="123"/>
        <v>#NAME?</v>
      </c>
      <c r="AX126" s="72" t="e">
        <f t="shared" ca="1" si="124"/>
        <v>#NAME?</v>
      </c>
      <c r="AY126" s="72"/>
      <c r="AZ126" s="72" t="e">
        <f t="shared" ca="1" si="125"/>
        <v>#NAME?</v>
      </c>
      <c r="BA126" s="72" t="e">
        <f t="shared" ca="1" si="126"/>
        <v>#NAME?</v>
      </c>
      <c r="BB126" s="72"/>
      <c r="BC126" s="72" t="e">
        <f t="shared" ca="1" si="127"/>
        <v>#NAME?</v>
      </c>
      <c r="BD126" s="72" t="e">
        <f t="shared" ca="1" si="75"/>
        <v>#NAME?</v>
      </c>
      <c r="BE126" s="72"/>
      <c r="BF126" s="72" t="e">
        <f t="shared" ca="1" si="128"/>
        <v>#NAME?</v>
      </c>
      <c r="BG126" s="72" t="e">
        <f t="shared" ca="1" si="76"/>
        <v>#NAME?</v>
      </c>
      <c r="BH126" s="72"/>
      <c r="BI126" s="72" t="e">
        <f t="shared" ca="1" si="129"/>
        <v>#NAME?</v>
      </c>
      <c r="BJ126" s="72" t="e">
        <f t="shared" ca="1" si="77"/>
        <v>#NAME?</v>
      </c>
      <c r="BK126" s="72"/>
      <c r="BL126" s="72" t="e">
        <f t="shared" ca="1" si="130"/>
        <v>#NAME?</v>
      </c>
      <c r="BM126" s="72" t="e">
        <f t="shared" ca="1" si="78"/>
        <v>#NAME?</v>
      </c>
      <c r="BN126" s="72"/>
      <c r="BO126" s="72" t="e">
        <f t="shared" ca="1" si="131"/>
        <v>#NAME?</v>
      </c>
      <c r="BP126" s="72" t="e">
        <f t="shared" ca="1" si="79"/>
        <v>#NAME?</v>
      </c>
      <c r="BQ126" s="72"/>
      <c r="BR126" s="72" t="e">
        <f t="shared" ca="1" si="132"/>
        <v>#NAME?</v>
      </c>
      <c r="BS126" s="72" t="e">
        <f ca="1">#REF!-BR126</f>
        <v>#REF!</v>
      </c>
    </row>
    <row r="127" spans="1:71" outlineLevel="1" x14ac:dyDescent="0.2">
      <c r="A127" s="82" t="s">
        <v>243</v>
      </c>
      <c r="B127" s="82" t="s">
        <v>334</v>
      </c>
      <c r="D127" s="82" t="s">
        <v>172</v>
      </c>
      <c r="E127" s="74" t="e">
        <f ca="1">GetCtLabel(B127,"CURINIT(AC)!LDESC","#Inter-company personal costs recharges")</f>
        <v>#NAME?</v>
      </c>
      <c r="F127" s="137"/>
      <c r="G127" s="138"/>
      <c r="H127" s="137"/>
      <c r="I127" s="139"/>
      <c r="J127" s="139"/>
      <c r="K127" s="139"/>
      <c r="L127" s="139"/>
      <c r="M127" s="139"/>
      <c r="N127" s="130"/>
      <c r="O127" s="140">
        <f t="shared" si="114"/>
        <v>0</v>
      </c>
      <c r="P127" s="141">
        <f t="shared" si="113"/>
        <v>0</v>
      </c>
      <c r="Q127" s="141">
        <f t="shared" si="113"/>
        <v>0</v>
      </c>
      <c r="R127" s="133" t="e">
        <f t="shared" ca="1" si="115"/>
        <v>#NAME?</v>
      </c>
      <c r="S127" s="133" t="e">
        <f t="shared" ca="1" si="116"/>
        <v>#NAME?</v>
      </c>
      <c r="T127" s="134" t="e">
        <f t="shared" ca="1" si="117"/>
        <v>#NAME?</v>
      </c>
      <c r="U127" s="134" t="e">
        <f t="shared" ca="1" si="118"/>
        <v>#NAME?</v>
      </c>
      <c r="V127" s="144"/>
      <c r="W127" s="142"/>
      <c r="X127" s="142">
        <f t="shared" si="133"/>
        <v>0</v>
      </c>
      <c r="Y127" s="122"/>
      <c r="Z127" s="135"/>
      <c r="AA127" s="135"/>
      <c r="AB127" s="135">
        <f t="shared" si="33"/>
        <v>0</v>
      </c>
      <c r="AC127" s="135">
        <f t="shared" si="119"/>
        <v>0</v>
      </c>
      <c r="AD127" s="122"/>
      <c r="AE127" s="142" t="e">
        <f ca="1">GetCtData("PKAMOUNT","AMOUNT",$AE$11:$AE$18,$B127:$D127,AE$19:AE$20,"#")</f>
        <v>#NAME?</v>
      </c>
      <c r="AF127" s="142"/>
      <c r="AG127" s="142" t="e">
        <f t="shared" ca="1" si="135"/>
        <v>#NAME?</v>
      </c>
      <c r="AH127" s="143" t="e">
        <f t="shared" ca="1" si="134"/>
        <v>#NAME?</v>
      </c>
      <c r="AI127" s="128"/>
      <c r="AJ127" s="142" t="e">
        <f t="shared" ca="1" si="73"/>
        <v>#NAME?</v>
      </c>
      <c r="AK127" s="142" t="e">
        <f ca="1">GetCtData("PKAMOUNT","AMOUNT",$AK$11:$AK$18,$B127:$D127,AK$19:AK$20,"#")</f>
        <v>#NAME?</v>
      </c>
      <c r="AL127" s="143" t="e">
        <f t="shared" ca="1" si="120"/>
        <v>#NAME?</v>
      </c>
      <c r="AM127" s="122"/>
      <c r="AN127" s="142" t="e">
        <f ca="1">GetCtData("PKAMOUNT","AMOUNT",$AN$11:$AN$18,$B127:$D127,AN$19:AN$20,"#")</f>
        <v>#NAME?</v>
      </c>
      <c r="AO127" s="142" t="e">
        <f ca="1">GetCtData("PKAMOUNT","AMOUNT",$AO$11:$AO$18,$B127:$D127,AO$19:AO$20,"#")</f>
        <v>#NAME?</v>
      </c>
      <c r="AP127" s="122"/>
      <c r="AQ127" s="142" t="e">
        <f ca="1">GetCtData("PKAMOUNT","AMOUNT",$AQ$11:$AQ$18,$B127:$D127,AQ$19:AQ$20,"#")</f>
        <v>#NAME?</v>
      </c>
      <c r="AR127" s="142" t="e">
        <f t="shared" ca="1" si="121"/>
        <v>#NAME?</v>
      </c>
      <c r="AS127" s="142"/>
      <c r="AT127" s="142" t="e">
        <f ca="1">GetCtData("PKAMOUNT","AMOUNT",AT$11:AT$18,$B127:$D127,AT$19:AT$20,"#")</f>
        <v>#NAME?</v>
      </c>
      <c r="AU127" s="142" t="e">
        <f t="shared" ca="1" si="122"/>
        <v>#NAME?</v>
      </c>
      <c r="AV127" s="72"/>
      <c r="AW127" s="72" t="e">
        <f t="shared" ca="1" si="123"/>
        <v>#NAME?</v>
      </c>
      <c r="AX127" s="72" t="e">
        <f t="shared" ca="1" si="124"/>
        <v>#NAME?</v>
      </c>
      <c r="AY127" s="72"/>
      <c r="AZ127" s="72" t="e">
        <f t="shared" ca="1" si="125"/>
        <v>#NAME?</v>
      </c>
      <c r="BA127" s="72" t="e">
        <f t="shared" ca="1" si="126"/>
        <v>#NAME?</v>
      </c>
      <c r="BB127" s="72"/>
      <c r="BC127" s="72" t="e">
        <f t="shared" ca="1" si="127"/>
        <v>#NAME?</v>
      </c>
      <c r="BD127" s="72" t="e">
        <f t="shared" ca="1" si="75"/>
        <v>#NAME?</v>
      </c>
      <c r="BE127" s="72"/>
      <c r="BF127" s="72" t="e">
        <f t="shared" ca="1" si="128"/>
        <v>#NAME?</v>
      </c>
      <c r="BG127" s="72" t="e">
        <f t="shared" ca="1" si="76"/>
        <v>#NAME?</v>
      </c>
      <c r="BH127" s="72"/>
      <c r="BI127" s="72" t="e">
        <f t="shared" ca="1" si="129"/>
        <v>#NAME?</v>
      </c>
      <c r="BJ127" s="72" t="e">
        <f t="shared" ca="1" si="77"/>
        <v>#NAME?</v>
      </c>
      <c r="BK127" s="72"/>
      <c r="BL127" s="72" t="e">
        <f t="shared" ca="1" si="130"/>
        <v>#NAME?</v>
      </c>
      <c r="BM127" s="72" t="e">
        <f t="shared" ca="1" si="78"/>
        <v>#NAME?</v>
      </c>
      <c r="BN127" s="72"/>
      <c r="BO127" s="72" t="e">
        <f t="shared" ca="1" si="131"/>
        <v>#NAME?</v>
      </c>
      <c r="BP127" s="72" t="e">
        <f t="shared" ca="1" si="79"/>
        <v>#NAME?</v>
      </c>
      <c r="BQ127" s="72"/>
      <c r="BR127" s="72" t="e">
        <f t="shared" ca="1" si="132"/>
        <v>#NAME?</v>
      </c>
      <c r="BS127" s="72" t="e">
        <f ca="1">#REF!-BR127</f>
        <v>#REF!</v>
      </c>
    </row>
    <row r="128" spans="1:71" x14ac:dyDescent="0.2">
      <c r="A128" s="82" t="s">
        <v>243</v>
      </c>
      <c r="B128" s="82" t="s">
        <v>335</v>
      </c>
      <c r="D128" s="82" t="s">
        <v>172</v>
      </c>
      <c r="E128" s="74" t="e">
        <f ca="1">GetCtLabel(B128,"CURINIT(AC)!LDESC","#Other personal costs")</f>
        <v>#NAME?</v>
      </c>
      <c r="F128" s="137"/>
      <c r="G128" s="138"/>
      <c r="H128" s="137"/>
      <c r="I128" s="139"/>
      <c r="J128" s="139"/>
      <c r="K128" s="139"/>
      <c r="L128" s="139">
        <v>1</v>
      </c>
      <c r="M128" s="139"/>
      <c r="N128" s="130"/>
      <c r="O128" s="140">
        <f t="shared" si="114"/>
        <v>1</v>
      </c>
      <c r="P128" s="141">
        <f t="shared" si="113"/>
        <v>0</v>
      </c>
      <c r="Q128" s="141">
        <f t="shared" si="113"/>
        <v>-1</v>
      </c>
      <c r="R128" s="133" t="e">
        <f t="shared" ca="1" si="115"/>
        <v>#NAME?</v>
      </c>
      <c r="S128" s="133" t="e">
        <f t="shared" ca="1" si="116"/>
        <v>#NAME?</v>
      </c>
      <c r="T128" s="134" t="e">
        <f t="shared" ca="1" si="117"/>
        <v>#NAME?</v>
      </c>
      <c r="U128" s="134" t="e">
        <f t="shared" ca="1" si="118"/>
        <v>#NAME?</v>
      </c>
      <c r="V128" s="144"/>
      <c r="W128" s="142"/>
      <c r="X128" s="142">
        <f t="shared" si="133"/>
        <v>1</v>
      </c>
      <c r="Y128" s="122"/>
      <c r="Z128" s="135">
        <v>1</v>
      </c>
      <c r="AA128" s="135"/>
      <c r="AB128" s="135">
        <f t="shared" si="33"/>
        <v>1</v>
      </c>
      <c r="AC128" s="135">
        <f t="shared" si="119"/>
        <v>0</v>
      </c>
      <c r="AD128" s="122"/>
      <c r="AE128" s="142" t="e">
        <f ca="1">GetCtData("PKAMOUNT","AMOUNT",$AE$11:$AE$18,$B128:$D128,AE$19:AE$20,"#1")</f>
        <v>#NAME?</v>
      </c>
      <c r="AF128" s="142"/>
      <c r="AG128" s="142" t="e">
        <f t="shared" ca="1" si="135"/>
        <v>#NAME?</v>
      </c>
      <c r="AH128" s="143" t="e">
        <f t="shared" ca="1" si="134"/>
        <v>#NAME?</v>
      </c>
      <c r="AI128" s="128"/>
      <c r="AJ128" s="142" t="e">
        <f t="shared" ca="1" si="73"/>
        <v>#NAME?</v>
      </c>
      <c r="AK128" s="142" t="e">
        <f ca="1">GetCtData("PKAMOUNT","AMOUNT",$AK$11:$AK$18,$B128:$D128,AK$19:AK$20,"#0")</f>
        <v>#NAME?</v>
      </c>
      <c r="AL128" s="143" t="e">
        <f t="shared" ca="1" si="120"/>
        <v>#NAME?</v>
      </c>
      <c r="AM128" s="122"/>
      <c r="AN128" s="142" t="e">
        <f ca="1">GetCtData("PKAMOUNT","AMOUNT",$AN$11:$AN$18,$B128:$D128,AN$19:AN$20,"#0")</f>
        <v>#NAME?</v>
      </c>
      <c r="AO128" s="142" t="e">
        <f ca="1">GetCtData("PKAMOUNT","AMOUNT",$AO$11:$AO$18,$B128:$D128,AO$19:AO$20,"#1")</f>
        <v>#NAME?</v>
      </c>
      <c r="AP128" s="122"/>
      <c r="AQ128" s="142" t="e">
        <f ca="1">GetCtData("PKAMOUNT","AMOUNT",$AQ$11:$AQ$18,$B128:$D128,AQ$19:AQ$20,"#1")</f>
        <v>#NAME?</v>
      </c>
      <c r="AR128" s="142" t="e">
        <f t="shared" ca="1" si="121"/>
        <v>#NAME?</v>
      </c>
      <c r="AS128" s="142"/>
      <c r="AT128" s="142" t="e">
        <f ca="1">GetCtData("PKAMOUNT","AMOUNT",AT$11:AT$18,$B128:$D128,AT$19:AT$20,"#2")</f>
        <v>#NAME?</v>
      </c>
      <c r="AU128" s="142" t="e">
        <f t="shared" ca="1" si="122"/>
        <v>#NAME?</v>
      </c>
      <c r="AV128" s="72"/>
      <c r="AW128" s="72" t="e">
        <f t="shared" ca="1" si="123"/>
        <v>#NAME?</v>
      </c>
      <c r="AX128" s="72" t="e">
        <f t="shared" ca="1" si="124"/>
        <v>#NAME?</v>
      </c>
      <c r="AY128" s="72"/>
      <c r="AZ128" s="72" t="e">
        <f t="shared" ca="1" si="125"/>
        <v>#NAME?</v>
      </c>
      <c r="BA128" s="72" t="e">
        <f t="shared" ca="1" si="126"/>
        <v>#NAME?</v>
      </c>
      <c r="BB128" s="72"/>
      <c r="BC128" s="72" t="e">
        <f t="shared" ca="1" si="127"/>
        <v>#NAME?</v>
      </c>
      <c r="BD128" s="72" t="e">
        <f t="shared" ca="1" si="75"/>
        <v>#NAME?</v>
      </c>
      <c r="BE128" s="72"/>
      <c r="BF128" s="72" t="e">
        <f t="shared" ca="1" si="128"/>
        <v>#NAME?</v>
      </c>
      <c r="BG128" s="72" t="e">
        <f t="shared" ca="1" si="76"/>
        <v>#NAME?</v>
      </c>
      <c r="BH128" s="72"/>
      <c r="BI128" s="72" t="e">
        <f t="shared" ca="1" si="129"/>
        <v>#NAME?</v>
      </c>
      <c r="BJ128" s="72" t="e">
        <f t="shared" ca="1" si="77"/>
        <v>#NAME?</v>
      </c>
      <c r="BK128" s="72"/>
      <c r="BL128" s="72" t="e">
        <f t="shared" ca="1" si="130"/>
        <v>#NAME?</v>
      </c>
      <c r="BM128" s="72" t="e">
        <f t="shared" ca="1" si="78"/>
        <v>#NAME?</v>
      </c>
      <c r="BN128" s="72"/>
      <c r="BO128" s="72" t="e">
        <f t="shared" ca="1" si="131"/>
        <v>#NAME?</v>
      </c>
      <c r="BP128" s="72" t="e">
        <f t="shared" ca="1" si="79"/>
        <v>#NAME?</v>
      </c>
      <c r="BQ128" s="72"/>
      <c r="BR128" s="72" t="e">
        <f t="shared" ca="1" si="132"/>
        <v>#NAME?</v>
      </c>
      <c r="BS128" s="72" t="e">
        <f ca="1">#REF!-BR128</f>
        <v>#REF!</v>
      </c>
    </row>
    <row r="129" spans="1:71" x14ac:dyDescent="0.2">
      <c r="E129" s="74"/>
      <c r="F129" s="187"/>
      <c r="G129" s="131"/>
      <c r="H129" s="130"/>
      <c r="I129" s="130"/>
      <c r="J129" s="72"/>
      <c r="K129" s="72"/>
      <c r="L129" s="72"/>
      <c r="M129" s="72"/>
      <c r="N129" s="130"/>
      <c r="O129" s="121"/>
      <c r="P129" s="141">
        <f t="shared" si="113"/>
        <v>0</v>
      </c>
      <c r="Q129" s="141"/>
      <c r="R129" s="122"/>
      <c r="S129" s="122"/>
      <c r="T129" s="122" t="e">
        <f ca="1">PutCtData("PKAMOUNT","AMOUNT",$T$11:$T$15,$B129,$T$18,$T$17,P129)</f>
        <v>#NAME?</v>
      </c>
      <c r="U129" s="122" t="e">
        <f ca="1">PutCtData("PKAMOUNT","AMOUNT",$U$11:$U$15,$B129,$U$18,$U$17,L129)</f>
        <v>#NAME?</v>
      </c>
      <c r="V129" s="144"/>
      <c r="W129" s="122"/>
      <c r="X129" s="122"/>
      <c r="Y129" s="122"/>
      <c r="Z129" s="135"/>
      <c r="AA129" s="135"/>
      <c r="AB129" s="135">
        <f t="shared" ref="AB129:AB207" si="136">Z129+AA129</f>
        <v>0</v>
      </c>
      <c r="AC129" s="135"/>
      <c r="AD129" s="122"/>
      <c r="AE129" s="122"/>
      <c r="AF129" s="122"/>
      <c r="AG129" s="122">
        <f t="shared" si="135"/>
        <v>0</v>
      </c>
      <c r="AH129" s="136">
        <f t="shared" si="134"/>
        <v>0</v>
      </c>
      <c r="AI129" s="128"/>
      <c r="AJ129" s="122">
        <f t="shared" si="73"/>
        <v>0</v>
      </c>
      <c r="AK129" s="122"/>
      <c r="AL129" s="136"/>
      <c r="AM129" s="122"/>
      <c r="AN129" s="122"/>
      <c r="AO129" s="122"/>
      <c r="AP129" s="122"/>
      <c r="AQ129" s="122"/>
      <c r="AR129" s="122"/>
      <c r="AS129" s="122"/>
      <c r="AT129" s="122"/>
      <c r="AU129" s="122"/>
      <c r="AV129" s="130"/>
      <c r="AW129" s="130"/>
      <c r="AX129" s="130"/>
      <c r="AY129" s="130"/>
      <c r="AZ129" s="130"/>
      <c r="BA129" s="130"/>
      <c r="BB129" s="130"/>
      <c r="BC129" s="130"/>
      <c r="BD129" s="130">
        <f t="shared" si="75"/>
        <v>0</v>
      </c>
      <c r="BE129" s="130"/>
      <c r="BF129" s="130"/>
      <c r="BG129" s="130">
        <f t="shared" si="76"/>
        <v>0</v>
      </c>
      <c r="BH129" s="130"/>
      <c r="BI129" s="130"/>
      <c r="BJ129" s="130">
        <f t="shared" si="77"/>
        <v>0</v>
      </c>
      <c r="BK129" s="130"/>
      <c r="BL129" s="130"/>
      <c r="BM129" s="130">
        <f>J129-BL129</f>
        <v>0</v>
      </c>
      <c r="BN129" s="130"/>
      <c r="BO129" s="130"/>
      <c r="BP129" s="130">
        <f t="shared" si="79"/>
        <v>0</v>
      </c>
      <c r="BQ129" s="130"/>
      <c r="BR129" s="130"/>
      <c r="BS129" s="130" t="e">
        <f>#REF!-BR129</f>
        <v>#REF!</v>
      </c>
    </row>
    <row r="130" spans="1:71" s="163" customFormat="1" x14ac:dyDescent="0.2">
      <c r="A130" s="146"/>
      <c r="B130" s="146" t="s">
        <v>336</v>
      </c>
      <c r="C130" s="146"/>
      <c r="D130" s="146" t="s">
        <v>250</v>
      </c>
      <c r="E130" s="147" t="e">
        <f ca="1">GetCtLabel(B130,"CURINIT(AC)!LDESC","#TOTAL PERSONAL COSTS")</f>
        <v>#NAME?</v>
      </c>
      <c r="F130" s="148">
        <f ca="1">SUMIF($A117:F128,"yes",F117:F128)</f>
        <v>549</v>
      </c>
      <c r="G130" s="148">
        <f ca="1">SUMIF($A117:G128,"yes",G117:G128)</f>
        <v>-31</v>
      </c>
      <c r="H130" s="148">
        <f ca="1">SUMIF($A117:H128,"yes",H117:H128)</f>
        <v>0</v>
      </c>
      <c r="I130" s="148">
        <f ca="1">SUMIF($A117:I128,"yes",I117:I128)</f>
        <v>0</v>
      </c>
      <c r="J130" s="148">
        <f ca="1">SUMIF($A117:J128,"yes",J117:J128)</f>
        <v>0</v>
      </c>
      <c r="K130" s="148">
        <f ca="1">SUMIF($A117:K128,"yes",K117:K128)</f>
        <v>-129</v>
      </c>
      <c r="L130" s="148">
        <f ca="1">SUMIF($A117:L128,"yes",L117:L128)</f>
        <v>1</v>
      </c>
      <c r="M130" s="148">
        <f ca="1">SUMIF($A117:M128,"yes",M117:M128)</f>
        <v>0</v>
      </c>
      <c r="N130" s="148"/>
      <c r="O130" s="149">
        <f ca="1">SUMIF($A117:O128,"yes",O117:O128)</f>
        <v>390</v>
      </c>
      <c r="P130" s="123">
        <f t="shared" ca="1" si="113"/>
        <v>129</v>
      </c>
      <c r="Q130" s="123"/>
      <c r="R130" s="148" t="e">
        <f ca="1">SUMIF($A117:R128,"yes",R117:R128)</f>
        <v>#NAME?</v>
      </c>
      <c r="S130" s="148" t="e">
        <f ca="1">SUMIF($A117:S128,"yes",S117:S128)</f>
        <v>#NAME?</v>
      </c>
      <c r="T130" s="148" t="e">
        <f ca="1">SUMIF($A117:T128,"yes",T117:T128)</f>
        <v>#NAME?</v>
      </c>
      <c r="U130" s="148" t="e">
        <f ca="1">SUMIF($A117:U128,"yes",U117:U128)</f>
        <v>#NAME?</v>
      </c>
      <c r="V130" s="144"/>
      <c r="W130" s="148">
        <f>SUM(W117:W128)</f>
        <v>0</v>
      </c>
      <c r="X130" s="148">
        <f>SUM(X117:X128)</f>
        <v>390</v>
      </c>
      <c r="Y130" s="136"/>
      <c r="Z130" s="150">
        <f>SUM(Z117:Z128)</f>
        <v>296</v>
      </c>
      <c r="AA130" s="150">
        <f>SUM(AA117:AA128)</f>
        <v>0</v>
      </c>
      <c r="AB130" s="150">
        <f t="shared" si="136"/>
        <v>296</v>
      </c>
      <c r="AC130" s="150">
        <f>SUM(AC117:AC128)</f>
        <v>95</v>
      </c>
      <c r="AD130" s="136"/>
      <c r="AE130" s="148" t="e">
        <f ca="1">GetCtData("PKAMOUNT","AMOUNT",$AE$11:$AE$18,$B130:$D130,AE$19:AE$20,"#387")</f>
        <v>#NAME?</v>
      </c>
      <c r="AF130" s="148">
        <f>SUM(AF117:AF128)</f>
        <v>0</v>
      </c>
      <c r="AG130" s="148" t="e">
        <f t="shared" ca="1" si="135"/>
        <v>#NAME?</v>
      </c>
      <c r="AH130" s="148" t="e">
        <f t="shared" ca="1" si="134"/>
        <v>#NAME?</v>
      </c>
      <c r="AI130" s="128"/>
      <c r="AJ130" s="148" t="e">
        <f t="shared" ca="1" si="73"/>
        <v>#NAME?</v>
      </c>
      <c r="AK130" s="148" t="e">
        <f ca="1">GetCtData("PKAMOUNT","AMOUNT",$AK$11:$AK$18,$B130:$D130,AK$19:AK$20,"#58")</f>
        <v>#NAME?</v>
      </c>
      <c r="AL130" s="148" t="e">
        <f ca="1">(O130-AO130)-AK130</f>
        <v>#NAME?</v>
      </c>
      <c r="AM130" s="136"/>
      <c r="AN130" s="148" t="e">
        <f ca="1">GetCtData("PKAMOUNT","AMOUNT",$AN$11:$AN$18,$B130:$D130,AN$19:AN$20,"#55")</f>
        <v>#NAME?</v>
      </c>
      <c r="AO130" s="148" t="e">
        <f ca="1">GetCtData("PKAMOUNT","AMOUNT",$AO$11:$AO$18,$B130:$D130,AO$19:AO$20,"#329")</f>
        <v>#NAME?</v>
      </c>
      <c r="AP130" s="136"/>
      <c r="AQ130" s="148" t="e">
        <f ca="1">GetCtData("PKAMOUNT","AMOUNT",$AQ$11:$AQ$18,$B130:$D130,AQ$19:AQ$20,"#360")</f>
        <v>#NAME?</v>
      </c>
      <c r="AR130" s="148" t="e">
        <f ca="1">O130-AQ130</f>
        <v>#NAME?</v>
      </c>
      <c r="AS130" s="148"/>
      <c r="AT130" s="148" t="e">
        <f ca="1">GetCtData("PKAMOUNT","AMOUNT",AT$11:AT$18,$B130:$D130,AT$19:AT$20,"#410")</f>
        <v>#NAME?</v>
      </c>
      <c r="AU130" s="148" t="e">
        <f ca="1">O130-AT130</f>
        <v>#NAME?</v>
      </c>
      <c r="AV130" s="148"/>
      <c r="AW130" s="148" t="e">
        <f ca="1">GetCtData("PKAMOUNT","AMOUNT",AW$11:AW$18,$B130:$D130,AW$19:AW$20,"#")</f>
        <v>#NAME?</v>
      </c>
      <c r="AX130" s="148" t="e">
        <f ca="1">O130-AW130</f>
        <v>#NAME?</v>
      </c>
      <c r="AY130" s="148"/>
      <c r="AZ130" s="148" t="e">
        <f ca="1">SUM(AZ117:AZ128)</f>
        <v>#NAME?</v>
      </c>
      <c r="BA130" s="148" t="e">
        <f ca="1">SUM(BA117:BA128)</f>
        <v>#NAME?</v>
      </c>
      <c r="BB130" s="148"/>
      <c r="BC130" s="148" t="e">
        <f ca="1">SUM(BC117:BC128)</f>
        <v>#NAME?</v>
      </c>
      <c r="BD130" s="148" t="e">
        <f t="shared" ca="1" si="75"/>
        <v>#NAME?</v>
      </c>
      <c r="BE130" s="148"/>
      <c r="BF130" s="148" t="e">
        <f ca="1">SUM(BF117:BF128)</f>
        <v>#NAME?</v>
      </c>
      <c r="BG130" s="148" t="e">
        <f t="shared" ca="1" si="76"/>
        <v>#NAME?</v>
      </c>
      <c r="BH130" s="148"/>
      <c r="BI130" s="148" t="e">
        <f ca="1">SUM(BI117:BI128)</f>
        <v>#NAME?</v>
      </c>
      <c r="BJ130" s="148" t="e">
        <f t="shared" ca="1" si="77"/>
        <v>#NAME?</v>
      </c>
      <c r="BK130" s="148"/>
      <c r="BL130" s="148" t="e">
        <f ca="1">SUM(BL117:BL128)</f>
        <v>#NAME?</v>
      </c>
      <c r="BM130" s="148" t="e">
        <f ca="1">O130-BL130</f>
        <v>#NAME?</v>
      </c>
      <c r="BN130" s="148"/>
      <c r="BO130" s="148" t="e">
        <f ca="1">SUM(BO117:BO128)</f>
        <v>#NAME?</v>
      </c>
      <c r="BP130" s="148" t="e">
        <f t="shared" ca="1" si="79"/>
        <v>#NAME?</v>
      </c>
      <c r="BQ130" s="148"/>
      <c r="BR130" s="148" t="e">
        <f ca="1">SUM(BR117:BR128)</f>
        <v>#NAME?</v>
      </c>
      <c r="BS130" s="148" t="e">
        <f ca="1">#REF!-BR130</f>
        <v>#REF!</v>
      </c>
    </row>
    <row r="131" spans="1:71" x14ac:dyDescent="0.2">
      <c r="E131" s="74"/>
      <c r="F131" s="130"/>
      <c r="G131" s="131"/>
      <c r="H131" s="130"/>
      <c r="I131" s="72"/>
      <c r="J131" s="72"/>
      <c r="K131" s="72"/>
      <c r="L131" s="72"/>
      <c r="M131" s="72"/>
      <c r="N131" s="130"/>
      <c r="O131" s="121"/>
      <c r="P131" s="141">
        <f t="shared" si="113"/>
        <v>0</v>
      </c>
      <c r="Q131" s="141"/>
      <c r="R131" s="122"/>
      <c r="S131" s="122"/>
      <c r="T131" s="122" t="e">
        <f ca="1">PutCtData("PKAMOUNT","AMOUNT",$T$11:$T$15,$B131,$T$18,$T$17,P131)</f>
        <v>#NAME?</v>
      </c>
      <c r="U131" s="122" t="e">
        <f ca="1">PutCtData("PKAMOUNT","AMOUNT",$U$11:$U$15,$B131,$U$18,$U$17,L131)</f>
        <v>#NAME?</v>
      </c>
      <c r="V131" s="144"/>
      <c r="W131" s="122"/>
      <c r="X131" s="122"/>
      <c r="Y131" s="122"/>
      <c r="Z131" s="135"/>
      <c r="AA131" s="135"/>
      <c r="AB131" s="135">
        <f t="shared" si="136"/>
        <v>0</v>
      </c>
      <c r="AC131" s="135"/>
      <c r="AD131" s="122"/>
      <c r="AE131" s="164" t="e">
        <f ca="1">AE130-SUMIF($A117:AE128,"yes",AE117:AE128)</f>
        <v>#NAME?</v>
      </c>
      <c r="AF131" s="164"/>
      <c r="AG131" s="164" t="e">
        <f t="shared" ca="1" si="135"/>
        <v>#NAME?</v>
      </c>
      <c r="AH131" s="164" t="e">
        <f ca="1">AH130-SUMIF($A117:AH128,"yes",AH117:AH128)</f>
        <v>#NAME?</v>
      </c>
      <c r="AI131" s="128"/>
      <c r="AJ131" s="122">
        <f t="shared" si="73"/>
        <v>0</v>
      </c>
      <c r="AK131" s="122"/>
      <c r="AL131" s="136"/>
      <c r="AM131" s="122"/>
      <c r="AN131" s="122"/>
      <c r="AO131" s="122"/>
      <c r="AP131" s="122"/>
      <c r="AQ131" s="122"/>
      <c r="AR131" s="122"/>
      <c r="AS131" s="122"/>
      <c r="AT131" s="122"/>
      <c r="AU131" s="122"/>
      <c r="AV131" s="130"/>
      <c r="AW131" s="130"/>
      <c r="AX131" s="130"/>
      <c r="AY131" s="130"/>
      <c r="AZ131" s="130"/>
      <c r="BA131" s="130"/>
      <c r="BB131" s="130"/>
      <c r="BC131" s="130"/>
      <c r="BD131" s="130">
        <f t="shared" si="75"/>
        <v>0</v>
      </c>
      <c r="BE131" s="130"/>
      <c r="BF131" s="130"/>
      <c r="BG131" s="130">
        <f t="shared" si="76"/>
        <v>0</v>
      </c>
      <c r="BH131" s="130"/>
      <c r="BI131" s="130"/>
      <c r="BJ131" s="130">
        <f t="shared" si="77"/>
        <v>0</v>
      </c>
      <c r="BK131" s="130"/>
      <c r="BL131" s="130"/>
      <c r="BM131" s="130">
        <f>J131-BL131</f>
        <v>0</v>
      </c>
      <c r="BN131" s="130"/>
      <c r="BO131" s="130"/>
      <c r="BP131" s="130">
        <f t="shared" si="79"/>
        <v>0</v>
      </c>
      <c r="BQ131" s="130"/>
      <c r="BR131" s="130"/>
      <c r="BS131" s="130" t="e">
        <f>#REF!-BR131</f>
        <v>#REF!</v>
      </c>
    </row>
    <row r="132" spans="1:71" x14ac:dyDescent="0.2">
      <c r="A132" s="82" t="s">
        <v>243</v>
      </c>
      <c r="B132" s="82" t="s">
        <v>337</v>
      </c>
      <c r="D132" s="82" t="s">
        <v>172</v>
      </c>
      <c r="E132" s="74" t="e">
        <f ca="1">GetCtLabel(B132,"CURINIT(AC)!LDESC","#New business/client presentation costs")</f>
        <v>#NAME?</v>
      </c>
      <c r="F132" s="137">
        <v>23</v>
      </c>
      <c r="G132" s="138">
        <f>81+26+11</f>
        <v>118</v>
      </c>
      <c r="H132" s="137"/>
      <c r="I132" s="139"/>
      <c r="J132" s="139"/>
      <c r="K132" s="139">
        <v>-9</v>
      </c>
      <c r="L132" s="139"/>
      <c r="M132" s="139"/>
      <c r="N132" s="130"/>
      <c r="O132" s="140">
        <f t="shared" ref="O132:O151" si="137">SUM(F132:M132)</f>
        <v>132</v>
      </c>
      <c r="P132" s="141">
        <f t="shared" ref="P132:Q154" si="138">-K132</f>
        <v>9</v>
      </c>
      <c r="Q132" s="141">
        <f t="shared" si="138"/>
        <v>0</v>
      </c>
      <c r="R132" s="133" t="e">
        <f t="shared" ref="R132:R151" ca="1" si="139">PutCtData("PKAMOUNT","AMOUNT",R$11:R$14,$B132:$D132,R$17:R$18,$O132)</f>
        <v>#NAME?</v>
      </c>
      <c r="S132" s="133" t="e">
        <f t="shared" ref="S132:S151" ca="1" si="140">PutCtData("PKAMOUNT","AMOUNT",S$11:S$14,$B132:$D132,S$17,$M132)</f>
        <v>#NAME?</v>
      </c>
      <c r="T132" s="134" t="e">
        <f t="shared" ref="T132:T151" ca="1" si="141">PutCtData("PKAMOUNT","AMOUNT",T$11:T$14,$B132:$D132,T$17:T$18,$P132)</f>
        <v>#NAME?</v>
      </c>
      <c r="U132" s="134" t="e">
        <f t="shared" ref="U132:U151" ca="1" si="142">PutCtData("PKAMOUNT","AMOUNT",$U$11:$U$14,$B132:$D132,U$17:U$18,Q132)</f>
        <v>#NAME?</v>
      </c>
      <c r="V132" s="144"/>
      <c r="W132" s="142"/>
      <c r="X132" s="142"/>
      <c r="Y132" s="122"/>
      <c r="Z132" s="135">
        <f>37+6</f>
        <v>43</v>
      </c>
      <c r="AA132" s="135"/>
      <c r="AB132" s="135">
        <f t="shared" si="136"/>
        <v>43</v>
      </c>
      <c r="AC132" s="135">
        <f t="shared" ref="AC132:AC152" si="143">+O132-AB132</f>
        <v>89</v>
      </c>
      <c r="AD132" s="122"/>
      <c r="AE132" s="142" t="e">
        <f ca="1">GetCtData("PKAMOUNT","AMOUNT",$AE$11:$AE$18,$B132:$D132,AE$19:AE$20,"#132")</f>
        <v>#NAME?</v>
      </c>
      <c r="AF132" s="142"/>
      <c r="AG132" s="142" t="e">
        <f t="shared" ca="1" si="135"/>
        <v>#NAME?</v>
      </c>
      <c r="AH132" s="175" t="e">
        <f t="shared" ca="1" si="134"/>
        <v>#NAME?</v>
      </c>
      <c r="AI132" s="128"/>
      <c r="AJ132" s="142" t="e">
        <f t="shared" ca="1" si="73"/>
        <v>#NAME?</v>
      </c>
      <c r="AK132" s="142" t="e">
        <f ca="1">GetCtData("PKAMOUNT","AMOUNT",$AK$11:$AK$18,$B132:$D132,AK$19:AK$20,"#1")</f>
        <v>#NAME?</v>
      </c>
      <c r="AL132" s="143" t="e">
        <f t="shared" ref="AL132:AL151" ca="1" si="144">(O132-AO132)-AK132</f>
        <v>#NAME?</v>
      </c>
      <c r="AM132" s="122"/>
      <c r="AN132" s="142" t="e">
        <f ca="1">GetCtData("PKAMOUNT","AMOUNT",$AN$11:$AN$18,$B132:$D132,AN$19:AN$20,"#12")</f>
        <v>#NAME?</v>
      </c>
      <c r="AO132" s="142" t="e">
        <f ca="1">GetCtData("PKAMOUNT","AMOUNT",$AO$11:$AO$18,$B132:$D132,AO$19:AO$20,"#131")</f>
        <v>#NAME?</v>
      </c>
      <c r="AP132" s="122"/>
      <c r="AQ132" s="142" t="e">
        <f ca="1">GetCtData("PKAMOUNT","AMOUNT",$AQ$11:$AQ$18,$B132:$D132,AQ$19:AQ$20,"#43")</f>
        <v>#NAME?</v>
      </c>
      <c r="AR132" s="142" t="e">
        <f t="shared" ref="AR132:AR151" ca="1" si="145">O132-AQ132</f>
        <v>#NAME?</v>
      </c>
      <c r="AS132" s="142"/>
      <c r="AT132" s="142" t="e">
        <f ca="1">GetCtData("PKAMOUNT","AMOUNT",AT$11:AT$18,$B132:$D132,AT$19:AT$20,"#56")</f>
        <v>#NAME?</v>
      </c>
      <c r="AU132" s="142" t="e">
        <f t="shared" ref="AU132:AU151" ca="1" si="146">O132-AT132</f>
        <v>#NAME?</v>
      </c>
      <c r="AV132" s="72"/>
      <c r="AW132" s="72" t="e">
        <f t="shared" ref="AW132:AW151" ca="1" si="147">GetCtData("PKAMOUNT","AMOUNT",AW$11:AW$18,$B132:$D132,AW$19:AW$20,"#")</f>
        <v>#NAME?</v>
      </c>
      <c r="AX132" s="72" t="e">
        <f t="shared" ref="AX132:AX151" ca="1" si="148">O132-AW132</f>
        <v>#NAME?</v>
      </c>
      <c r="AY132" s="72"/>
      <c r="AZ132" s="72" t="e">
        <f t="shared" ref="AZ132:AZ151" ca="1" si="149">GetCtData("COAMOUNT","AMOUNT",$AZ$11:$AZ$17,$B132,AZ$19,AZ$20,"#")</f>
        <v>#NAME?</v>
      </c>
      <c r="BA132" s="72" t="e">
        <f t="shared" ref="BA132:BA151" ca="1" si="150">O132-AZ132</f>
        <v>#NAME?</v>
      </c>
      <c r="BB132" s="72"/>
      <c r="BC132" s="72" t="e">
        <f t="shared" ref="BC132:BC151" ca="1" si="151">GetCtData("COAMOUNT","AMOUNT",$BF$11:$BF$17,$B132,BC$19,BC$20,"#")</f>
        <v>#NAME?</v>
      </c>
      <c r="BD132" s="72" t="e">
        <f t="shared" ca="1" si="75"/>
        <v>#NAME?</v>
      </c>
      <c r="BE132" s="72"/>
      <c r="BF132" s="72" t="e">
        <f t="shared" ref="BF132:BF151" ca="1" si="152">GetCtData("COAMOUNT","AMOUNT",$BF$11:$BF$17,$B132,BF$19,BF$20,"#")</f>
        <v>#NAME?</v>
      </c>
      <c r="BG132" s="72" t="e">
        <f t="shared" ca="1" si="76"/>
        <v>#NAME?</v>
      </c>
      <c r="BH132" s="72"/>
      <c r="BI132" s="72" t="e">
        <f t="shared" ref="BI132:BI151" ca="1" si="153">GetCtData("COAMOUNT","AMOUNT",$AO$11:$AO$17,$B132,BI$19,BI$20,"#")</f>
        <v>#NAME?</v>
      </c>
      <c r="BJ132" s="72" t="e">
        <f t="shared" ca="1" si="77"/>
        <v>#NAME?</v>
      </c>
      <c r="BK132" s="72"/>
      <c r="BL132" s="72" t="e">
        <f t="shared" ref="BL132:BL151" ca="1" si="154">GetCtData("COAMOUNT","AMOUNT",$BO$11:$BO$17,$B132,BL$19,BL$20,"#")</f>
        <v>#NAME?</v>
      </c>
      <c r="BM132" s="72" t="e">
        <f t="shared" ref="BM132:BM151" ca="1" si="155">O132-BL132</f>
        <v>#NAME?</v>
      </c>
      <c r="BN132" s="72"/>
      <c r="BO132" s="72" t="e">
        <f t="shared" ref="BO132:BO151" ca="1" si="156">GetCtData("COAMOUNT","AMOUNT",$BO$11:$BO$17,$B132,BO$19,BO$20,"#")</f>
        <v>#NAME?</v>
      </c>
      <c r="BP132" s="72" t="e">
        <f t="shared" ca="1" si="79"/>
        <v>#NAME?</v>
      </c>
      <c r="BQ132" s="72"/>
      <c r="BR132" s="72" t="e">
        <f t="shared" ref="BR132:BR151" ca="1" si="157">GetCtData("COAMOUNT","AMOUNT",$BO$11:$BO$17,$B132,BR$19,BR$20,"#")</f>
        <v>#NAME?</v>
      </c>
      <c r="BS132" s="72" t="e">
        <f ca="1">#REF!-BR132</f>
        <v>#REF!</v>
      </c>
    </row>
    <row r="133" spans="1:71" x14ac:dyDescent="0.2">
      <c r="A133" s="82" t="s">
        <v>243</v>
      </c>
      <c r="B133" s="82" t="s">
        <v>338</v>
      </c>
      <c r="D133" s="82" t="s">
        <v>172</v>
      </c>
      <c r="E133" s="74" t="e">
        <f ca="1">GetCtLabel(B133,"CURINIT(AC)!LDESC","#Research costs")</f>
        <v>#NAME?</v>
      </c>
      <c r="F133" s="137">
        <v>107</v>
      </c>
      <c r="G133" s="138"/>
      <c r="H133" s="137"/>
      <c r="I133" s="139"/>
      <c r="J133" s="139"/>
      <c r="K133" s="139">
        <f>-20-88</f>
        <v>-108</v>
      </c>
      <c r="L133" s="139"/>
      <c r="M133" s="139"/>
      <c r="N133" s="130"/>
      <c r="O133" s="140">
        <f t="shared" si="137"/>
        <v>-1</v>
      </c>
      <c r="P133" s="141">
        <f t="shared" si="138"/>
        <v>108</v>
      </c>
      <c r="Q133" s="141">
        <f t="shared" si="138"/>
        <v>0</v>
      </c>
      <c r="R133" s="133" t="e">
        <f t="shared" ca="1" si="139"/>
        <v>#NAME?</v>
      </c>
      <c r="S133" s="133" t="e">
        <f t="shared" ca="1" si="140"/>
        <v>#NAME?</v>
      </c>
      <c r="T133" s="134" t="e">
        <f t="shared" ca="1" si="141"/>
        <v>#NAME?</v>
      </c>
      <c r="U133" s="134" t="e">
        <f t="shared" ca="1" si="142"/>
        <v>#NAME?</v>
      </c>
      <c r="V133" s="144"/>
      <c r="W133" s="142"/>
      <c r="X133" s="142"/>
      <c r="Y133" s="122"/>
      <c r="Z133" s="135"/>
      <c r="AA133" s="135"/>
      <c r="AB133" s="135">
        <f t="shared" si="136"/>
        <v>0</v>
      </c>
      <c r="AC133" s="135">
        <f t="shared" si="143"/>
        <v>-1</v>
      </c>
      <c r="AD133" s="122"/>
      <c r="AE133" s="142" t="e">
        <f ca="1">GetCtData("PKAMOUNT","AMOUNT",$AE$11:$AE$18,$B133:$D133,AE$19:AE$20,"#-1")</f>
        <v>#NAME?</v>
      </c>
      <c r="AF133" s="142"/>
      <c r="AG133" s="142" t="e">
        <f t="shared" ca="1" si="135"/>
        <v>#NAME?</v>
      </c>
      <c r="AH133" s="143" t="e">
        <f t="shared" ca="1" si="134"/>
        <v>#NAME?</v>
      </c>
      <c r="AI133" s="128"/>
      <c r="AJ133" s="142" t="e">
        <f t="shared" ca="1" si="73"/>
        <v>#NAME?</v>
      </c>
      <c r="AK133" s="142" t="e">
        <f ca="1">GetCtData("PKAMOUNT","AMOUNT",$AK$11:$AK$18,$B133:$D133,AK$19:AK$20,"#0")</f>
        <v>#NAME?</v>
      </c>
      <c r="AL133" s="143" t="e">
        <f t="shared" ca="1" si="144"/>
        <v>#NAME?</v>
      </c>
      <c r="AM133" s="122"/>
      <c r="AN133" s="142" t="e">
        <f ca="1">GetCtData("PKAMOUNT","AMOUNT",$AN$11:$AN$18,$B133:$D133,AN$19:AN$20,"#-2")</f>
        <v>#NAME?</v>
      </c>
      <c r="AO133" s="142" t="e">
        <f ca="1">GetCtData("PKAMOUNT","AMOUNT",$AO$11:$AO$18,$B133:$D133,AO$19:AO$20,"#-1")</f>
        <v>#NAME?</v>
      </c>
      <c r="AP133" s="122"/>
      <c r="AQ133" s="142" t="e">
        <f ca="1">GetCtData("PKAMOUNT","AMOUNT",$AQ$11:$AQ$18,$B133:$D133,AQ$19:AQ$20,"#0")</f>
        <v>#NAME?</v>
      </c>
      <c r="AR133" s="142" t="e">
        <f t="shared" ca="1" si="145"/>
        <v>#NAME?</v>
      </c>
      <c r="AS133" s="142"/>
      <c r="AT133" s="142" t="e">
        <f ca="1">GetCtData("PKAMOUNT","AMOUNT",AT$11:AT$18,$B133:$D133,AT$19:AT$20,"#0")</f>
        <v>#NAME?</v>
      </c>
      <c r="AU133" s="142" t="e">
        <f t="shared" ca="1" si="146"/>
        <v>#NAME?</v>
      </c>
      <c r="AV133" s="72"/>
      <c r="AW133" s="72" t="e">
        <f t="shared" ca="1" si="147"/>
        <v>#NAME?</v>
      </c>
      <c r="AX133" s="72" t="e">
        <f t="shared" ca="1" si="148"/>
        <v>#NAME?</v>
      </c>
      <c r="AY133" s="72"/>
      <c r="AZ133" s="72" t="e">
        <f t="shared" ca="1" si="149"/>
        <v>#NAME?</v>
      </c>
      <c r="BA133" s="72" t="e">
        <f t="shared" ca="1" si="150"/>
        <v>#NAME?</v>
      </c>
      <c r="BB133" s="72"/>
      <c r="BC133" s="72" t="e">
        <f t="shared" ca="1" si="151"/>
        <v>#NAME?</v>
      </c>
      <c r="BD133" s="72" t="e">
        <f t="shared" ca="1" si="75"/>
        <v>#NAME?</v>
      </c>
      <c r="BE133" s="72"/>
      <c r="BF133" s="72" t="e">
        <f t="shared" ca="1" si="152"/>
        <v>#NAME?</v>
      </c>
      <c r="BG133" s="72" t="e">
        <f t="shared" ca="1" si="76"/>
        <v>#NAME?</v>
      </c>
      <c r="BH133" s="72"/>
      <c r="BI133" s="72" t="e">
        <f t="shared" ca="1" si="153"/>
        <v>#NAME?</v>
      </c>
      <c r="BJ133" s="72" t="e">
        <f t="shared" ca="1" si="77"/>
        <v>#NAME?</v>
      </c>
      <c r="BK133" s="72"/>
      <c r="BL133" s="72" t="e">
        <f t="shared" ca="1" si="154"/>
        <v>#NAME?</v>
      </c>
      <c r="BM133" s="72" t="e">
        <f t="shared" ca="1" si="155"/>
        <v>#NAME?</v>
      </c>
      <c r="BN133" s="72"/>
      <c r="BO133" s="72" t="e">
        <f t="shared" ca="1" si="156"/>
        <v>#NAME?</v>
      </c>
      <c r="BP133" s="72" t="e">
        <f t="shared" ca="1" si="79"/>
        <v>#NAME?</v>
      </c>
      <c r="BQ133" s="72"/>
      <c r="BR133" s="72" t="e">
        <f t="shared" ca="1" si="157"/>
        <v>#NAME?</v>
      </c>
      <c r="BS133" s="72" t="e">
        <f ca="1">#REF!-BR133</f>
        <v>#REF!</v>
      </c>
    </row>
    <row r="134" spans="1:71" x14ac:dyDescent="0.2">
      <c r="A134" s="82" t="s">
        <v>243</v>
      </c>
      <c r="B134" s="82" t="s">
        <v>339</v>
      </c>
      <c r="D134" s="82" t="s">
        <v>172</v>
      </c>
      <c r="E134" s="74" t="e">
        <f ca="1">GetCtLabel(B134,"CURINIT(AC)!LDESC","#Advert/promotion")</f>
        <v>#NAME?</v>
      </c>
      <c r="F134" s="137">
        <v>47</v>
      </c>
      <c r="G134" s="138">
        <f>-7-5</f>
        <v>-12</v>
      </c>
      <c r="H134" s="137"/>
      <c r="I134" s="139"/>
      <c r="J134" s="139"/>
      <c r="K134" s="139">
        <v>-9</v>
      </c>
      <c r="L134" s="139"/>
      <c r="M134" s="139"/>
      <c r="N134" s="130"/>
      <c r="O134" s="140">
        <f t="shared" si="137"/>
        <v>26</v>
      </c>
      <c r="P134" s="141">
        <f t="shared" si="138"/>
        <v>9</v>
      </c>
      <c r="Q134" s="141">
        <f t="shared" si="138"/>
        <v>0</v>
      </c>
      <c r="R134" s="133" t="e">
        <f t="shared" ca="1" si="139"/>
        <v>#NAME?</v>
      </c>
      <c r="S134" s="133" t="e">
        <f t="shared" ca="1" si="140"/>
        <v>#NAME?</v>
      </c>
      <c r="T134" s="134" t="e">
        <f t="shared" ca="1" si="141"/>
        <v>#NAME?</v>
      </c>
      <c r="U134" s="134" t="e">
        <f t="shared" ca="1" si="142"/>
        <v>#NAME?</v>
      </c>
      <c r="V134" s="144"/>
      <c r="W134" s="142"/>
      <c r="X134" s="142"/>
      <c r="Y134" s="122"/>
      <c r="Z134" s="135">
        <f>20+5</f>
        <v>25</v>
      </c>
      <c r="AA134" s="135"/>
      <c r="AB134" s="135">
        <f t="shared" si="136"/>
        <v>25</v>
      </c>
      <c r="AC134" s="135">
        <f t="shared" si="143"/>
        <v>1</v>
      </c>
      <c r="AD134" s="122"/>
      <c r="AE134" s="142" t="e">
        <f ca="1">GetCtData("PKAMOUNT","AMOUNT",$AE$11:$AE$18,$B134:$D134,AE$19:AE$20,"#16")</f>
        <v>#NAME?</v>
      </c>
      <c r="AF134" s="142"/>
      <c r="AG134" s="142" t="e">
        <f t="shared" ca="1" si="135"/>
        <v>#NAME?</v>
      </c>
      <c r="AH134" s="143" t="e">
        <f t="shared" ca="1" si="134"/>
        <v>#NAME?</v>
      </c>
      <c r="AI134" s="128"/>
      <c r="AJ134" s="142" t="e">
        <f t="shared" ca="1" si="73"/>
        <v>#NAME?</v>
      </c>
      <c r="AK134" s="142" t="e">
        <f ca="1">GetCtData("PKAMOUNT","AMOUNT",$AK$11:$AK$18,$B134:$D134,AK$19:AK$20,"#-10")</f>
        <v>#NAME?</v>
      </c>
      <c r="AL134" s="143" t="e">
        <f t="shared" ca="1" si="144"/>
        <v>#NAME?</v>
      </c>
      <c r="AM134" s="122"/>
      <c r="AN134" s="142" t="e">
        <f ca="1">GetCtData("PKAMOUNT","AMOUNT",$AN$11:$AN$18,$B134:$D134,AN$19:AN$20,"#16")</f>
        <v>#NAME?</v>
      </c>
      <c r="AO134" s="142" t="e">
        <f ca="1">GetCtData("PKAMOUNT","AMOUNT",$AO$11:$AO$18,$B134:$D134,AO$19:AO$20,"#26")</f>
        <v>#NAME?</v>
      </c>
      <c r="AP134" s="122"/>
      <c r="AQ134" s="142" t="e">
        <f ca="1">GetCtData("PKAMOUNT","AMOUNT",$AQ$11:$AQ$18,$B134:$D134,AQ$19:AQ$20,"#14")</f>
        <v>#NAME?</v>
      </c>
      <c r="AR134" s="142" t="e">
        <f t="shared" ca="1" si="145"/>
        <v>#NAME?</v>
      </c>
      <c r="AS134" s="142"/>
      <c r="AT134" s="142" t="e">
        <f ca="1">GetCtData("PKAMOUNT","AMOUNT",AT$11:AT$18,$B134:$D134,AT$19:AT$20,"#39")</f>
        <v>#NAME?</v>
      </c>
      <c r="AU134" s="142" t="e">
        <f t="shared" ca="1" si="146"/>
        <v>#NAME?</v>
      </c>
      <c r="AV134" s="72"/>
      <c r="AW134" s="72" t="e">
        <f t="shared" ca="1" si="147"/>
        <v>#NAME?</v>
      </c>
      <c r="AX134" s="72" t="e">
        <f t="shared" ca="1" si="148"/>
        <v>#NAME?</v>
      </c>
      <c r="AY134" s="72"/>
      <c r="AZ134" s="72" t="e">
        <f t="shared" ca="1" si="149"/>
        <v>#NAME?</v>
      </c>
      <c r="BA134" s="72" t="e">
        <f t="shared" ca="1" si="150"/>
        <v>#NAME?</v>
      </c>
      <c r="BB134" s="72"/>
      <c r="BC134" s="72" t="e">
        <f t="shared" ca="1" si="151"/>
        <v>#NAME?</v>
      </c>
      <c r="BD134" s="72" t="e">
        <f t="shared" ca="1" si="75"/>
        <v>#NAME?</v>
      </c>
      <c r="BE134" s="72"/>
      <c r="BF134" s="72" t="e">
        <f t="shared" ca="1" si="152"/>
        <v>#NAME?</v>
      </c>
      <c r="BG134" s="72" t="e">
        <f t="shared" ca="1" si="76"/>
        <v>#NAME?</v>
      </c>
      <c r="BH134" s="72"/>
      <c r="BI134" s="72" t="e">
        <f t="shared" ca="1" si="153"/>
        <v>#NAME?</v>
      </c>
      <c r="BJ134" s="72" t="e">
        <f t="shared" ca="1" si="77"/>
        <v>#NAME?</v>
      </c>
      <c r="BK134" s="72"/>
      <c r="BL134" s="72" t="e">
        <f t="shared" ca="1" si="154"/>
        <v>#NAME?</v>
      </c>
      <c r="BM134" s="72" t="e">
        <f t="shared" ca="1" si="155"/>
        <v>#NAME?</v>
      </c>
      <c r="BN134" s="72"/>
      <c r="BO134" s="72" t="e">
        <f t="shared" ca="1" si="156"/>
        <v>#NAME?</v>
      </c>
      <c r="BP134" s="72" t="e">
        <f t="shared" ca="1" si="79"/>
        <v>#NAME?</v>
      </c>
      <c r="BQ134" s="72"/>
      <c r="BR134" s="72" t="e">
        <f t="shared" ca="1" si="157"/>
        <v>#NAME?</v>
      </c>
      <c r="BS134" s="72" t="e">
        <f ca="1">#REF!-BR134</f>
        <v>#REF!</v>
      </c>
    </row>
    <row r="135" spans="1:71" x14ac:dyDescent="0.2">
      <c r="A135" s="82" t="s">
        <v>243</v>
      </c>
      <c r="B135" s="82" t="s">
        <v>340</v>
      </c>
      <c r="D135" s="82" t="s">
        <v>172</v>
      </c>
      <c r="E135" s="74" t="e">
        <f ca="1">GetCtLabel(B135,"CURINIT(AC)!LDESC","#Bad debts")</f>
        <v>#NAME?</v>
      </c>
      <c r="F135" s="137"/>
      <c r="G135" s="138"/>
      <c r="H135" s="137"/>
      <c r="I135" s="139"/>
      <c r="J135" s="139"/>
      <c r="K135" s="139"/>
      <c r="L135" s="139"/>
      <c r="M135" s="139"/>
      <c r="N135" s="130"/>
      <c r="O135" s="140">
        <f t="shared" si="137"/>
        <v>0</v>
      </c>
      <c r="P135" s="141">
        <f t="shared" si="138"/>
        <v>0</v>
      </c>
      <c r="Q135" s="141">
        <f t="shared" si="138"/>
        <v>0</v>
      </c>
      <c r="R135" s="133" t="e">
        <f t="shared" ca="1" si="139"/>
        <v>#NAME?</v>
      </c>
      <c r="S135" s="133" t="e">
        <f t="shared" ca="1" si="140"/>
        <v>#NAME?</v>
      </c>
      <c r="T135" s="134" t="e">
        <f t="shared" ca="1" si="141"/>
        <v>#NAME?</v>
      </c>
      <c r="U135" s="134" t="e">
        <f t="shared" ca="1" si="142"/>
        <v>#NAME?</v>
      </c>
      <c r="V135" s="144"/>
      <c r="W135" s="142"/>
      <c r="X135" s="142"/>
      <c r="Y135" s="122"/>
      <c r="Z135" s="135"/>
      <c r="AA135" s="135"/>
      <c r="AB135" s="135">
        <f t="shared" si="136"/>
        <v>0</v>
      </c>
      <c r="AC135" s="135">
        <f t="shared" si="143"/>
        <v>0</v>
      </c>
      <c r="AD135" s="122"/>
      <c r="AE135" s="142" t="e">
        <f ca="1">GetCtData("PKAMOUNT","AMOUNT",$AE$11:$AE$18,$B135:$D135,AE$19:AE$20,"#0")</f>
        <v>#NAME?</v>
      </c>
      <c r="AF135" s="142"/>
      <c r="AG135" s="142" t="e">
        <f t="shared" ca="1" si="135"/>
        <v>#NAME?</v>
      </c>
      <c r="AH135" s="143" t="e">
        <f t="shared" ca="1" si="134"/>
        <v>#NAME?</v>
      </c>
      <c r="AI135" s="128"/>
      <c r="AJ135" s="142" t="e">
        <f t="shared" ca="1" si="73"/>
        <v>#NAME?</v>
      </c>
      <c r="AK135" s="142" t="e">
        <f ca="1">GetCtData("PKAMOUNT","AMOUNT",$AK$11:$AK$18,$B135:$D135,AK$19:AK$20,"#0")</f>
        <v>#NAME?</v>
      </c>
      <c r="AL135" s="143" t="e">
        <f t="shared" ca="1" si="144"/>
        <v>#NAME?</v>
      </c>
      <c r="AM135" s="122"/>
      <c r="AN135" s="142" t="e">
        <f ca="1">GetCtData("PKAMOUNT","AMOUNT",$AN$11:$AN$18,$B135:$D135,AN$19:AN$20,"#0")</f>
        <v>#NAME?</v>
      </c>
      <c r="AO135" s="142" t="e">
        <f ca="1">GetCtData("PKAMOUNT","AMOUNT",$AO$11:$AO$18,$B135:$D135,AO$19:AO$20,"#0")</f>
        <v>#NAME?</v>
      </c>
      <c r="AP135" s="122"/>
      <c r="AQ135" s="142" t="e">
        <f ca="1">GetCtData("PKAMOUNT","AMOUNT",$AQ$11:$AQ$18,$B135:$D135,AQ$19:AQ$20,"#0")</f>
        <v>#NAME?</v>
      </c>
      <c r="AR135" s="142" t="e">
        <f t="shared" ca="1" si="145"/>
        <v>#NAME?</v>
      </c>
      <c r="AS135" s="142"/>
      <c r="AT135" s="142" t="e">
        <f ca="1">GetCtData("PKAMOUNT","AMOUNT",AT$11:AT$18,$B135:$D135,AT$19:AT$20,"#0")</f>
        <v>#NAME?</v>
      </c>
      <c r="AU135" s="142" t="e">
        <f t="shared" ca="1" si="146"/>
        <v>#NAME?</v>
      </c>
      <c r="AV135" s="72"/>
      <c r="AW135" s="72" t="e">
        <f t="shared" ca="1" si="147"/>
        <v>#NAME?</v>
      </c>
      <c r="AX135" s="72" t="e">
        <f t="shared" ca="1" si="148"/>
        <v>#NAME?</v>
      </c>
      <c r="AY135" s="72"/>
      <c r="AZ135" s="72" t="e">
        <f t="shared" ca="1" si="149"/>
        <v>#NAME?</v>
      </c>
      <c r="BA135" s="72" t="e">
        <f t="shared" ca="1" si="150"/>
        <v>#NAME?</v>
      </c>
      <c r="BB135" s="72"/>
      <c r="BC135" s="72" t="e">
        <f t="shared" ca="1" si="151"/>
        <v>#NAME?</v>
      </c>
      <c r="BD135" s="72" t="e">
        <f t="shared" ca="1" si="75"/>
        <v>#NAME?</v>
      </c>
      <c r="BE135" s="72"/>
      <c r="BF135" s="72" t="e">
        <f t="shared" ca="1" si="152"/>
        <v>#NAME?</v>
      </c>
      <c r="BG135" s="72" t="e">
        <f t="shared" ca="1" si="76"/>
        <v>#NAME?</v>
      </c>
      <c r="BH135" s="72"/>
      <c r="BI135" s="72" t="e">
        <f t="shared" ca="1" si="153"/>
        <v>#NAME?</v>
      </c>
      <c r="BJ135" s="72" t="e">
        <f t="shared" ca="1" si="77"/>
        <v>#NAME?</v>
      </c>
      <c r="BK135" s="72"/>
      <c r="BL135" s="72" t="e">
        <f t="shared" ca="1" si="154"/>
        <v>#NAME?</v>
      </c>
      <c r="BM135" s="72" t="e">
        <f t="shared" ca="1" si="155"/>
        <v>#NAME?</v>
      </c>
      <c r="BN135" s="72"/>
      <c r="BO135" s="72" t="e">
        <f t="shared" ca="1" si="156"/>
        <v>#NAME?</v>
      </c>
      <c r="BP135" s="72" t="e">
        <f t="shared" ca="1" si="79"/>
        <v>#NAME?</v>
      </c>
      <c r="BQ135" s="72"/>
      <c r="BR135" s="72" t="e">
        <f t="shared" ca="1" si="157"/>
        <v>#NAME?</v>
      </c>
      <c r="BS135" s="72" t="e">
        <f ca="1">#REF!-BR135</f>
        <v>#REF!</v>
      </c>
    </row>
    <row r="136" spans="1:71" x14ac:dyDescent="0.2">
      <c r="A136" s="82" t="s">
        <v>243</v>
      </c>
      <c r="B136" s="82" t="s">
        <v>341</v>
      </c>
      <c r="D136" s="82" t="s">
        <v>172</v>
      </c>
      <c r="E136" s="74" t="e">
        <f ca="1">GetCtLabel(B136,"CURINIT(AC)!LDESC","#Accounts Receivable from 120 to 180 days")</f>
        <v>#NAME?</v>
      </c>
      <c r="F136" s="137"/>
      <c r="G136" s="138"/>
      <c r="H136" s="137"/>
      <c r="I136" s="139"/>
      <c r="J136" s="139"/>
      <c r="K136" s="139"/>
      <c r="L136" s="139"/>
      <c r="M136" s="139"/>
      <c r="N136" s="130"/>
      <c r="O136" s="140">
        <f t="shared" si="137"/>
        <v>0</v>
      </c>
      <c r="P136" s="141">
        <f t="shared" si="138"/>
        <v>0</v>
      </c>
      <c r="Q136" s="141">
        <f t="shared" si="138"/>
        <v>0</v>
      </c>
      <c r="R136" s="133" t="e">
        <f t="shared" ca="1" si="139"/>
        <v>#NAME?</v>
      </c>
      <c r="S136" s="133" t="e">
        <f t="shared" ca="1" si="140"/>
        <v>#NAME?</v>
      </c>
      <c r="T136" s="134" t="e">
        <f t="shared" ca="1" si="141"/>
        <v>#NAME?</v>
      </c>
      <c r="U136" s="134" t="e">
        <f t="shared" ca="1" si="142"/>
        <v>#NAME?</v>
      </c>
      <c r="V136" s="144"/>
      <c r="W136" s="142"/>
      <c r="X136" s="142"/>
      <c r="Y136" s="122"/>
      <c r="Z136" s="135"/>
      <c r="AA136" s="135"/>
      <c r="AB136" s="135">
        <f t="shared" si="136"/>
        <v>0</v>
      </c>
      <c r="AC136" s="135">
        <f t="shared" si="143"/>
        <v>0</v>
      </c>
      <c r="AD136" s="122"/>
      <c r="AE136" s="142" t="e">
        <f ca="1">GetCtData("PKAMOUNT","AMOUNT",$AE$11:$AE$18,$B136:$D136,AE$19:AE$20,"#0")</f>
        <v>#NAME?</v>
      </c>
      <c r="AF136" s="142"/>
      <c r="AG136" s="142" t="e">
        <f t="shared" ca="1" si="135"/>
        <v>#NAME?</v>
      </c>
      <c r="AH136" s="143" t="e">
        <f t="shared" ca="1" si="134"/>
        <v>#NAME?</v>
      </c>
      <c r="AI136" s="128"/>
      <c r="AJ136" s="142" t="e">
        <f t="shared" ca="1" si="73"/>
        <v>#NAME?</v>
      </c>
      <c r="AK136" s="142" t="e">
        <f ca="1">GetCtData("PKAMOUNT","AMOUNT",$AK$11:$AK$18,$B136:$D136,AK$19:AK$20,"#0")</f>
        <v>#NAME?</v>
      </c>
      <c r="AL136" s="143" t="e">
        <f t="shared" ca="1" si="144"/>
        <v>#NAME?</v>
      </c>
      <c r="AM136" s="122"/>
      <c r="AN136" s="142" t="e">
        <f ca="1">GetCtData("PKAMOUNT","AMOUNT",$AN$11:$AN$18,$B136:$D136,AN$19:AN$20,"#0")</f>
        <v>#NAME?</v>
      </c>
      <c r="AO136" s="142" t="e">
        <f ca="1">GetCtData("PKAMOUNT","AMOUNT",$AO$11:$AO$18,$B136:$D136,AO$19:AO$20,"#0")</f>
        <v>#NAME?</v>
      </c>
      <c r="AP136" s="122"/>
      <c r="AQ136" s="142" t="e">
        <f ca="1">GetCtData("PKAMOUNT","AMOUNT",$AQ$11:$AQ$18,$B136:$D136,AQ$19:AQ$20,"#0")</f>
        <v>#NAME?</v>
      </c>
      <c r="AR136" s="142" t="e">
        <f t="shared" ca="1" si="145"/>
        <v>#NAME?</v>
      </c>
      <c r="AS136" s="142"/>
      <c r="AT136" s="142" t="e">
        <f ca="1">GetCtData("PKAMOUNT","AMOUNT",AT$11:AT$18,$B136:$D136,AT$19:AT$20,"#0")</f>
        <v>#NAME?</v>
      </c>
      <c r="AU136" s="142" t="e">
        <f t="shared" ca="1" si="146"/>
        <v>#NAME?</v>
      </c>
      <c r="AV136" s="72"/>
      <c r="AW136" s="72" t="e">
        <f t="shared" ca="1" si="147"/>
        <v>#NAME?</v>
      </c>
      <c r="AX136" s="72" t="e">
        <f t="shared" ca="1" si="148"/>
        <v>#NAME?</v>
      </c>
      <c r="AY136" s="72"/>
      <c r="AZ136" s="72" t="e">
        <f t="shared" ca="1" si="149"/>
        <v>#NAME?</v>
      </c>
      <c r="BA136" s="72" t="e">
        <f t="shared" ca="1" si="150"/>
        <v>#NAME?</v>
      </c>
      <c r="BB136" s="72"/>
      <c r="BC136" s="72" t="e">
        <f t="shared" ca="1" si="151"/>
        <v>#NAME?</v>
      </c>
      <c r="BD136" s="72" t="e">
        <f t="shared" ca="1" si="75"/>
        <v>#NAME?</v>
      </c>
      <c r="BE136" s="72"/>
      <c r="BF136" s="72" t="e">
        <f t="shared" ca="1" si="152"/>
        <v>#NAME?</v>
      </c>
      <c r="BG136" s="72" t="e">
        <f t="shared" ca="1" si="76"/>
        <v>#NAME?</v>
      </c>
      <c r="BH136" s="72"/>
      <c r="BI136" s="72" t="e">
        <f t="shared" ca="1" si="153"/>
        <v>#NAME?</v>
      </c>
      <c r="BJ136" s="72" t="e">
        <f t="shared" ca="1" si="77"/>
        <v>#NAME?</v>
      </c>
      <c r="BK136" s="72"/>
      <c r="BL136" s="72" t="e">
        <f t="shared" ca="1" si="154"/>
        <v>#NAME?</v>
      </c>
      <c r="BM136" s="72" t="e">
        <f t="shared" ca="1" si="155"/>
        <v>#NAME?</v>
      </c>
      <c r="BN136" s="72"/>
      <c r="BO136" s="72" t="e">
        <f t="shared" ca="1" si="156"/>
        <v>#NAME?</v>
      </c>
      <c r="BP136" s="72" t="e">
        <f t="shared" ca="1" si="79"/>
        <v>#NAME?</v>
      </c>
      <c r="BQ136" s="72"/>
      <c r="BR136" s="72" t="e">
        <f t="shared" ca="1" si="157"/>
        <v>#NAME?</v>
      </c>
      <c r="BS136" s="72" t="e">
        <f ca="1">#REF!-BR136</f>
        <v>#REF!</v>
      </c>
    </row>
    <row r="137" spans="1:71" x14ac:dyDescent="0.2">
      <c r="A137" s="82" t="s">
        <v>243</v>
      </c>
      <c r="B137" s="82" t="s">
        <v>342</v>
      </c>
      <c r="D137" s="82" t="s">
        <v>172</v>
      </c>
      <c r="E137" s="74" t="e">
        <f ca="1">GetCtLabel(B137,"CURINIT(AC)!LDESC","#Accounts Receivable &gt; 180 days")</f>
        <v>#NAME?</v>
      </c>
      <c r="F137" s="137"/>
      <c r="G137" s="138"/>
      <c r="H137" s="137"/>
      <c r="I137" s="139"/>
      <c r="J137" s="139"/>
      <c r="K137" s="139"/>
      <c r="L137" s="139"/>
      <c r="M137" s="139"/>
      <c r="N137" s="130"/>
      <c r="O137" s="140">
        <f t="shared" si="137"/>
        <v>0</v>
      </c>
      <c r="P137" s="141">
        <f t="shared" si="138"/>
        <v>0</v>
      </c>
      <c r="Q137" s="141">
        <f t="shared" si="138"/>
        <v>0</v>
      </c>
      <c r="R137" s="133" t="e">
        <f t="shared" ca="1" si="139"/>
        <v>#NAME?</v>
      </c>
      <c r="S137" s="133" t="e">
        <f t="shared" ca="1" si="140"/>
        <v>#NAME?</v>
      </c>
      <c r="T137" s="134" t="e">
        <f t="shared" ca="1" si="141"/>
        <v>#NAME?</v>
      </c>
      <c r="U137" s="134" t="e">
        <f t="shared" ca="1" si="142"/>
        <v>#NAME?</v>
      </c>
      <c r="V137" s="144"/>
      <c r="W137" s="142"/>
      <c r="X137" s="142"/>
      <c r="Y137" s="122"/>
      <c r="Z137" s="135"/>
      <c r="AA137" s="135"/>
      <c r="AB137" s="135">
        <f t="shared" si="136"/>
        <v>0</v>
      </c>
      <c r="AC137" s="135">
        <f t="shared" si="143"/>
        <v>0</v>
      </c>
      <c r="AD137" s="122"/>
      <c r="AE137" s="142" t="e">
        <f ca="1">GetCtData("PKAMOUNT","AMOUNT",$AE$11:$AE$18,$B137:$D137,AE$19:AE$20,"#0")</f>
        <v>#NAME?</v>
      </c>
      <c r="AF137" s="142"/>
      <c r="AG137" s="142" t="e">
        <f t="shared" ca="1" si="135"/>
        <v>#NAME?</v>
      </c>
      <c r="AH137" s="143" t="e">
        <f t="shared" ca="1" si="134"/>
        <v>#NAME?</v>
      </c>
      <c r="AI137" s="128"/>
      <c r="AJ137" s="142" t="e">
        <f t="shared" ca="1" si="73"/>
        <v>#NAME?</v>
      </c>
      <c r="AK137" s="142" t="e">
        <f ca="1">GetCtData("PKAMOUNT","AMOUNT",$AK$11:$AK$18,$B137:$D137,AK$19:AK$20,"#")</f>
        <v>#NAME?</v>
      </c>
      <c r="AL137" s="143" t="e">
        <f t="shared" ca="1" si="144"/>
        <v>#NAME?</v>
      </c>
      <c r="AM137" s="122"/>
      <c r="AN137" s="142" t="e">
        <f ca="1">GetCtData("PKAMOUNT","AMOUNT",$AN$11:$AN$18,$B137:$D137,AN$19:AN$20,"#0")</f>
        <v>#NAME?</v>
      </c>
      <c r="AO137" s="142" t="e">
        <f ca="1">GetCtData("PKAMOUNT","AMOUNT",$AO$11:$AO$18,$B137:$D137,AO$19:AO$20,"#0")</f>
        <v>#NAME?</v>
      </c>
      <c r="AP137" s="122"/>
      <c r="AQ137" s="142" t="e">
        <f ca="1">GetCtData("PKAMOUNT","AMOUNT",$AQ$11:$AQ$18,$B137:$D137,AQ$19:AQ$20,"#")</f>
        <v>#NAME?</v>
      </c>
      <c r="AR137" s="142" t="e">
        <f t="shared" ca="1" si="145"/>
        <v>#NAME?</v>
      </c>
      <c r="AS137" s="142"/>
      <c r="AT137" s="142" t="e">
        <f ca="1">GetCtData("PKAMOUNT","AMOUNT",AT$11:AT$18,$B137:$D137,AT$19:AT$20,"#0")</f>
        <v>#NAME?</v>
      </c>
      <c r="AU137" s="142" t="e">
        <f t="shared" ca="1" si="146"/>
        <v>#NAME?</v>
      </c>
      <c r="AV137" s="72"/>
      <c r="AW137" s="72" t="e">
        <f t="shared" ca="1" si="147"/>
        <v>#NAME?</v>
      </c>
      <c r="AX137" s="72" t="e">
        <f t="shared" ca="1" si="148"/>
        <v>#NAME?</v>
      </c>
      <c r="AY137" s="72"/>
      <c r="AZ137" s="72" t="e">
        <f t="shared" ca="1" si="149"/>
        <v>#NAME?</v>
      </c>
      <c r="BA137" s="72" t="e">
        <f t="shared" ca="1" si="150"/>
        <v>#NAME?</v>
      </c>
      <c r="BB137" s="72"/>
      <c r="BC137" s="72" t="e">
        <f t="shared" ca="1" si="151"/>
        <v>#NAME?</v>
      </c>
      <c r="BD137" s="72" t="e">
        <f t="shared" ca="1" si="75"/>
        <v>#NAME?</v>
      </c>
      <c r="BE137" s="72"/>
      <c r="BF137" s="72" t="e">
        <f t="shared" ca="1" si="152"/>
        <v>#NAME?</v>
      </c>
      <c r="BG137" s="72" t="e">
        <f t="shared" ca="1" si="76"/>
        <v>#NAME?</v>
      </c>
      <c r="BH137" s="72"/>
      <c r="BI137" s="72" t="e">
        <f t="shared" ca="1" si="153"/>
        <v>#NAME?</v>
      </c>
      <c r="BJ137" s="72" t="e">
        <f t="shared" ca="1" si="77"/>
        <v>#NAME?</v>
      </c>
      <c r="BK137" s="72"/>
      <c r="BL137" s="72" t="e">
        <f t="shared" ca="1" si="154"/>
        <v>#NAME?</v>
      </c>
      <c r="BM137" s="72" t="e">
        <f t="shared" ca="1" si="155"/>
        <v>#NAME?</v>
      </c>
      <c r="BN137" s="72"/>
      <c r="BO137" s="72" t="e">
        <f t="shared" ca="1" si="156"/>
        <v>#NAME?</v>
      </c>
      <c r="BP137" s="72" t="e">
        <f t="shared" ca="1" si="79"/>
        <v>#NAME?</v>
      </c>
      <c r="BQ137" s="72"/>
      <c r="BR137" s="72" t="e">
        <f t="shared" ca="1" si="157"/>
        <v>#NAME?</v>
      </c>
      <c r="BS137" s="72" t="e">
        <f ca="1">#REF!-BR137</f>
        <v>#REF!</v>
      </c>
    </row>
    <row r="138" spans="1:71" x14ac:dyDescent="0.2">
      <c r="A138" s="82" t="s">
        <v>243</v>
      </c>
      <c r="B138" s="82" t="s">
        <v>343</v>
      </c>
      <c r="D138" s="82" t="s">
        <v>172</v>
      </c>
      <c r="E138" s="74" t="e">
        <f ca="1">GetCtLabel(B138,"CURINIT(AC)!LDESC","#WIP &gt; 180 days")</f>
        <v>#NAME?</v>
      </c>
      <c r="F138" s="137"/>
      <c r="G138" s="138"/>
      <c r="H138" s="137"/>
      <c r="I138" s="139"/>
      <c r="J138" s="139"/>
      <c r="K138" s="139"/>
      <c r="L138" s="139"/>
      <c r="M138" s="139"/>
      <c r="N138" s="130"/>
      <c r="O138" s="140">
        <f t="shared" si="137"/>
        <v>0</v>
      </c>
      <c r="P138" s="141">
        <f t="shared" si="138"/>
        <v>0</v>
      </c>
      <c r="Q138" s="141">
        <f t="shared" si="138"/>
        <v>0</v>
      </c>
      <c r="R138" s="133" t="e">
        <f t="shared" ca="1" si="139"/>
        <v>#NAME?</v>
      </c>
      <c r="S138" s="133" t="e">
        <f t="shared" ca="1" si="140"/>
        <v>#NAME?</v>
      </c>
      <c r="T138" s="134" t="e">
        <f t="shared" ca="1" si="141"/>
        <v>#NAME?</v>
      </c>
      <c r="U138" s="134" t="e">
        <f t="shared" ca="1" si="142"/>
        <v>#NAME?</v>
      </c>
      <c r="V138" s="144"/>
      <c r="W138" s="142"/>
      <c r="X138" s="142"/>
      <c r="Y138" s="122"/>
      <c r="Z138" s="135"/>
      <c r="AA138" s="135"/>
      <c r="AB138" s="135">
        <f t="shared" si="136"/>
        <v>0</v>
      </c>
      <c r="AC138" s="135">
        <f t="shared" si="143"/>
        <v>0</v>
      </c>
      <c r="AD138" s="122"/>
      <c r="AE138" s="142" t="e">
        <f ca="1">GetCtData("PKAMOUNT","AMOUNT",$AE$11:$AE$18,$B138:$D138,AE$19:AE$20,"#0")</f>
        <v>#NAME?</v>
      </c>
      <c r="AF138" s="142"/>
      <c r="AG138" s="142" t="e">
        <f t="shared" ca="1" si="135"/>
        <v>#NAME?</v>
      </c>
      <c r="AH138" s="143" t="e">
        <f t="shared" ca="1" si="134"/>
        <v>#NAME?</v>
      </c>
      <c r="AI138" s="128"/>
      <c r="AJ138" s="142" t="e">
        <f t="shared" ca="1" si="73"/>
        <v>#NAME?</v>
      </c>
      <c r="AK138" s="142" t="e">
        <f ca="1">GetCtData("PKAMOUNT","AMOUNT",$AK$11:$AK$18,$B138:$D138,AK$19:AK$20,"#")</f>
        <v>#NAME?</v>
      </c>
      <c r="AL138" s="143" t="e">
        <f t="shared" ca="1" si="144"/>
        <v>#NAME?</v>
      </c>
      <c r="AM138" s="122"/>
      <c r="AN138" s="142" t="e">
        <f ca="1">GetCtData("PKAMOUNT","AMOUNT",$AN$11:$AN$18,$B138:$D138,AN$19:AN$20,"#0")</f>
        <v>#NAME?</v>
      </c>
      <c r="AO138" s="142" t="e">
        <f ca="1">GetCtData("PKAMOUNT","AMOUNT",$AO$11:$AO$18,$B138:$D138,AO$19:AO$20,"#0")</f>
        <v>#NAME?</v>
      </c>
      <c r="AP138" s="122"/>
      <c r="AQ138" s="142" t="e">
        <f ca="1">GetCtData("PKAMOUNT","AMOUNT",$AQ$11:$AQ$18,$B138:$D138,AQ$19:AQ$20,"#")</f>
        <v>#NAME?</v>
      </c>
      <c r="AR138" s="142" t="e">
        <f t="shared" ca="1" si="145"/>
        <v>#NAME?</v>
      </c>
      <c r="AS138" s="142"/>
      <c r="AT138" s="142" t="e">
        <f ca="1">GetCtData("PKAMOUNT","AMOUNT",AT$11:AT$18,$B138:$D138,AT$19:AT$20,"#0")</f>
        <v>#NAME?</v>
      </c>
      <c r="AU138" s="142" t="e">
        <f t="shared" ca="1" si="146"/>
        <v>#NAME?</v>
      </c>
      <c r="AV138" s="72"/>
      <c r="AW138" s="72" t="e">
        <f t="shared" ca="1" si="147"/>
        <v>#NAME?</v>
      </c>
      <c r="AX138" s="72" t="e">
        <f t="shared" ca="1" si="148"/>
        <v>#NAME?</v>
      </c>
      <c r="AY138" s="72"/>
      <c r="AZ138" s="72" t="e">
        <f t="shared" ca="1" si="149"/>
        <v>#NAME?</v>
      </c>
      <c r="BA138" s="72" t="e">
        <f t="shared" ca="1" si="150"/>
        <v>#NAME?</v>
      </c>
      <c r="BB138" s="72"/>
      <c r="BC138" s="72" t="e">
        <f t="shared" ca="1" si="151"/>
        <v>#NAME?</v>
      </c>
      <c r="BD138" s="72" t="e">
        <f t="shared" ca="1" si="75"/>
        <v>#NAME?</v>
      </c>
      <c r="BE138" s="72"/>
      <c r="BF138" s="72" t="e">
        <f t="shared" ca="1" si="152"/>
        <v>#NAME?</v>
      </c>
      <c r="BG138" s="72" t="e">
        <f t="shared" ca="1" si="76"/>
        <v>#NAME?</v>
      </c>
      <c r="BH138" s="72"/>
      <c r="BI138" s="72" t="e">
        <f t="shared" ca="1" si="153"/>
        <v>#NAME?</v>
      </c>
      <c r="BJ138" s="72" t="e">
        <f t="shared" ca="1" si="77"/>
        <v>#NAME?</v>
      </c>
      <c r="BK138" s="72"/>
      <c r="BL138" s="72" t="e">
        <f t="shared" ca="1" si="154"/>
        <v>#NAME?</v>
      </c>
      <c r="BM138" s="72" t="e">
        <f t="shared" ca="1" si="155"/>
        <v>#NAME?</v>
      </c>
      <c r="BN138" s="72"/>
      <c r="BO138" s="72" t="e">
        <f t="shared" ca="1" si="156"/>
        <v>#NAME?</v>
      </c>
      <c r="BP138" s="72" t="e">
        <f t="shared" ca="1" si="79"/>
        <v>#NAME?</v>
      </c>
      <c r="BQ138" s="72"/>
      <c r="BR138" s="72" t="e">
        <f t="shared" ca="1" si="157"/>
        <v>#NAME?</v>
      </c>
      <c r="BS138" s="72" t="e">
        <f ca="1">#REF!-BR138</f>
        <v>#REF!</v>
      </c>
    </row>
    <row r="139" spans="1:71" x14ac:dyDescent="0.2">
      <c r="A139" s="82" t="s">
        <v>243</v>
      </c>
      <c r="B139" s="82" t="s">
        <v>344</v>
      </c>
      <c r="D139" s="82" t="s">
        <v>172</v>
      </c>
      <c r="E139" s="74" t="e">
        <f ca="1">GetCtLabel(B139,"CURINIT(AC)!LDESC","#Non-billable production")</f>
        <v>#NAME?</v>
      </c>
      <c r="F139" s="137"/>
      <c r="G139" s="138">
        <v>31</v>
      </c>
      <c r="H139" s="137"/>
      <c r="I139" s="139"/>
      <c r="J139" s="139"/>
      <c r="K139" s="139"/>
      <c r="L139" s="139"/>
      <c r="M139" s="139"/>
      <c r="N139" s="130"/>
      <c r="O139" s="140">
        <f t="shared" si="137"/>
        <v>31</v>
      </c>
      <c r="P139" s="141">
        <f t="shared" si="138"/>
        <v>0</v>
      </c>
      <c r="Q139" s="141">
        <f t="shared" si="138"/>
        <v>0</v>
      </c>
      <c r="R139" s="133" t="e">
        <f t="shared" ca="1" si="139"/>
        <v>#NAME?</v>
      </c>
      <c r="S139" s="133" t="e">
        <f t="shared" ca="1" si="140"/>
        <v>#NAME?</v>
      </c>
      <c r="T139" s="134" t="e">
        <f t="shared" ca="1" si="141"/>
        <v>#NAME?</v>
      </c>
      <c r="U139" s="134" t="e">
        <f t="shared" ca="1" si="142"/>
        <v>#NAME?</v>
      </c>
      <c r="V139" s="144"/>
      <c r="W139" s="142"/>
      <c r="X139" s="142"/>
      <c r="Y139" s="122"/>
      <c r="Z139" s="135">
        <f>12+2</f>
        <v>14</v>
      </c>
      <c r="AA139" s="135"/>
      <c r="AB139" s="135">
        <f t="shared" si="136"/>
        <v>14</v>
      </c>
      <c r="AC139" s="135">
        <f t="shared" si="143"/>
        <v>17</v>
      </c>
      <c r="AD139" s="122"/>
      <c r="AE139" s="142" t="e">
        <f ca="1">GetCtData("PKAMOUNT","AMOUNT",$AE$11:$AE$18,$B139:$D139,AE$19:AE$20,"#26")</f>
        <v>#NAME?</v>
      </c>
      <c r="AF139" s="142"/>
      <c r="AG139" s="142" t="e">
        <f t="shared" ca="1" si="135"/>
        <v>#NAME?</v>
      </c>
      <c r="AH139" s="175" t="e">
        <f t="shared" ca="1" si="134"/>
        <v>#NAME?</v>
      </c>
      <c r="AI139" s="128"/>
      <c r="AJ139" s="142" t="e">
        <f t="shared" ca="1" si="73"/>
        <v>#NAME?</v>
      </c>
      <c r="AK139" s="142" t="e">
        <f ca="1">GetCtData("PKAMOUNT","AMOUNT",$AK$11:$AK$18,$B139:$D139,AK$19:AK$20,"#4")</f>
        <v>#NAME?</v>
      </c>
      <c r="AL139" s="143" t="e">
        <f t="shared" ca="1" si="144"/>
        <v>#NAME?</v>
      </c>
      <c r="AM139" s="122"/>
      <c r="AN139" s="142" t="e">
        <f ca="1">GetCtData("PKAMOUNT","AMOUNT",$AN$11:$AN$18,$B139:$D139,AN$19:AN$20,"#5")</f>
        <v>#NAME?</v>
      </c>
      <c r="AO139" s="142" t="e">
        <f ca="1">GetCtData("PKAMOUNT","AMOUNT",$AO$11:$AO$18,$B139:$D139,AO$19:AO$20,"#22")</f>
        <v>#NAME?</v>
      </c>
      <c r="AP139" s="122"/>
      <c r="AQ139" s="142" t="e">
        <f ca="1">GetCtData("PKAMOUNT","AMOUNT",$AQ$11:$AQ$18,$B139:$D139,AQ$19:AQ$20,"#29")</f>
        <v>#NAME?</v>
      </c>
      <c r="AR139" s="142" t="e">
        <f t="shared" ca="1" si="145"/>
        <v>#NAME?</v>
      </c>
      <c r="AS139" s="142"/>
      <c r="AT139" s="142" t="e">
        <f ca="1">GetCtData("PKAMOUNT","AMOUNT",AT$11:AT$18,$B139:$D139,AT$19:AT$20,"#40")</f>
        <v>#NAME?</v>
      </c>
      <c r="AU139" s="142" t="e">
        <f t="shared" ca="1" si="146"/>
        <v>#NAME?</v>
      </c>
      <c r="AV139" s="72"/>
      <c r="AW139" s="72" t="e">
        <f t="shared" ca="1" si="147"/>
        <v>#NAME?</v>
      </c>
      <c r="AX139" s="72" t="e">
        <f t="shared" ca="1" si="148"/>
        <v>#NAME?</v>
      </c>
      <c r="AY139" s="72"/>
      <c r="AZ139" s="72" t="e">
        <f t="shared" ca="1" si="149"/>
        <v>#NAME?</v>
      </c>
      <c r="BA139" s="72" t="e">
        <f t="shared" ca="1" si="150"/>
        <v>#NAME?</v>
      </c>
      <c r="BB139" s="72"/>
      <c r="BC139" s="72" t="e">
        <f t="shared" ca="1" si="151"/>
        <v>#NAME?</v>
      </c>
      <c r="BD139" s="72" t="e">
        <f t="shared" ca="1" si="75"/>
        <v>#NAME?</v>
      </c>
      <c r="BE139" s="72"/>
      <c r="BF139" s="72" t="e">
        <f t="shared" ca="1" si="152"/>
        <v>#NAME?</v>
      </c>
      <c r="BG139" s="72" t="e">
        <f t="shared" ca="1" si="76"/>
        <v>#NAME?</v>
      </c>
      <c r="BH139" s="72"/>
      <c r="BI139" s="72" t="e">
        <f t="shared" ca="1" si="153"/>
        <v>#NAME?</v>
      </c>
      <c r="BJ139" s="72" t="e">
        <f t="shared" ca="1" si="77"/>
        <v>#NAME?</v>
      </c>
      <c r="BK139" s="72"/>
      <c r="BL139" s="72" t="e">
        <f t="shared" ca="1" si="154"/>
        <v>#NAME?</v>
      </c>
      <c r="BM139" s="72" t="e">
        <f t="shared" ca="1" si="155"/>
        <v>#NAME?</v>
      </c>
      <c r="BN139" s="72"/>
      <c r="BO139" s="72" t="e">
        <f t="shared" ca="1" si="156"/>
        <v>#NAME?</v>
      </c>
      <c r="BP139" s="72" t="e">
        <f t="shared" ca="1" si="79"/>
        <v>#NAME?</v>
      </c>
      <c r="BQ139" s="72"/>
      <c r="BR139" s="72" t="e">
        <f t="shared" ca="1" si="157"/>
        <v>#NAME?</v>
      </c>
      <c r="BS139" s="72" t="e">
        <f ca="1">#REF!-BR139</f>
        <v>#REF!</v>
      </c>
    </row>
    <row r="140" spans="1:71" outlineLevel="1" x14ac:dyDescent="0.2">
      <c r="A140" s="82" t="s">
        <v>243</v>
      </c>
      <c r="B140" s="82" t="s">
        <v>345</v>
      </c>
      <c r="D140" s="82" t="s">
        <v>172</v>
      </c>
      <c r="E140" s="74" t="e">
        <f ca="1">GetCtLabel(B140,"CURINIT(AC)!LDESC","#I/G media buying fees")</f>
        <v>#NAME?</v>
      </c>
      <c r="F140" s="137"/>
      <c r="G140" s="138"/>
      <c r="H140" s="137"/>
      <c r="I140" s="139"/>
      <c r="J140" s="139"/>
      <c r="K140" s="139"/>
      <c r="L140" s="139"/>
      <c r="M140" s="139"/>
      <c r="N140" s="130"/>
      <c r="O140" s="140">
        <f t="shared" si="137"/>
        <v>0</v>
      </c>
      <c r="P140" s="141">
        <f t="shared" si="138"/>
        <v>0</v>
      </c>
      <c r="Q140" s="141">
        <f t="shared" si="138"/>
        <v>0</v>
      </c>
      <c r="R140" s="133" t="e">
        <f t="shared" ca="1" si="139"/>
        <v>#NAME?</v>
      </c>
      <c r="S140" s="133" t="e">
        <f t="shared" ca="1" si="140"/>
        <v>#NAME?</v>
      </c>
      <c r="T140" s="134" t="e">
        <f t="shared" ca="1" si="141"/>
        <v>#NAME?</v>
      </c>
      <c r="U140" s="134" t="e">
        <f t="shared" ca="1" si="142"/>
        <v>#NAME?</v>
      </c>
      <c r="V140" s="144"/>
      <c r="W140" s="142"/>
      <c r="X140" s="142"/>
      <c r="Y140" s="122"/>
      <c r="Z140" s="135"/>
      <c r="AA140" s="135"/>
      <c r="AB140" s="135">
        <f t="shared" si="136"/>
        <v>0</v>
      </c>
      <c r="AC140" s="135">
        <f t="shared" si="143"/>
        <v>0</v>
      </c>
      <c r="AD140" s="122"/>
      <c r="AE140" s="142" t="e">
        <f ca="1">GetCtData("PKAMOUNT","AMOUNT",$AE$11:$AE$18,$B140:$D140,AE$19:AE$20,"#")</f>
        <v>#NAME?</v>
      </c>
      <c r="AF140" s="142"/>
      <c r="AG140" s="142" t="e">
        <f t="shared" ca="1" si="135"/>
        <v>#NAME?</v>
      </c>
      <c r="AH140" s="143" t="e">
        <f t="shared" ca="1" si="134"/>
        <v>#NAME?</v>
      </c>
      <c r="AI140" s="128"/>
      <c r="AJ140" s="142" t="e">
        <f t="shared" ca="1" si="73"/>
        <v>#NAME?</v>
      </c>
      <c r="AK140" s="142" t="e">
        <f ca="1">GetCtData("PKAMOUNT","AMOUNT",$AK$11:$AK$18,$B140:$D140,AK$19:AK$20,"#")</f>
        <v>#NAME?</v>
      </c>
      <c r="AL140" s="143" t="e">
        <f t="shared" ca="1" si="144"/>
        <v>#NAME?</v>
      </c>
      <c r="AM140" s="122"/>
      <c r="AN140" s="142" t="e">
        <f ca="1">GetCtData("PKAMOUNT","AMOUNT",$AN$11:$AN$18,$B140:$D140,AN$19:AN$20,"#")</f>
        <v>#NAME?</v>
      </c>
      <c r="AO140" s="142" t="e">
        <f ca="1">GetCtData("PKAMOUNT","AMOUNT",$AO$11:$AO$18,$B140:$D140,AO$19:AO$20,"#")</f>
        <v>#NAME?</v>
      </c>
      <c r="AP140" s="122"/>
      <c r="AQ140" s="142" t="e">
        <f ca="1">GetCtData("PKAMOUNT","AMOUNT",$AQ$11:$AQ$18,$B140:$D140,AQ$19:AQ$20,"#")</f>
        <v>#NAME?</v>
      </c>
      <c r="AR140" s="142" t="e">
        <f t="shared" ca="1" si="145"/>
        <v>#NAME?</v>
      </c>
      <c r="AS140" s="142"/>
      <c r="AT140" s="142" t="e">
        <f ca="1">GetCtData("PKAMOUNT","AMOUNT",AT$11:AT$18,$B140:$D140,AT$19:AT$20,"#")</f>
        <v>#NAME?</v>
      </c>
      <c r="AU140" s="142" t="e">
        <f t="shared" ca="1" si="146"/>
        <v>#NAME?</v>
      </c>
      <c r="AV140" s="72"/>
      <c r="AW140" s="72" t="e">
        <f t="shared" ca="1" si="147"/>
        <v>#NAME?</v>
      </c>
      <c r="AX140" s="72" t="e">
        <f t="shared" ca="1" si="148"/>
        <v>#NAME?</v>
      </c>
      <c r="AY140" s="72"/>
      <c r="AZ140" s="72" t="e">
        <f t="shared" ca="1" si="149"/>
        <v>#NAME?</v>
      </c>
      <c r="BA140" s="72" t="e">
        <f t="shared" ca="1" si="150"/>
        <v>#NAME?</v>
      </c>
      <c r="BB140" s="72"/>
      <c r="BC140" s="72" t="e">
        <f t="shared" ca="1" si="151"/>
        <v>#NAME?</v>
      </c>
      <c r="BD140" s="72" t="e">
        <f t="shared" ca="1" si="75"/>
        <v>#NAME?</v>
      </c>
      <c r="BE140" s="72"/>
      <c r="BF140" s="72" t="e">
        <f t="shared" ca="1" si="152"/>
        <v>#NAME?</v>
      </c>
      <c r="BG140" s="72" t="e">
        <f t="shared" ca="1" si="76"/>
        <v>#NAME?</v>
      </c>
      <c r="BH140" s="72"/>
      <c r="BI140" s="72" t="e">
        <f t="shared" ca="1" si="153"/>
        <v>#NAME?</v>
      </c>
      <c r="BJ140" s="72" t="e">
        <f t="shared" ca="1" si="77"/>
        <v>#NAME?</v>
      </c>
      <c r="BK140" s="72"/>
      <c r="BL140" s="72" t="e">
        <f t="shared" ca="1" si="154"/>
        <v>#NAME?</v>
      </c>
      <c r="BM140" s="72" t="e">
        <f t="shared" ca="1" si="155"/>
        <v>#NAME?</v>
      </c>
      <c r="BN140" s="72"/>
      <c r="BO140" s="72" t="e">
        <f t="shared" ca="1" si="156"/>
        <v>#NAME?</v>
      </c>
      <c r="BP140" s="72" t="e">
        <f t="shared" ca="1" si="79"/>
        <v>#NAME?</v>
      </c>
      <c r="BQ140" s="72"/>
      <c r="BR140" s="72" t="e">
        <f t="shared" ca="1" si="157"/>
        <v>#NAME?</v>
      </c>
      <c r="BS140" s="72" t="e">
        <f ca="1">#REF!-BR140</f>
        <v>#REF!</v>
      </c>
    </row>
    <row r="141" spans="1:71" outlineLevel="1" x14ac:dyDescent="0.2">
      <c r="A141" s="82" t="s">
        <v>243</v>
      </c>
      <c r="B141" s="82" t="s">
        <v>346</v>
      </c>
      <c r="D141" s="82" t="s">
        <v>172</v>
      </c>
      <c r="E141" s="74" t="e">
        <f ca="1">GetCtLabel(B141,"CURINIT(AC)!LDESC","#Amortisation of other intangible assets")</f>
        <v>#NAME?</v>
      </c>
      <c r="F141" s="137"/>
      <c r="G141" s="138"/>
      <c r="H141" s="137"/>
      <c r="I141" s="139"/>
      <c r="J141" s="139"/>
      <c r="K141" s="139"/>
      <c r="L141" s="139"/>
      <c r="M141" s="139"/>
      <c r="N141" s="130"/>
      <c r="O141" s="140">
        <f t="shared" si="137"/>
        <v>0</v>
      </c>
      <c r="P141" s="141">
        <f t="shared" si="138"/>
        <v>0</v>
      </c>
      <c r="Q141" s="141">
        <f t="shared" si="138"/>
        <v>0</v>
      </c>
      <c r="R141" s="133" t="e">
        <f t="shared" ca="1" si="139"/>
        <v>#NAME?</v>
      </c>
      <c r="S141" s="133" t="e">
        <f t="shared" ca="1" si="140"/>
        <v>#NAME?</v>
      </c>
      <c r="T141" s="134" t="e">
        <f t="shared" ca="1" si="141"/>
        <v>#NAME?</v>
      </c>
      <c r="U141" s="134" t="e">
        <f t="shared" ca="1" si="142"/>
        <v>#NAME?</v>
      </c>
      <c r="V141" s="144"/>
      <c r="W141" s="142"/>
      <c r="X141" s="142"/>
      <c r="Y141" s="122"/>
      <c r="Z141" s="135"/>
      <c r="AA141" s="135"/>
      <c r="AB141" s="135">
        <f t="shared" si="136"/>
        <v>0</v>
      </c>
      <c r="AC141" s="135">
        <f t="shared" si="143"/>
        <v>0</v>
      </c>
      <c r="AD141" s="122"/>
      <c r="AE141" s="142" t="e">
        <f ca="1">GetCtData("PKAMOUNT","AMOUNT",$AE$11:$AE$18,$B141:$D141,AE$19:AE$20,"#0")</f>
        <v>#NAME?</v>
      </c>
      <c r="AF141" s="142"/>
      <c r="AG141" s="142" t="e">
        <f t="shared" ca="1" si="135"/>
        <v>#NAME?</v>
      </c>
      <c r="AH141" s="143" t="e">
        <f t="shared" ca="1" si="134"/>
        <v>#NAME?</v>
      </c>
      <c r="AI141" s="128"/>
      <c r="AJ141" s="142" t="e">
        <f t="shared" ca="1" si="73"/>
        <v>#NAME?</v>
      </c>
      <c r="AK141" s="142" t="e">
        <f ca="1">GetCtData("PKAMOUNT","AMOUNT",$AK$11:$AK$18,$B141:$D141,AK$19:AK$20,"#0")</f>
        <v>#NAME?</v>
      </c>
      <c r="AL141" s="143" t="e">
        <f t="shared" ca="1" si="144"/>
        <v>#NAME?</v>
      </c>
      <c r="AM141" s="122"/>
      <c r="AN141" s="142" t="e">
        <f ca="1">GetCtData("PKAMOUNT","AMOUNT",$AN$11:$AN$18,$B141:$D141,AN$19:AN$20,"#0")</f>
        <v>#NAME?</v>
      </c>
      <c r="AO141" s="142" t="e">
        <f ca="1">GetCtData("PKAMOUNT","AMOUNT",$AO$11:$AO$18,$B141:$D141,AO$19:AO$20,"#0")</f>
        <v>#NAME?</v>
      </c>
      <c r="AP141" s="122"/>
      <c r="AQ141" s="142" t="e">
        <f ca="1">GetCtData("PKAMOUNT","AMOUNT",$AQ$11:$AQ$18,$B141:$D141,AQ$19:AQ$20,"#0")</f>
        <v>#NAME?</v>
      </c>
      <c r="AR141" s="142" t="e">
        <f t="shared" ca="1" si="145"/>
        <v>#NAME?</v>
      </c>
      <c r="AS141" s="142"/>
      <c r="AT141" s="142" t="e">
        <f ca="1">GetCtData("PKAMOUNT","AMOUNT",AT$11:AT$18,$B141:$D141,AT$19:AT$20,"#0")</f>
        <v>#NAME?</v>
      </c>
      <c r="AU141" s="142" t="e">
        <f t="shared" ca="1" si="146"/>
        <v>#NAME?</v>
      </c>
      <c r="AV141" s="72"/>
      <c r="AW141" s="72" t="e">
        <f t="shared" ca="1" si="147"/>
        <v>#NAME?</v>
      </c>
      <c r="AX141" s="72" t="e">
        <f t="shared" ca="1" si="148"/>
        <v>#NAME?</v>
      </c>
      <c r="AY141" s="72"/>
      <c r="AZ141" s="72" t="e">
        <f t="shared" ca="1" si="149"/>
        <v>#NAME?</v>
      </c>
      <c r="BA141" s="72" t="e">
        <f t="shared" ca="1" si="150"/>
        <v>#NAME?</v>
      </c>
      <c r="BB141" s="72"/>
      <c r="BC141" s="72" t="e">
        <f t="shared" ca="1" si="151"/>
        <v>#NAME?</v>
      </c>
      <c r="BD141" s="72" t="e">
        <f t="shared" ca="1" si="75"/>
        <v>#NAME?</v>
      </c>
      <c r="BE141" s="72"/>
      <c r="BF141" s="72" t="e">
        <f t="shared" ca="1" si="152"/>
        <v>#NAME?</v>
      </c>
      <c r="BG141" s="72" t="e">
        <f t="shared" ca="1" si="76"/>
        <v>#NAME?</v>
      </c>
      <c r="BH141" s="72"/>
      <c r="BI141" s="72" t="e">
        <f t="shared" ca="1" si="153"/>
        <v>#NAME?</v>
      </c>
      <c r="BJ141" s="72" t="e">
        <f t="shared" ca="1" si="77"/>
        <v>#NAME?</v>
      </c>
      <c r="BK141" s="72"/>
      <c r="BL141" s="72" t="e">
        <f t="shared" ca="1" si="154"/>
        <v>#NAME?</v>
      </c>
      <c r="BM141" s="72" t="e">
        <f t="shared" ca="1" si="155"/>
        <v>#NAME?</v>
      </c>
      <c r="BN141" s="72"/>
      <c r="BO141" s="72" t="e">
        <f t="shared" ca="1" si="156"/>
        <v>#NAME?</v>
      </c>
      <c r="BP141" s="72" t="e">
        <f t="shared" ca="1" si="79"/>
        <v>#NAME?</v>
      </c>
      <c r="BQ141" s="72"/>
      <c r="BR141" s="72" t="e">
        <f t="shared" ca="1" si="157"/>
        <v>#NAME?</v>
      </c>
      <c r="BS141" s="72" t="e">
        <f ca="1">#REF!-BR141</f>
        <v>#REF!</v>
      </c>
    </row>
    <row r="142" spans="1:71" outlineLevel="1" x14ac:dyDescent="0.2">
      <c r="A142" s="82" t="s">
        <v>243</v>
      </c>
      <c r="B142" s="82" t="s">
        <v>347</v>
      </c>
      <c r="D142" s="82" t="s">
        <v>172</v>
      </c>
      <c r="E142" s="74" t="e">
        <f ca="1">GetCtLabel(B142,"CURINIT(AC)!LDESC","#BRANDZ recharge")</f>
        <v>#NAME?</v>
      </c>
      <c r="F142" s="137"/>
      <c r="G142" s="138"/>
      <c r="H142" s="137"/>
      <c r="I142" s="139"/>
      <c r="J142" s="139"/>
      <c r="K142" s="139"/>
      <c r="L142" s="139"/>
      <c r="M142" s="139"/>
      <c r="N142" s="130"/>
      <c r="O142" s="140">
        <f t="shared" si="137"/>
        <v>0</v>
      </c>
      <c r="P142" s="141">
        <f t="shared" si="138"/>
        <v>0</v>
      </c>
      <c r="Q142" s="141">
        <f t="shared" si="138"/>
        <v>0</v>
      </c>
      <c r="R142" s="133" t="e">
        <f t="shared" ca="1" si="139"/>
        <v>#NAME?</v>
      </c>
      <c r="S142" s="133" t="e">
        <f t="shared" ca="1" si="140"/>
        <v>#NAME?</v>
      </c>
      <c r="T142" s="134" t="e">
        <f t="shared" ca="1" si="141"/>
        <v>#NAME?</v>
      </c>
      <c r="U142" s="134" t="e">
        <f t="shared" ca="1" si="142"/>
        <v>#NAME?</v>
      </c>
      <c r="V142" s="144"/>
      <c r="W142" s="142"/>
      <c r="X142" s="142"/>
      <c r="Y142" s="122"/>
      <c r="Z142" s="135"/>
      <c r="AA142" s="135"/>
      <c r="AB142" s="135">
        <f t="shared" si="136"/>
        <v>0</v>
      </c>
      <c r="AC142" s="135">
        <f t="shared" si="143"/>
        <v>0</v>
      </c>
      <c r="AD142" s="122"/>
      <c r="AE142" s="142" t="e">
        <f ca="1">GetCtData("PKAMOUNT","AMOUNT",$AE$11:$AE$18,$B142:$D142,AE$19:AE$20,"#")</f>
        <v>#NAME?</v>
      </c>
      <c r="AF142" s="142"/>
      <c r="AG142" s="142" t="e">
        <f t="shared" ca="1" si="135"/>
        <v>#NAME?</v>
      </c>
      <c r="AH142" s="143" t="e">
        <f t="shared" ca="1" si="134"/>
        <v>#NAME?</v>
      </c>
      <c r="AI142" s="128"/>
      <c r="AJ142" s="142" t="e">
        <f t="shared" ca="1" si="73"/>
        <v>#NAME?</v>
      </c>
      <c r="AK142" s="142" t="e">
        <f ca="1">GetCtData("PKAMOUNT","AMOUNT",$AK$11:$AK$18,$B142:$D142,AK$19:AK$20,"#")</f>
        <v>#NAME?</v>
      </c>
      <c r="AL142" s="143" t="e">
        <f t="shared" ca="1" si="144"/>
        <v>#NAME?</v>
      </c>
      <c r="AM142" s="122"/>
      <c r="AN142" s="142" t="e">
        <f ca="1">GetCtData("PKAMOUNT","AMOUNT",$AN$11:$AN$18,$B142:$D142,AN$19:AN$20,"#")</f>
        <v>#NAME?</v>
      </c>
      <c r="AO142" s="142" t="e">
        <f ca="1">GetCtData("PKAMOUNT","AMOUNT",$AO$11:$AO$18,$B142:$D142,AO$19:AO$20,"#")</f>
        <v>#NAME?</v>
      </c>
      <c r="AP142" s="122"/>
      <c r="AQ142" s="142" t="e">
        <f ca="1">GetCtData("PKAMOUNT","AMOUNT",$AQ$11:$AQ$18,$B142:$D142,AQ$19:AQ$20,"#")</f>
        <v>#NAME?</v>
      </c>
      <c r="AR142" s="142" t="e">
        <f t="shared" ca="1" si="145"/>
        <v>#NAME?</v>
      </c>
      <c r="AS142" s="142"/>
      <c r="AT142" s="142" t="e">
        <f ca="1">GetCtData("PKAMOUNT","AMOUNT",AT$11:AT$18,$B142:$D142,AT$19:AT$20,"#")</f>
        <v>#NAME?</v>
      </c>
      <c r="AU142" s="142" t="e">
        <f t="shared" ca="1" si="146"/>
        <v>#NAME?</v>
      </c>
      <c r="AV142" s="72"/>
      <c r="AW142" s="72" t="e">
        <f t="shared" ca="1" si="147"/>
        <v>#NAME?</v>
      </c>
      <c r="AX142" s="72" t="e">
        <f t="shared" ca="1" si="148"/>
        <v>#NAME?</v>
      </c>
      <c r="AY142" s="72"/>
      <c r="AZ142" s="72" t="e">
        <f t="shared" ca="1" si="149"/>
        <v>#NAME?</v>
      </c>
      <c r="BA142" s="72" t="e">
        <f t="shared" ca="1" si="150"/>
        <v>#NAME?</v>
      </c>
      <c r="BB142" s="72"/>
      <c r="BC142" s="72" t="e">
        <f t="shared" ca="1" si="151"/>
        <v>#NAME?</v>
      </c>
      <c r="BD142" s="72" t="e">
        <f t="shared" ca="1" si="75"/>
        <v>#NAME?</v>
      </c>
      <c r="BE142" s="72"/>
      <c r="BF142" s="72" t="e">
        <f t="shared" ca="1" si="152"/>
        <v>#NAME?</v>
      </c>
      <c r="BG142" s="72" t="e">
        <f t="shared" ca="1" si="76"/>
        <v>#NAME?</v>
      </c>
      <c r="BH142" s="72"/>
      <c r="BI142" s="72" t="e">
        <f t="shared" ca="1" si="153"/>
        <v>#NAME?</v>
      </c>
      <c r="BJ142" s="72" t="e">
        <f t="shared" ca="1" si="77"/>
        <v>#NAME?</v>
      </c>
      <c r="BK142" s="72"/>
      <c r="BL142" s="72" t="e">
        <f t="shared" ca="1" si="154"/>
        <v>#NAME?</v>
      </c>
      <c r="BM142" s="72" t="e">
        <f t="shared" ca="1" si="155"/>
        <v>#NAME?</v>
      </c>
      <c r="BN142" s="72"/>
      <c r="BO142" s="72" t="e">
        <f t="shared" ca="1" si="156"/>
        <v>#NAME?</v>
      </c>
      <c r="BP142" s="72" t="e">
        <f t="shared" ca="1" si="79"/>
        <v>#NAME?</v>
      </c>
      <c r="BQ142" s="72"/>
      <c r="BR142" s="72" t="e">
        <f t="shared" ca="1" si="157"/>
        <v>#NAME?</v>
      </c>
      <c r="BS142" s="72" t="e">
        <f ca="1">#REF!-BR142</f>
        <v>#REF!</v>
      </c>
    </row>
    <row r="143" spans="1:71" outlineLevel="1" x14ac:dyDescent="0.2">
      <c r="A143" s="82" t="s">
        <v>243</v>
      </c>
      <c r="B143" s="82" t="s">
        <v>348</v>
      </c>
      <c r="D143" s="82" t="s">
        <v>172</v>
      </c>
      <c r="E143" s="74" t="e">
        <f ca="1">GetCtLabel(B143,"CURINIT(AC)!LDESC","#BAV recharge")</f>
        <v>#NAME?</v>
      </c>
      <c r="F143" s="137"/>
      <c r="G143" s="138"/>
      <c r="H143" s="137"/>
      <c r="I143" s="139"/>
      <c r="J143" s="139"/>
      <c r="K143" s="139"/>
      <c r="L143" s="139"/>
      <c r="M143" s="139"/>
      <c r="N143" s="130"/>
      <c r="O143" s="140">
        <f t="shared" si="137"/>
        <v>0</v>
      </c>
      <c r="P143" s="141">
        <f t="shared" si="138"/>
        <v>0</v>
      </c>
      <c r="Q143" s="141">
        <f t="shared" si="138"/>
        <v>0</v>
      </c>
      <c r="R143" s="133" t="e">
        <f t="shared" ca="1" si="139"/>
        <v>#NAME?</v>
      </c>
      <c r="S143" s="133" t="e">
        <f t="shared" ca="1" si="140"/>
        <v>#NAME?</v>
      </c>
      <c r="T143" s="134" t="e">
        <f t="shared" ca="1" si="141"/>
        <v>#NAME?</v>
      </c>
      <c r="U143" s="134" t="e">
        <f t="shared" ca="1" si="142"/>
        <v>#NAME?</v>
      </c>
      <c r="V143" s="144"/>
      <c r="W143" s="142"/>
      <c r="X143" s="142"/>
      <c r="Y143" s="122"/>
      <c r="Z143" s="135"/>
      <c r="AA143" s="135"/>
      <c r="AB143" s="135">
        <f t="shared" si="136"/>
        <v>0</v>
      </c>
      <c r="AC143" s="135">
        <f t="shared" si="143"/>
        <v>0</v>
      </c>
      <c r="AD143" s="122"/>
      <c r="AE143" s="142" t="e">
        <f ca="1">GetCtData("PKAMOUNT","AMOUNT",$AE$11:$AE$18,$B143:$D143,AE$19:AE$20,"#")</f>
        <v>#NAME?</v>
      </c>
      <c r="AF143" s="142"/>
      <c r="AG143" s="142" t="e">
        <f t="shared" ca="1" si="135"/>
        <v>#NAME?</v>
      </c>
      <c r="AH143" s="143" t="e">
        <f t="shared" ca="1" si="134"/>
        <v>#NAME?</v>
      </c>
      <c r="AI143" s="128"/>
      <c r="AJ143" s="142" t="e">
        <f t="shared" ca="1" si="73"/>
        <v>#NAME?</v>
      </c>
      <c r="AK143" s="142" t="e">
        <f ca="1">GetCtData("PKAMOUNT","AMOUNT",$AK$11:$AK$18,$B143:$D143,AK$19:AK$20,"#")</f>
        <v>#NAME?</v>
      </c>
      <c r="AL143" s="143" t="e">
        <f t="shared" ca="1" si="144"/>
        <v>#NAME?</v>
      </c>
      <c r="AM143" s="122"/>
      <c r="AN143" s="142" t="e">
        <f ca="1">GetCtData("PKAMOUNT","AMOUNT",$AN$11:$AN$18,$B143:$D143,AN$19:AN$20,"#")</f>
        <v>#NAME?</v>
      </c>
      <c r="AO143" s="142" t="e">
        <f ca="1">GetCtData("PKAMOUNT","AMOUNT",$AO$11:$AO$18,$B143:$D143,AO$19:AO$20,"#")</f>
        <v>#NAME?</v>
      </c>
      <c r="AP143" s="122"/>
      <c r="AQ143" s="142" t="e">
        <f ca="1">GetCtData("PKAMOUNT","AMOUNT",$AQ$11:$AQ$18,$B143:$D143,AQ$19:AQ$20,"#")</f>
        <v>#NAME?</v>
      </c>
      <c r="AR143" s="142" t="e">
        <f t="shared" ca="1" si="145"/>
        <v>#NAME?</v>
      </c>
      <c r="AS143" s="142"/>
      <c r="AT143" s="142" t="e">
        <f ca="1">GetCtData("PKAMOUNT","AMOUNT",AT$11:AT$18,$B143:$D143,AT$19:AT$20,"#")</f>
        <v>#NAME?</v>
      </c>
      <c r="AU143" s="142" t="e">
        <f t="shared" ca="1" si="146"/>
        <v>#NAME?</v>
      </c>
      <c r="AV143" s="72"/>
      <c r="AW143" s="72" t="e">
        <f t="shared" ca="1" si="147"/>
        <v>#NAME?</v>
      </c>
      <c r="AX143" s="72" t="e">
        <f t="shared" ca="1" si="148"/>
        <v>#NAME?</v>
      </c>
      <c r="AY143" s="72"/>
      <c r="AZ143" s="72" t="e">
        <f t="shared" ca="1" si="149"/>
        <v>#NAME?</v>
      </c>
      <c r="BA143" s="72" t="e">
        <f t="shared" ca="1" si="150"/>
        <v>#NAME?</v>
      </c>
      <c r="BB143" s="72"/>
      <c r="BC143" s="72" t="e">
        <f t="shared" ca="1" si="151"/>
        <v>#NAME?</v>
      </c>
      <c r="BD143" s="72" t="e">
        <f t="shared" ca="1" si="75"/>
        <v>#NAME?</v>
      </c>
      <c r="BE143" s="72"/>
      <c r="BF143" s="72" t="e">
        <f t="shared" ca="1" si="152"/>
        <v>#NAME?</v>
      </c>
      <c r="BG143" s="72" t="e">
        <f t="shared" ca="1" si="76"/>
        <v>#NAME?</v>
      </c>
      <c r="BH143" s="72"/>
      <c r="BI143" s="72" t="e">
        <f t="shared" ca="1" si="153"/>
        <v>#NAME?</v>
      </c>
      <c r="BJ143" s="72" t="e">
        <f t="shared" ca="1" si="77"/>
        <v>#NAME?</v>
      </c>
      <c r="BK143" s="72"/>
      <c r="BL143" s="72" t="e">
        <f t="shared" ca="1" si="154"/>
        <v>#NAME?</v>
      </c>
      <c r="BM143" s="72" t="e">
        <f t="shared" ca="1" si="155"/>
        <v>#NAME?</v>
      </c>
      <c r="BN143" s="72"/>
      <c r="BO143" s="72" t="e">
        <f t="shared" ca="1" si="156"/>
        <v>#NAME?</v>
      </c>
      <c r="BP143" s="72" t="e">
        <f t="shared" ca="1" si="79"/>
        <v>#NAME?</v>
      </c>
      <c r="BQ143" s="72"/>
      <c r="BR143" s="72" t="e">
        <f t="shared" ca="1" si="157"/>
        <v>#NAME?</v>
      </c>
      <c r="BS143" s="72" t="e">
        <f ca="1">#REF!-BR143</f>
        <v>#REF!</v>
      </c>
    </row>
    <row r="144" spans="1:71" outlineLevel="1" x14ac:dyDescent="0.2">
      <c r="A144" s="82" t="s">
        <v>243</v>
      </c>
      <c r="B144" s="82" t="s">
        <v>349</v>
      </c>
      <c r="D144" s="82" t="s">
        <v>172</v>
      </c>
      <c r="E144" s="74" t="e">
        <f ca="1">GetCtLabel(B144,"CURINIT(AC)!LDESC","#Royalties")</f>
        <v>#NAME?</v>
      </c>
      <c r="F144" s="137"/>
      <c r="G144" s="138"/>
      <c r="H144" s="137"/>
      <c r="I144" s="139"/>
      <c r="J144" s="139"/>
      <c r="K144" s="139"/>
      <c r="L144" s="139"/>
      <c r="M144" s="139"/>
      <c r="N144" s="130"/>
      <c r="O144" s="140">
        <f t="shared" si="137"/>
        <v>0</v>
      </c>
      <c r="P144" s="141">
        <f t="shared" si="138"/>
        <v>0</v>
      </c>
      <c r="Q144" s="141">
        <f t="shared" si="138"/>
        <v>0</v>
      </c>
      <c r="R144" s="133" t="e">
        <f t="shared" ca="1" si="139"/>
        <v>#NAME?</v>
      </c>
      <c r="S144" s="133" t="e">
        <f t="shared" ca="1" si="140"/>
        <v>#NAME?</v>
      </c>
      <c r="T144" s="134" t="e">
        <f t="shared" ca="1" si="141"/>
        <v>#NAME?</v>
      </c>
      <c r="U144" s="134" t="e">
        <f t="shared" ca="1" si="142"/>
        <v>#NAME?</v>
      </c>
      <c r="V144" s="144"/>
      <c r="W144" s="142"/>
      <c r="X144" s="142"/>
      <c r="Y144" s="122"/>
      <c r="Z144" s="135"/>
      <c r="AA144" s="135"/>
      <c r="AB144" s="135">
        <f t="shared" si="136"/>
        <v>0</v>
      </c>
      <c r="AC144" s="135">
        <f t="shared" si="143"/>
        <v>0</v>
      </c>
      <c r="AD144" s="122"/>
      <c r="AE144" s="142" t="e">
        <f ca="1">GetCtData("PKAMOUNT","AMOUNT",$AE$11:$AE$18,$B144:$D144,AE$19:AE$20,"#0")</f>
        <v>#NAME?</v>
      </c>
      <c r="AF144" s="142"/>
      <c r="AG144" s="142" t="e">
        <f t="shared" ca="1" si="135"/>
        <v>#NAME?</v>
      </c>
      <c r="AH144" s="143" t="e">
        <f t="shared" ca="1" si="134"/>
        <v>#NAME?</v>
      </c>
      <c r="AI144" s="128"/>
      <c r="AJ144" s="142" t="e">
        <f t="shared" ca="1" si="73"/>
        <v>#NAME?</v>
      </c>
      <c r="AK144" s="142" t="e">
        <f ca="1">GetCtData("PKAMOUNT","AMOUNT",$AK$11:$AK$18,$B144:$D144,AK$19:AK$20,"#0")</f>
        <v>#NAME?</v>
      </c>
      <c r="AL144" s="143" t="e">
        <f t="shared" ca="1" si="144"/>
        <v>#NAME?</v>
      </c>
      <c r="AM144" s="122"/>
      <c r="AN144" s="142" t="e">
        <f ca="1">GetCtData("PKAMOUNT","AMOUNT",$AN$11:$AN$18,$B144:$D144,AN$19:AN$20,"#0")</f>
        <v>#NAME?</v>
      </c>
      <c r="AO144" s="142" t="e">
        <f ca="1">GetCtData("PKAMOUNT","AMOUNT",$AO$11:$AO$18,$B144:$D144,AO$19:AO$20,"#0")</f>
        <v>#NAME?</v>
      </c>
      <c r="AP144" s="122"/>
      <c r="AQ144" s="142" t="e">
        <f ca="1">GetCtData("PKAMOUNT","AMOUNT",$AQ$11:$AQ$18,$B144:$D144,AQ$19:AQ$20,"#0")</f>
        <v>#NAME?</v>
      </c>
      <c r="AR144" s="142" t="e">
        <f t="shared" ca="1" si="145"/>
        <v>#NAME?</v>
      </c>
      <c r="AS144" s="142"/>
      <c r="AT144" s="142" t="e">
        <f ca="1">GetCtData("PKAMOUNT","AMOUNT",AT$11:AT$18,$B144:$D144,AT$19:AT$20,"#0")</f>
        <v>#NAME?</v>
      </c>
      <c r="AU144" s="142" t="e">
        <f t="shared" ca="1" si="146"/>
        <v>#NAME?</v>
      </c>
      <c r="AV144" s="72"/>
      <c r="AW144" s="72" t="e">
        <f t="shared" ca="1" si="147"/>
        <v>#NAME?</v>
      </c>
      <c r="AX144" s="72" t="e">
        <f t="shared" ca="1" si="148"/>
        <v>#NAME?</v>
      </c>
      <c r="AY144" s="72"/>
      <c r="AZ144" s="72" t="e">
        <f t="shared" ca="1" si="149"/>
        <v>#NAME?</v>
      </c>
      <c r="BA144" s="72" t="e">
        <f t="shared" ca="1" si="150"/>
        <v>#NAME?</v>
      </c>
      <c r="BB144" s="72"/>
      <c r="BC144" s="72" t="e">
        <f t="shared" ca="1" si="151"/>
        <v>#NAME?</v>
      </c>
      <c r="BD144" s="72" t="e">
        <f t="shared" ca="1" si="75"/>
        <v>#NAME?</v>
      </c>
      <c r="BE144" s="72"/>
      <c r="BF144" s="72" t="e">
        <f t="shared" ca="1" si="152"/>
        <v>#NAME?</v>
      </c>
      <c r="BG144" s="72" t="e">
        <f t="shared" ca="1" si="76"/>
        <v>#NAME?</v>
      </c>
      <c r="BH144" s="72"/>
      <c r="BI144" s="72" t="e">
        <f t="shared" ca="1" si="153"/>
        <v>#NAME?</v>
      </c>
      <c r="BJ144" s="72" t="e">
        <f t="shared" ca="1" si="77"/>
        <v>#NAME?</v>
      </c>
      <c r="BK144" s="72"/>
      <c r="BL144" s="72" t="e">
        <f t="shared" ca="1" si="154"/>
        <v>#NAME?</v>
      </c>
      <c r="BM144" s="72" t="e">
        <f t="shared" ca="1" si="155"/>
        <v>#NAME?</v>
      </c>
      <c r="BN144" s="72"/>
      <c r="BO144" s="72" t="e">
        <f t="shared" ca="1" si="156"/>
        <v>#NAME?</v>
      </c>
      <c r="BP144" s="72" t="e">
        <f t="shared" ca="1" si="79"/>
        <v>#NAME?</v>
      </c>
      <c r="BQ144" s="72"/>
      <c r="BR144" s="72" t="e">
        <f t="shared" ca="1" si="157"/>
        <v>#NAME?</v>
      </c>
      <c r="BS144" s="72" t="e">
        <f ca="1">#REF!-BR144</f>
        <v>#REF!</v>
      </c>
    </row>
    <row r="145" spans="1:71" outlineLevel="1" x14ac:dyDescent="0.2">
      <c r="A145" s="82" t="s">
        <v>243</v>
      </c>
      <c r="B145" s="82" t="s">
        <v>350</v>
      </c>
      <c r="D145" s="82" t="s">
        <v>172</v>
      </c>
      <c r="E145" s="74" t="e">
        <f ca="1">GetCtLabel(B145,"CURINIT(AC)!LDESC","#Corporate membership subscriptions")</f>
        <v>#NAME?</v>
      </c>
      <c r="F145" s="137"/>
      <c r="G145" s="138"/>
      <c r="H145" s="137"/>
      <c r="I145" s="139"/>
      <c r="J145" s="139"/>
      <c r="K145" s="139"/>
      <c r="L145" s="139"/>
      <c r="M145" s="139"/>
      <c r="N145" s="130"/>
      <c r="O145" s="140">
        <f t="shared" si="137"/>
        <v>0</v>
      </c>
      <c r="P145" s="141">
        <f t="shared" si="138"/>
        <v>0</v>
      </c>
      <c r="Q145" s="141">
        <f t="shared" si="138"/>
        <v>0</v>
      </c>
      <c r="R145" s="133" t="e">
        <f t="shared" ca="1" si="139"/>
        <v>#NAME?</v>
      </c>
      <c r="S145" s="133" t="e">
        <f t="shared" ca="1" si="140"/>
        <v>#NAME?</v>
      </c>
      <c r="T145" s="134" t="e">
        <f t="shared" ca="1" si="141"/>
        <v>#NAME?</v>
      </c>
      <c r="U145" s="134" t="e">
        <f t="shared" ca="1" si="142"/>
        <v>#NAME?</v>
      </c>
      <c r="V145" s="144"/>
      <c r="W145" s="142"/>
      <c r="X145" s="142"/>
      <c r="Y145" s="122"/>
      <c r="Z145" s="135"/>
      <c r="AA145" s="135"/>
      <c r="AB145" s="135">
        <f t="shared" si="136"/>
        <v>0</v>
      </c>
      <c r="AC145" s="135">
        <f t="shared" si="143"/>
        <v>0</v>
      </c>
      <c r="AD145" s="122"/>
      <c r="AE145" s="142" t="e">
        <f ca="1">GetCtData("PKAMOUNT","AMOUNT",$AE$11:$AE$18,$B145:$D145,AE$19:AE$20,"#0")</f>
        <v>#NAME?</v>
      </c>
      <c r="AF145" s="142"/>
      <c r="AG145" s="142" t="e">
        <f t="shared" ca="1" si="135"/>
        <v>#NAME?</v>
      </c>
      <c r="AH145" s="143" t="e">
        <f t="shared" ca="1" si="134"/>
        <v>#NAME?</v>
      </c>
      <c r="AI145" s="128"/>
      <c r="AJ145" s="142" t="e">
        <f t="shared" ca="1" si="73"/>
        <v>#NAME?</v>
      </c>
      <c r="AK145" s="142" t="e">
        <f ca="1">GetCtData("PKAMOUNT","AMOUNT",$AK$11:$AK$18,$B145:$D145,AK$19:AK$20,"#0")</f>
        <v>#NAME?</v>
      </c>
      <c r="AL145" s="143" t="e">
        <f t="shared" ca="1" si="144"/>
        <v>#NAME?</v>
      </c>
      <c r="AM145" s="122"/>
      <c r="AN145" s="142" t="e">
        <f ca="1">GetCtData("PKAMOUNT","AMOUNT",$AN$11:$AN$18,$B145:$D145,AN$19:AN$20,"#0")</f>
        <v>#NAME?</v>
      </c>
      <c r="AO145" s="142" t="e">
        <f ca="1">GetCtData("PKAMOUNT","AMOUNT",$AO$11:$AO$18,$B145:$D145,AO$19:AO$20,"#0")</f>
        <v>#NAME?</v>
      </c>
      <c r="AP145" s="122"/>
      <c r="AQ145" s="142" t="e">
        <f ca="1">GetCtData("PKAMOUNT","AMOUNT",$AQ$11:$AQ$18,$B145:$D145,AQ$19:AQ$20,"#0")</f>
        <v>#NAME?</v>
      </c>
      <c r="AR145" s="142" t="e">
        <f t="shared" ca="1" si="145"/>
        <v>#NAME?</v>
      </c>
      <c r="AS145" s="142"/>
      <c r="AT145" s="142" t="e">
        <f ca="1">GetCtData("PKAMOUNT","AMOUNT",AT$11:AT$18,$B145:$D145,AT$19:AT$20,"#0")</f>
        <v>#NAME?</v>
      </c>
      <c r="AU145" s="142" t="e">
        <f t="shared" ca="1" si="146"/>
        <v>#NAME?</v>
      </c>
      <c r="AV145" s="72"/>
      <c r="AW145" s="72" t="e">
        <f t="shared" ca="1" si="147"/>
        <v>#NAME?</v>
      </c>
      <c r="AX145" s="72" t="e">
        <f t="shared" ca="1" si="148"/>
        <v>#NAME?</v>
      </c>
      <c r="AY145" s="72"/>
      <c r="AZ145" s="72" t="e">
        <f t="shared" ca="1" si="149"/>
        <v>#NAME?</v>
      </c>
      <c r="BA145" s="72" t="e">
        <f t="shared" ca="1" si="150"/>
        <v>#NAME?</v>
      </c>
      <c r="BB145" s="72"/>
      <c r="BC145" s="72" t="e">
        <f t="shared" ca="1" si="151"/>
        <v>#NAME?</v>
      </c>
      <c r="BD145" s="72" t="e">
        <f t="shared" ca="1" si="75"/>
        <v>#NAME?</v>
      </c>
      <c r="BE145" s="72"/>
      <c r="BF145" s="72" t="e">
        <f t="shared" ca="1" si="152"/>
        <v>#NAME?</v>
      </c>
      <c r="BG145" s="72" t="e">
        <f t="shared" ca="1" si="76"/>
        <v>#NAME?</v>
      </c>
      <c r="BH145" s="72"/>
      <c r="BI145" s="72" t="e">
        <f t="shared" ca="1" si="153"/>
        <v>#NAME?</v>
      </c>
      <c r="BJ145" s="72" t="e">
        <f t="shared" ca="1" si="77"/>
        <v>#NAME?</v>
      </c>
      <c r="BK145" s="72"/>
      <c r="BL145" s="72" t="e">
        <f t="shared" ca="1" si="154"/>
        <v>#NAME?</v>
      </c>
      <c r="BM145" s="72" t="e">
        <f t="shared" ca="1" si="155"/>
        <v>#NAME?</v>
      </c>
      <c r="BN145" s="72"/>
      <c r="BO145" s="72" t="e">
        <f t="shared" ca="1" si="156"/>
        <v>#NAME?</v>
      </c>
      <c r="BP145" s="72" t="e">
        <f t="shared" ca="1" si="79"/>
        <v>#NAME?</v>
      </c>
      <c r="BQ145" s="72"/>
      <c r="BR145" s="72" t="e">
        <f t="shared" ca="1" si="157"/>
        <v>#NAME?</v>
      </c>
      <c r="BS145" s="72" t="e">
        <f ca="1">#REF!-BR145</f>
        <v>#REF!</v>
      </c>
    </row>
    <row r="146" spans="1:71" outlineLevel="1" x14ac:dyDescent="0.2">
      <c r="A146" s="82" t="s">
        <v>243</v>
      </c>
      <c r="B146" s="82" t="s">
        <v>351</v>
      </c>
      <c r="D146" s="82" t="s">
        <v>172</v>
      </c>
      <c r="E146" s="74" t="e">
        <f ca="1">GetCtLabel(B146,"CURINIT(AC)!LDESC","#Panel development")</f>
        <v>#NAME?</v>
      </c>
      <c r="F146" s="137"/>
      <c r="G146" s="138"/>
      <c r="H146" s="137"/>
      <c r="I146" s="139"/>
      <c r="J146" s="139"/>
      <c r="K146" s="139"/>
      <c r="L146" s="139"/>
      <c r="M146" s="139"/>
      <c r="N146" s="130"/>
      <c r="O146" s="140">
        <f t="shared" si="137"/>
        <v>0</v>
      </c>
      <c r="P146" s="141">
        <f t="shared" si="138"/>
        <v>0</v>
      </c>
      <c r="Q146" s="141">
        <f t="shared" si="138"/>
        <v>0</v>
      </c>
      <c r="R146" s="133" t="e">
        <f t="shared" ca="1" si="139"/>
        <v>#NAME?</v>
      </c>
      <c r="S146" s="133" t="e">
        <f t="shared" ca="1" si="140"/>
        <v>#NAME?</v>
      </c>
      <c r="T146" s="134" t="e">
        <f t="shared" ca="1" si="141"/>
        <v>#NAME?</v>
      </c>
      <c r="U146" s="134" t="e">
        <f t="shared" ca="1" si="142"/>
        <v>#NAME?</v>
      </c>
      <c r="V146" s="144"/>
      <c r="W146" s="142"/>
      <c r="X146" s="142"/>
      <c r="Y146" s="122"/>
      <c r="Z146" s="135"/>
      <c r="AA146" s="135"/>
      <c r="AB146" s="135">
        <f t="shared" si="136"/>
        <v>0</v>
      </c>
      <c r="AC146" s="135">
        <f t="shared" si="143"/>
        <v>0</v>
      </c>
      <c r="AD146" s="122"/>
      <c r="AE146" s="142" t="e">
        <f ca="1">GetCtData("PKAMOUNT","AMOUNT",$AE$11:$AE$18,$B146:$D146,AE$19:AE$20,"#0")</f>
        <v>#NAME?</v>
      </c>
      <c r="AF146" s="142"/>
      <c r="AG146" s="142" t="e">
        <f t="shared" ca="1" si="135"/>
        <v>#NAME?</v>
      </c>
      <c r="AH146" s="143" t="e">
        <f t="shared" ca="1" si="134"/>
        <v>#NAME?</v>
      </c>
      <c r="AI146" s="128"/>
      <c r="AJ146" s="142" t="e">
        <f t="shared" ca="1" si="73"/>
        <v>#NAME?</v>
      </c>
      <c r="AK146" s="142" t="e">
        <f ca="1">GetCtData("PKAMOUNT","AMOUNT",$AK$11:$AK$18,$B146:$D146,AK$19:AK$20,"#0")</f>
        <v>#NAME?</v>
      </c>
      <c r="AL146" s="143" t="e">
        <f t="shared" ca="1" si="144"/>
        <v>#NAME?</v>
      </c>
      <c r="AM146" s="122"/>
      <c r="AN146" s="142" t="e">
        <f ca="1">GetCtData("PKAMOUNT","AMOUNT",$AN$11:$AN$18,$B146:$D146,AN$19:AN$20,"#0")</f>
        <v>#NAME?</v>
      </c>
      <c r="AO146" s="142" t="e">
        <f ca="1">GetCtData("PKAMOUNT","AMOUNT",$AO$11:$AO$18,$B146:$D146,AO$19:AO$20,"#0")</f>
        <v>#NAME?</v>
      </c>
      <c r="AP146" s="122"/>
      <c r="AQ146" s="142" t="e">
        <f ca="1">GetCtData("PKAMOUNT","AMOUNT",$AQ$11:$AQ$18,$B146:$D146,AQ$19:AQ$20,"#0")</f>
        <v>#NAME?</v>
      </c>
      <c r="AR146" s="142" t="e">
        <f t="shared" ca="1" si="145"/>
        <v>#NAME?</v>
      </c>
      <c r="AS146" s="142"/>
      <c r="AT146" s="142" t="e">
        <f ca="1">GetCtData("PKAMOUNT","AMOUNT",AT$11:AT$18,$B146:$D146,AT$19:AT$20,"#0")</f>
        <v>#NAME?</v>
      </c>
      <c r="AU146" s="142" t="e">
        <f t="shared" ca="1" si="146"/>
        <v>#NAME?</v>
      </c>
      <c r="AV146" s="72"/>
      <c r="AW146" s="72" t="e">
        <f t="shared" ca="1" si="147"/>
        <v>#NAME?</v>
      </c>
      <c r="AX146" s="72" t="e">
        <f t="shared" ca="1" si="148"/>
        <v>#NAME?</v>
      </c>
      <c r="AY146" s="72"/>
      <c r="AZ146" s="72" t="e">
        <f t="shared" ca="1" si="149"/>
        <v>#NAME?</v>
      </c>
      <c r="BA146" s="72" t="e">
        <f t="shared" ca="1" si="150"/>
        <v>#NAME?</v>
      </c>
      <c r="BB146" s="72"/>
      <c r="BC146" s="72" t="e">
        <f t="shared" ca="1" si="151"/>
        <v>#NAME?</v>
      </c>
      <c r="BD146" s="72" t="e">
        <f t="shared" ca="1" si="75"/>
        <v>#NAME?</v>
      </c>
      <c r="BE146" s="72"/>
      <c r="BF146" s="72" t="e">
        <f t="shared" ca="1" si="152"/>
        <v>#NAME?</v>
      </c>
      <c r="BG146" s="72" t="e">
        <f t="shared" ca="1" si="76"/>
        <v>#NAME?</v>
      </c>
      <c r="BH146" s="72"/>
      <c r="BI146" s="72" t="e">
        <f t="shared" ca="1" si="153"/>
        <v>#NAME?</v>
      </c>
      <c r="BJ146" s="72" t="e">
        <f t="shared" ca="1" si="77"/>
        <v>#NAME?</v>
      </c>
      <c r="BK146" s="72"/>
      <c r="BL146" s="72" t="e">
        <f t="shared" ca="1" si="154"/>
        <v>#NAME?</v>
      </c>
      <c r="BM146" s="72" t="e">
        <f t="shared" ca="1" si="155"/>
        <v>#NAME?</v>
      </c>
      <c r="BN146" s="72"/>
      <c r="BO146" s="72" t="e">
        <f t="shared" ca="1" si="156"/>
        <v>#NAME?</v>
      </c>
      <c r="BP146" s="72" t="e">
        <f t="shared" ca="1" si="79"/>
        <v>#NAME?</v>
      </c>
      <c r="BQ146" s="72"/>
      <c r="BR146" s="72" t="e">
        <f t="shared" ca="1" si="157"/>
        <v>#NAME?</v>
      </c>
      <c r="BS146" s="72" t="e">
        <f ca="1">#REF!-BR146</f>
        <v>#REF!</v>
      </c>
    </row>
    <row r="147" spans="1:71" outlineLevel="1" x14ac:dyDescent="0.2">
      <c r="A147" s="82" t="s">
        <v>243</v>
      </c>
      <c r="B147" s="82" t="s">
        <v>352</v>
      </c>
      <c r="D147" s="82" t="s">
        <v>172</v>
      </c>
      <c r="E147" s="74" t="e">
        <f ca="1">GetCtLabel(B147,"CURINIT(AC)!LDESC","#Website development")</f>
        <v>#NAME?</v>
      </c>
      <c r="F147" s="137"/>
      <c r="G147" s="138"/>
      <c r="H147" s="137"/>
      <c r="I147" s="139"/>
      <c r="J147" s="139"/>
      <c r="K147" s="139"/>
      <c r="L147" s="139"/>
      <c r="M147" s="139"/>
      <c r="N147" s="130"/>
      <c r="O147" s="140">
        <f t="shared" si="137"/>
        <v>0</v>
      </c>
      <c r="P147" s="141">
        <f t="shared" si="138"/>
        <v>0</v>
      </c>
      <c r="Q147" s="141">
        <f t="shared" si="138"/>
        <v>0</v>
      </c>
      <c r="R147" s="133" t="e">
        <f t="shared" ca="1" si="139"/>
        <v>#NAME?</v>
      </c>
      <c r="S147" s="133" t="e">
        <f t="shared" ca="1" si="140"/>
        <v>#NAME?</v>
      </c>
      <c r="T147" s="134" t="e">
        <f t="shared" ca="1" si="141"/>
        <v>#NAME?</v>
      </c>
      <c r="U147" s="134" t="e">
        <f t="shared" ca="1" si="142"/>
        <v>#NAME?</v>
      </c>
      <c r="V147" s="144"/>
      <c r="W147" s="142"/>
      <c r="X147" s="142"/>
      <c r="Y147" s="122"/>
      <c r="Z147" s="135"/>
      <c r="AA147" s="135"/>
      <c r="AB147" s="135">
        <f t="shared" si="136"/>
        <v>0</v>
      </c>
      <c r="AC147" s="135">
        <f t="shared" si="143"/>
        <v>0</v>
      </c>
      <c r="AD147" s="122"/>
      <c r="AE147" s="142" t="e">
        <f ca="1">GetCtData("PKAMOUNT","AMOUNT",$AE$11:$AE$18,$B147:$D147,AE$19:AE$20,"#0")</f>
        <v>#NAME?</v>
      </c>
      <c r="AF147" s="142"/>
      <c r="AG147" s="142" t="e">
        <f t="shared" ca="1" si="135"/>
        <v>#NAME?</v>
      </c>
      <c r="AH147" s="143" t="e">
        <f t="shared" ca="1" si="134"/>
        <v>#NAME?</v>
      </c>
      <c r="AI147" s="128"/>
      <c r="AJ147" s="142" t="e">
        <f t="shared" ca="1" si="73"/>
        <v>#NAME?</v>
      </c>
      <c r="AK147" s="142" t="e">
        <f ca="1">GetCtData("PKAMOUNT","AMOUNT",$AK$11:$AK$18,$B147:$D147,AK$19:AK$20,"#0")</f>
        <v>#NAME?</v>
      </c>
      <c r="AL147" s="143" t="e">
        <f t="shared" ca="1" si="144"/>
        <v>#NAME?</v>
      </c>
      <c r="AM147" s="122"/>
      <c r="AN147" s="142" t="e">
        <f ca="1">GetCtData("PKAMOUNT","AMOUNT",$AN$11:$AN$18,$B147:$D147,AN$19:AN$20,"#0")</f>
        <v>#NAME?</v>
      </c>
      <c r="AO147" s="142" t="e">
        <f ca="1">GetCtData("PKAMOUNT","AMOUNT",$AO$11:$AO$18,$B147:$D147,AO$19:AO$20,"#0")</f>
        <v>#NAME?</v>
      </c>
      <c r="AP147" s="122"/>
      <c r="AQ147" s="142" t="e">
        <f ca="1">GetCtData("PKAMOUNT","AMOUNT",$AQ$11:$AQ$18,$B147:$D147,AQ$19:AQ$20,"#0")</f>
        <v>#NAME?</v>
      </c>
      <c r="AR147" s="142" t="e">
        <f t="shared" ca="1" si="145"/>
        <v>#NAME?</v>
      </c>
      <c r="AS147" s="142"/>
      <c r="AT147" s="142" t="e">
        <f ca="1">GetCtData("PKAMOUNT","AMOUNT",AT$11:AT$18,$B147:$D147,AT$19:AT$20,"#0")</f>
        <v>#NAME?</v>
      </c>
      <c r="AU147" s="142" t="e">
        <f t="shared" ca="1" si="146"/>
        <v>#NAME?</v>
      </c>
      <c r="AV147" s="72"/>
      <c r="AW147" s="72" t="e">
        <f t="shared" ca="1" si="147"/>
        <v>#NAME?</v>
      </c>
      <c r="AX147" s="72" t="e">
        <f t="shared" ca="1" si="148"/>
        <v>#NAME?</v>
      </c>
      <c r="AY147" s="72"/>
      <c r="AZ147" s="72" t="e">
        <f t="shared" ca="1" si="149"/>
        <v>#NAME?</v>
      </c>
      <c r="BA147" s="72" t="e">
        <f t="shared" ca="1" si="150"/>
        <v>#NAME?</v>
      </c>
      <c r="BB147" s="72"/>
      <c r="BC147" s="72" t="e">
        <f t="shared" ca="1" si="151"/>
        <v>#NAME?</v>
      </c>
      <c r="BD147" s="72" t="e">
        <f t="shared" ca="1" si="75"/>
        <v>#NAME?</v>
      </c>
      <c r="BE147" s="72"/>
      <c r="BF147" s="72" t="e">
        <f t="shared" ca="1" si="152"/>
        <v>#NAME?</v>
      </c>
      <c r="BG147" s="72" t="e">
        <f t="shared" ca="1" si="76"/>
        <v>#NAME?</v>
      </c>
      <c r="BH147" s="72"/>
      <c r="BI147" s="72" t="e">
        <f t="shared" ca="1" si="153"/>
        <v>#NAME?</v>
      </c>
      <c r="BJ147" s="72" t="e">
        <f t="shared" ca="1" si="77"/>
        <v>#NAME?</v>
      </c>
      <c r="BK147" s="72"/>
      <c r="BL147" s="72" t="e">
        <f t="shared" ca="1" si="154"/>
        <v>#NAME?</v>
      </c>
      <c r="BM147" s="72" t="e">
        <f t="shared" ca="1" si="155"/>
        <v>#NAME?</v>
      </c>
      <c r="BN147" s="72"/>
      <c r="BO147" s="72" t="e">
        <f t="shared" ca="1" si="156"/>
        <v>#NAME?</v>
      </c>
      <c r="BP147" s="72" t="e">
        <f t="shared" ca="1" si="79"/>
        <v>#NAME?</v>
      </c>
      <c r="BQ147" s="72"/>
      <c r="BR147" s="72" t="e">
        <f t="shared" ca="1" si="157"/>
        <v>#NAME?</v>
      </c>
      <c r="BS147" s="72" t="e">
        <f ca="1">#REF!-BR147</f>
        <v>#REF!</v>
      </c>
    </row>
    <row r="148" spans="1:71" x14ac:dyDescent="0.2">
      <c r="A148" s="82" t="s">
        <v>243</v>
      </c>
      <c r="B148" s="82" t="s">
        <v>353</v>
      </c>
      <c r="C148" s="82" t="s">
        <v>354</v>
      </c>
      <c r="D148" s="82" t="s">
        <v>172</v>
      </c>
      <c r="E148" s="74" t="e">
        <f ca="1">GetCtLabel(B148,"CURINIT(AC)!LDESC","#Other Shows")</f>
        <v>#NAME?</v>
      </c>
      <c r="F148" s="137"/>
      <c r="G148" s="138">
        <v>2</v>
      </c>
      <c r="H148" s="137"/>
      <c r="I148" s="139"/>
      <c r="J148" s="139"/>
      <c r="K148" s="139"/>
      <c r="L148" s="139"/>
      <c r="M148" s="139"/>
      <c r="N148" s="130"/>
      <c r="O148" s="140">
        <f t="shared" si="137"/>
        <v>2</v>
      </c>
      <c r="P148" s="141">
        <f t="shared" si="138"/>
        <v>0</v>
      </c>
      <c r="Q148" s="141">
        <f t="shared" si="138"/>
        <v>0</v>
      </c>
      <c r="R148" s="133" t="e">
        <f t="shared" ca="1" si="139"/>
        <v>#NAME?</v>
      </c>
      <c r="S148" s="133" t="e">
        <f t="shared" ca="1" si="140"/>
        <v>#NAME?</v>
      </c>
      <c r="T148" s="134" t="e">
        <f t="shared" ca="1" si="141"/>
        <v>#NAME?</v>
      </c>
      <c r="U148" s="134" t="e">
        <f t="shared" ca="1" si="142"/>
        <v>#NAME?</v>
      </c>
      <c r="V148" s="144"/>
      <c r="W148" s="142"/>
      <c r="X148" s="142"/>
      <c r="Y148" s="122"/>
      <c r="Z148" s="135"/>
      <c r="AA148" s="135"/>
      <c r="AB148" s="135">
        <f t="shared" si="136"/>
        <v>0</v>
      </c>
      <c r="AC148" s="135">
        <f t="shared" si="143"/>
        <v>2</v>
      </c>
      <c r="AD148" s="122"/>
      <c r="AE148" s="142" t="e">
        <f ca="1">GetCtData("PKAMOUNT","AMOUNT",$AE$11:$AE$18,$B148:$D148,AE$19:AE$20,"#4")</f>
        <v>#NAME?</v>
      </c>
      <c r="AF148" s="142"/>
      <c r="AG148" s="142" t="e">
        <f t="shared" ca="1" si="135"/>
        <v>#NAME?</v>
      </c>
      <c r="AH148" s="143" t="e">
        <f t="shared" ca="1" si="134"/>
        <v>#NAME?</v>
      </c>
      <c r="AI148" s="128"/>
      <c r="AJ148" s="142" t="e">
        <f t="shared" ca="1" si="73"/>
        <v>#NAME?</v>
      </c>
      <c r="AK148" s="142" t="e">
        <f ca="1">GetCtData("PKAMOUNT","AMOUNT",$AK$11:$AK$18,$B148:$D148,AK$19:AK$20,"#2")</f>
        <v>#NAME?</v>
      </c>
      <c r="AL148" s="143" t="e">
        <f t="shared" ca="1" si="144"/>
        <v>#NAME?</v>
      </c>
      <c r="AM148" s="122"/>
      <c r="AN148" s="142" t="e">
        <f ca="1">GetCtData("PKAMOUNT","AMOUNT",$AN$11:$AN$18,$B148:$D148,AN$19:AN$20,"#-7")</f>
        <v>#NAME?</v>
      </c>
      <c r="AO148" s="142" t="e">
        <f ca="1">GetCtData("PKAMOUNT","AMOUNT",$AO$11:$AO$18,$B148:$D148,AO$19:AO$20,"#2")</f>
        <v>#NAME?</v>
      </c>
      <c r="AP148" s="122"/>
      <c r="AQ148" s="142" t="e">
        <f ca="1">GetCtData("PKAMOUNT","AMOUNT",$AQ$11:$AQ$18,$B148:$D148,AQ$19:AQ$20,"#12")</f>
        <v>#NAME?</v>
      </c>
      <c r="AR148" s="142" t="e">
        <f t="shared" ca="1" si="145"/>
        <v>#NAME?</v>
      </c>
      <c r="AS148" s="142"/>
      <c r="AT148" s="142" t="e">
        <f ca="1">GetCtData("PKAMOUNT","AMOUNT",AT$11:AT$18,$B148:$D148,AT$19:AT$20,"#")</f>
        <v>#NAME?</v>
      </c>
      <c r="AU148" s="142" t="e">
        <f t="shared" ca="1" si="146"/>
        <v>#NAME?</v>
      </c>
      <c r="AV148" s="72"/>
      <c r="AW148" s="72" t="e">
        <f t="shared" ca="1" si="147"/>
        <v>#NAME?</v>
      </c>
      <c r="AX148" s="72" t="e">
        <f t="shared" ca="1" si="148"/>
        <v>#NAME?</v>
      </c>
      <c r="AY148" s="72"/>
      <c r="AZ148" s="72" t="e">
        <f t="shared" ca="1" si="149"/>
        <v>#NAME?</v>
      </c>
      <c r="BA148" s="72" t="e">
        <f t="shared" ca="1" si="150"/>
        <v>#NAME?</v>
      </c>
      <c r="BB148" s="72"/>
      <c r="BC148" s="72" t="e">
        <f t="shared" ca="1" si="151"/>
        <v>#NAME?</v>
      </c>
      <c r="BD148" s="72" t="e">
        <f t="shared" ca="1" si="75"/>
        <v>#NAME?</v>
      </c>
      <c r="BE148" s="72"/>
      <c r="BF148" s="72" t="e">
        <f t="shared" ca="1" si="152"/>
        <v>#NAME?</v>
      </c>
      <c r="BG148" s="72" t="e">
        <f t="shared" ca="1" si="76"/>
        <v>#NAME?</v>
      </c>
      <c r="BH148" s="72"/>
      <c r="BI148" s="72" t="e">
        <f t="shared" ca="1" si="153"/>
        <v>#NAME?</v>
      </c>
      <c r="BJ148" s="72" t="e">
        <f t="shared" ca="1" si="77"/>
        <v>#NAME?</v>
      </c>
      <c r="BK148" s="72"/>
      <c r="BL148" s="72" t="e">
        <f t="shared" ca="1" si="154"/>
        <v>#NAME?</v>
      </c>
      <c r="BM148" s="72" t="e">
        <f t="shared" ca="1" si="155"/>
        <v>#NAME?</v>
      </c>
      <c r="BN148" s="72"/>
      <c r="BO148" s="72" t="e">
        <f t="shared" ca="1" si="156"/>
        <v>#NAME?</v>
      </c>
      <c r="BP148" s="72" t="e">
        <f t="shared" ca="1" si="79"/>
        <v>#NAME?</v>
      </c>
      <c r="BQ148" s="72"/>
      <c r="BR148" s="72" t="e">
        <f t="shared" ca="1" si="157"/>
        <v>#NAME?</v>
      </c>
      <c r="BS148" s="72" t="e">
        <f ca="1">#REF!-BR148</f>
        <v>#REF!</v>
      </c>
    </row>
    <row r="149" spans="1:71" x14ac:dyDescent="0.2">
      <c r="A149" s="82" t="s">
        <v>243</v>
      </c>
      <c r="B149" s="82" t="s">
        <v>355</v>
      </c>
      <c r="D149" s="82" t="s">
        <v>172</v>
      </c>
      <c r="E149" s="74" t="e">
        <f ca="1">GetCtLabel(B149,"CURINIT(AC)!LDESC","#Cannes")</f>
        <v>#NAME?</v>
      </c>
      <c r="F149" s="137"/>
      <c r="G149" s="138">
        <v>10</v>
      </c>
      <c r="H149" s="137"/>
      <c r="I149" s="139"/>
      <c r="J149" s="139"/>
      <c r="K149" s="139"/>
      <c r="L149" s="139"/>
      <c r="M149" s="139"/>
      <c r="N149" s="130"/>
      <c r="O149" s="140">
        <f t="shared" si="137"/>
        <v>10</v>
      </c>
      <c r="P149" s="141">
        <f t="shared" si="138"/>
        <v>0</v>
      </c>
      <c r="Q149" s="141">
        <f t="shared" si="138"/>
        <v>0</v>
      </c>
      <c r="R149" s="133" t="e">
        <f t="shared" ca="1" si="139"/>
        <v>#NAME?</v>
      </c>
      <c r="S149" s="133" t="e">
        <f t="shared" ca="1" si="140"/>
        <v>#NAME?</v>
      </c>
      <c r="T149" s="134" t="e">
        <f t="shared" ca="1" si="141"/>
        <v>#NAME?</v>
      </c>
      <c r="U149" s="134" t="e">
        <f t="shared" ca="1" si="142"/>
        <v>#NAME?</v>
      </c>
      <c r="V149" s="144"/>
      <c r="W149" s="142"/>
      <c r="X149" s="142"/>
      <c r="Y149" s="122"/>
      <c r="Z149" s="135"/>
      <c r="AA149" s="135"/>
      <c r="AB149" s="135">
        <f t="shared" si="136"/>
        <v>0</v>
      </c>
      <c r="AC149" s="135">
        <f t="shared" si="143"/>
        <v>10</v>
      </c>
      <c r="AD149" s="122"/>
      <c r="AE149" s="142" t="e">
        <f ca="1">GetCtData("PKAMOUNT","AMOUNT",$AE$11:$AE$18,$B149:$D149,AE$19:AE$20,"#29")</f>
        <v>#NAME?</v>
      </c>
      <c r="AF149" s="142"/>
      <c r="AG149" s="142" t="e">
        <f t="shared" ca="1" si="135"/>
        <v>#NAME?</v>
      </c>
      <c r="AH149" s="143" t="e">
        <f t="shared" ca="1" si="134"/>
        <v>#NAME?</v>
      </c>
      <c r="AI149" s="128"/>
      <c r="AJ149" s="142" t="e">
        <f t="shared" ca="1" si="73"/>
        <v>#NAME?</v>
      </c>
      <c r="AK149" s="142" t="e">
        <f ca="1">GetCtData("PKAMOUNT","AMOUNT",$AK$11:$AK$18,$B149:$D149,AK$19:AK$20,"#19")</f>
        <v>#NAME?</v>
      </c>
      <c r="AL149" s="143" t="e">
        <f t="shared" ca="1" si="144"/>
        <v>#NAME?</v>
      </c>
      <c r="AM149" s="122"/>
      <c r="AN149" s="142" t="e">
        <f ca="1">GetCtData("PKAMOUNT","AMOUNT",$AN$11:$AN$18,$B149:$D149,AN$19:AN$20,"#3")</f>
        <v>#NAME?</v>
      </c>
      <c r="AO149" s="142" t="e">
        <f ca="1">GetCtData("PKAMOUNT","AMOUNT",$AO$11:$AO$18,$B149:$D149,AO$19:AO$20,"#10")</f>
        <v>#NAME?</v>
      </c>
      <c r="AP149" s="122"/>
      <c r="AQ149" s="142" t="e">
        <f ca="1">GetCtData("PKAMOUNT","AMOUNT",$AQ$11:$AQ$18,$B149:$D149,AQ$19:AQ$20,"#23")</f>
        <v>#NAME?</v>
      </c>
      <c r="AR149" s="142" t="e">
        <f t="shared" ca="1" si="145"/>
        <v>#NAME?</v>
      </c>
      <c r="AS149" s="142"/>
      <c r="AT149" s="142" t="e">
        <f ca="1">GetCtData("PKAMOUNT","AMOUNT",AT$11:AT$18,$B149:$D149,AT$19:AT$20,"#")</f>
        <v>#NAME?</v>
      </c>
      <c r="AU149" s="142" t="e">
        <f t="shared" ca="1" si="146"/>
        <v>#NAME?</v>
      </c>
      <c r="AV149" s="72"/>
      <c r="AW149" s="72" t="e">
        <f t="shared" ca="1" si="147"/>
        <v>#NAME?</v>
      </c>
      <c r="AX149" s="72" t="e">
        <f t="shared" ca="1" si="148"/>
        <v>#NAME?</v>
      </c>
      <c r="AY149" s="72"/>
      <c r="AZ149" s="72" t="e">
        <f t="shared" ca="1" si="149"/>
        <v>#NAME?</v>
      </c>
      <c r="BA149" s="72" t="e">
        <f t="shared" ca="1" si="150"/>
        <v>#NAME?</v>
      </c>
      <c r="BB149" s="72"/>
      <c r="BC149" s="72" t="e">
        <f t="shared" ca="1" si="151"/>
        <v>#NAME?</v>
      </c>
      <c r="BD149" s="72" t="e">
        <f t="shared" ca="1" si="75"/>
        <v>#NAME?</v>
      </c>
      <c r="BE149" s="72"/>
      <c r="BF149" s="72" t="e">
        <f t="shared" ca="1" si="152"/>
        <v>#NAME?</v>
      </c>
      <c r="BG149" s="72" t="e">
        <f t="shared" ca="1" si="76"/>
        <v>#NAME?</v>
      </c>
      <c r="BH149" s="72"/>
      <c r="BI149" s="72" t="e">
        <f t="shared" ca="1" si="153"/>
        <v>#NAME?</v>
      </c>
      <c r="BJ149" s="72" t="e">
        <f t="shared" ca="1" si="77"/>
        <v>#NAME?</v>
      </c>
      <c r="BK149" s="72"/>
      <c r="BL149" s="72" t="e">
        <f t="shared" ca="1" si="154"/>
        <v>#NAME?</v>
      </c>
      <c r="BM149" s="72" t="e">
        <f t="shared" ca="1" si="155"/>
        <v>#NAME?</v>
      </c>
      <c r="BN149" s="72"/>
      <c r="BO149" s="72" t="e">
        <f t="shared" ca="1" si="156"/>
        <v>#NAME?</v>
      </c>
      <c r="BP149" s="72" t="e">
        <f t="shared" ca="1" si="79"/>
        <v>#NAME?</v>
      </c>
      <c r="BQ149" s="72"/>
      <c r="BR149" s="72" t="e">
        <f t="shared" ca="1" si="157"/>
        <v>#NAME?</v>
      </c>
      <c r="BS149" s="72" t="e">
        <f ca="1">#REF!-BR149</f>
        <v>#REF!</v>
      </c>
    </row>
    <row r="150" spans="1:71" outlineLevel="1" x14ac:dyDescent="0.2">
      <c r="A150" s="82" t="s">
        <v>243</v>
      </c>
      <c r="B150" s="82" t="s">
        <v>356</v>
      </c>
      <c r="D150" s="82" t="s">
        <v>172</v>
      </c>
      <c r="E150" s="74" t="e">
        <f ca="1">GetCtLabel(B150,"CURINIT(AC)!LDESC","#Inter-company commercial costs")</f>
        <v>#NAME?</v>
      </c>
      <c r="F150" s="137"/>
      <c r="G150" s="138"/>
      <c r="H150" s="137"/>
      <c r="I150" s="139"/>
      <c r="J150" s="139"/>
      <c r="K150" s="139"/>
      <c r="L150" s="139"/>
      <c r="M150" s="139"/>
      <c r="N150" s="130"/>
      <c r="O150" s="140">
        <f t="shared" si="137"/>
        <v>0</v>
      </c>
      <c r="P150" s="141">
        <f t="shared" si="138"/>
        <v>0</v>
      </c>
      <c r="Q150" s="141">
        <f t="shared" si="138"/>
        <v>0</v>
      </c>
      <c r="R150" s="133" t="e">
        <f t="shared" ca="1" si="139"/>
        <v>#NAME?</v>
      </c>
      <c r="S150" s="133" t="e">
        <f t="shared" ca="1" si="140"/>
        <v>#NAME?</v>
      </c>
      <c r="T150" s="134" t="e">
        <f t="shared" ca="1" si="141"/>
        <v>#NAME?</v>
      </c>
      <c r="U150" s="134" t="e">
        <f t="shared" ca="1" si="142"/>
        <v>#NAME?</v>
      </c>
      <c r="V150" s="144"/>
      <c r="W150" s="142"/>
      <c r="X150" s="142"/>
      <c r="Y150" s="122"/>
      <c r="Z150" s="135"/>
      <c r="AA150" s="135"/>
      <c r="AB150" s="135">
        <f t="shared" si="136"/>
        <v>0</v>
      </c>
      <c r="AC150" s="135">
        <f t="shared" si="143"/>
        <v>0</v>
      </c>
      <c r="AD150" s="122"/>
      <c r="AE150" s="142" t="e">
        <f ca="1">GetCtData("PKAMOUNT","AMOUNT",$AE$11:$AE$18,$B150:$D150,AE$19:AE$20,"#")</f>
        <v>#NAME?</v>
      </c>
      <c r="AF150" s="142"/>
      <c r="AG150" s="142" t="e">
        <f t="shared" ca="1" si="135"/>
        <v>#NAME?</v>
      </c>
      <c r="AH150" s="143" t="e">
        <f t="shared" ca="1" si="134"/>
        <v>#NAME?</v>
      </c>
      <c r="AI150" s="128"/>
      <c r="AJ150" s="142" t="e">
        <f t="shared" ca="1" si="73"/>
        <v>#NAME?</v>
      </c>
      <c r="AK150" s="142" t="e">
        <f ca="1">GetCtData("PKAMOUNT","AMOUNT",$AK$11:$AK$18,$B150:$D150,AK$19:AK$20,"#")</f>
        <v>#NAME?</v>
      </c>
      <c r="AL150" s="143" t="e">
        <f t="shared" ca="1" si="144"/>
        <v>#NAME?</v>
      </c>
      <c r="AM150" s="122"/>
      <c r="AN150" s="142" t="e">
        <f ca="1">GetCtData("PKAMOUNT","AMOUNT",$AN$11:$AN$18,$B150:$D150,AN$19:AN$20,"#")</f>
        <v>#NAME?</v>
      </c>
      <c r="AO150" s="142" t="e">
        <f ca="1">GetCtData("PKAMOUNT","AMOUNT",$AO$11:$AO$18,$B150:$D150,AO$19:AO$20,"#")</f>
        <v>#NAME?</v>
      </c>
      <c r="AP150" s="122"/>
      <c r="AQ150" s="142" t="e">
        <f ca="1">GetCtData("PKAMOUNT","AMOUNT",$AQ$11:$AQ$18,$B150:$D150,AQ$19:AQ$20,"#")</f>
        <v>#NAME?</v>
      </c>
      <c r="AR150" s="142" t="e">
        <f t="shared" ca="1" si="145"/>
        <v>#NAME?</v>
      </c>
      <c r="AS150" s="142"/>
      <c r="AT150" s="142" t="e">
        <f ca="1">GetCtData("PKAMOUNT","AMOUNT",AT$11:AT$18,$B150:$D150,AT$19:AT$20,"#")</f>
        <v>#NAME?</v>
      </c>
      <c r="AU150" s="142" t="e">
        <f t="shared" ca="1" si="146"/>
        <v>#NAME?</v>
      </c>
      <c r="AV150" s="72"/>
      <c r="AW150" s="72" t="e">
        <f t="shared" ca="1" si="147"/>
        <v>#NAME?</v>
      </c>
      <c r="AX150" s="72" t="e">
        <f t="shared" ca="1" si="148"/>
        <v>#NAME?</v>
      </c>
      <c r="AY150" s="72"/>
      <c r="AZ150" s="72" t="e">
        <f t="shared" ca="1" si="149"/>
        <v>#NAME?</v>
      </c>
      <c r="BA150" s="72" t="e">
        <f t="shared" ca="1" si="150"/>
        <v>#NAME?</v>
      </c>
      <c r="BB150" s="72"/>
      <c r="BC150" s="72" t="e">
        <f t="shared" ca="1" si="151"/>
        <v>#NAME?</v>
      </c>
      <c r="BD150" s="72" t="e">
        <f t="shared" ca="1" si="75"/>
        <v>#NAME?</v>
      </c>
      <c r="BE150" s="72"/>
      <c r="BF150" s="72" t="e">
        <f t="shared" ca="1" si="152"/>
        <v>#NAME?</v>
      </c>
      <c r="BG150" s="72" t="e">
        <f t="shared" ca="1" si="76"/>
        <v>#NAME?</v>
      </c>
      <c r="BH150" s="72"/>
      <c r="BI150" s="72" t="e">
        <f t="shared" ca="1" si="153"/>
        <v>#NAME?</v>
      </c>
      <c r="BJ150" s="72" t="e">
        <f t="shared" ca="1" si="77"/>
        <v>#NAME?</v>
      </c>
      <c r="BK150" s="72"/>
      <c r="BL150" s="72" t="e">
        <f t="shared" ca="1" si="154"/>
        <v>#NAME?</v>
      </c>
      <c r="BM150" s="72" t="e">
        <f t="shared" ca="1" si="155"/>
        <v>#NAME?</v>
      </c>
      <c r="BN150" s="72"/>
      <c r="BO150" s="72" t="e">
        <f t="shared" ca="1" si="156"/>
        <v>#NAME?</v>
      </c>
      <c r="BP150" s="72" t="e">
        <f t="shared" ca="1" si="79"/>
        <v>#NAME?</v>
      </c>
      <c r="BQ150" s="72"/>
      <c r="BR150" s="72" t="e">
        <f t="shared" ca="1" si="157"/>
        <v>#NAME?</v>
      </c>
      <c r="BS150" s="72" t="e">
        <f ca="1">#REF!-BR150</f>
        <v>#REF!</v>
      </c>
    </row>
    <row r="151" spans="1:71" x14ac:dyDescent="0.2">
      <c r="A151" s="82" t="s">
        <v>243</v>
      </c>
      <c r="B151" s="82" t="s">
        <v>357</v>
      </c>
      <c r="D151" s="82" t="s">
        <v>172</v>
      </c>
      <c r="E151" s="74" t="e">
        <f ca="1">GetCtLabel(B151,"CURINIT(AC)!LDESC","#Other commercial costs")</f>
        <v>#NAME?</v>
      </c>
      <c r="F151" s="137">
        <v>15</v>
      </c>
      <c r="G151" s="138">
        <f>24-24</f>
        <v>0</v>
      </c>
      <c r="H151" s="137"/>
      <c r="I151" s="139"/>
      <c r="J151" s="139"/>
      <c r="K151" s="139">
        <v>-15</v>
      </c>
      <c r="L151" s="139"/>
      <c r="M151" s="139"/>
      <c r="N151" s="130"/>
      <c r="O151" s="140">
        <f t="shared" si="137"/>
        <v>0</v>
      </c>
      <c r="P151" s="141">
        <f t="shared" si="138"/>
        <v>15</v>
      </c>
      <c r="Q151" s="141">
        <f t="shared" si="138"/>
        <v>0</v>
      </c>
      <c r="R151" s="133" t="e">
        <f t="shared" ca="1" si="139"/>
        <v>#NAME?</v>
      </c>
      <c r="S151" s="133" t="e">
        <f t="shared" ca="1" si="140"/>
        <v>#NAME?</v>
      </c>
      <c r="T151" s="134" t="e">
        <f t="shared" ca="1" si="141"/>
        <v>#NAME?</v>
      </c>
      <c r="U151" s="134" t="e">
        <f t="shared" ca="1" si="142"/>
        <v>#NAME?</v>
      </c>
      <c r="V151" s="144"/>
      <c r="W151" s="142"/>
      <c r="X151" s="142"/>
      <c r="Y151" s="122"/>
      <c r="Z151" s="135">
        <v>2</v>
      </c>
      <c r="AA151" s="135"/>
      <c r="AB151" s="135">
        <f t="shared" si="136"/>
        <v>2</v>
      </c>
      <c r="AC151" s="135">
        <f t="shared" si="143"/>
        <v>-2</v>
      </c>
      <c r="AD151" s="122"/>
      <c r="AE151" s="142" t="e">
        <f ca="1">GetCtData("PKAMOUNT","AMOUNT",$AE$11:$AE$18,$B151:$D151,AE$19:AE$20,"#0")</f>
        <v>#NAME?</v>
      </c>
      <c r="AF151" s="142"/>
      <c r="AG151" s="142" t="e">
        <f t="shared" ca="1" si="135"/>
        <v>#NAME?</v>
      </c>
      <c r="AH151" s="143" t="e">
        <f t="shared" ca="1" si="134"/>
        <v>#NAME?</v>
      </c>
      <c r="AI151" s="128"/>
      <c r="AJ151" s="142" t="e">
        <f t="shared" ca="1" si="73"/>
        <v>#NAME?</v>
      </c>
      <c r="AK151" s="142" t="e">
        <f ca="1">GetCtData("PKAMOUNT","AMOUNT",$AK$11:$AK$18,$B151:$D151,AK$19:AK$20,"#0")</f>
        <v>#NAME?</v>
      </c>
      <c r="AL151" s="143" t="e">
        <f t="shared" ca="1" si="144"/>
        <v>#NAME?</v>
      </c>
      <c r="AM151" s="122"/>
      <c r="AN151" s="142" t="e">
        <f ca="1">GetCtData("PKAMOUNT","AMOUNT",$AN$11:$AN$18,$B151:$D151,AN$19:AN$20,"#2")</f>
        <v>#NAME?</v>
      </c>
      <c r="AO151" s="142" t="e">
        <f ca="1">GetCtData("PKAMOUNT","AMOUNT",$AO$11:$AO$18,$B151:$D151,AO$19:AO$20,"#0")</f>
        <v>#NAME?</v>
      </c>
      <c r="AP151" s="122"/>
      <c r="AQ151" s="142" t="e">
        <f ca="1">GetCtData("PKAMOUNT","AMOUNT",$AQ$11:$AQ$18,$B151:$D151,AQ$19:AQ$20,"#1")</f>
        <v>#NAME?</v>
      </c>
      <c r="AR151" s="142" t="e">
        <f t="shared" ca="1" si="145"/>
        <v>#NAME?</v>
      </c>
      <c r="AS151" s="142"/>
      <c r="AT151" s="142" t="e">
        <f ca="1">GetCtData("PKAMOUNT","AMOUNT",AT$11:AT$18,$B151:$D151,AT$19:AT$20,"#3")</f>
        <v>#NAME?</v>
      </c>
      <c r="AU151" s="142" t="e">
        <f t="shared" ca="1" si="146"/>
        <v>#NAME?</v>
      </c>
      <c r="AV151" s="72"/>
      <c r="AW151" s="72" t="e">
        <f t="shared" ca="1" si="147"/>
        <v>#NAME?</v>
      </c>
      <c r="AX151" s="72" t="e">
        <f t="shared" ca="1" si="148"/>
        <v>#NAME?</v>
      </c>
      <c r="AY151" s="72"/>
      <c r="AZ151" s="72" t="e">
        <f t="shared" ca="1" si="149"/>
        <v>#NAME?</v>
      </c>
      <c r="BA151" s="72" t="e">
        <f t="shared" ca="1" si="150"/>
        <v>#NAME?</v>
      </c>
      <c r="BB151" s="72"/>
      <c r="BC151" s="72" t="e">
        <f t="shared" ca="1" si="151"/>
        <v>#NAME?</v>
      </c>
      <c r="BD151" s="72" t="e">
        <f t="shared" ca="1" si="75"/>
        <v>#NAME?</v>
      </c>
      <c r="BE151" s="72"/>
      <c r="BF151" s="72" t="e">
        <f t="shared" ca="1" si="152"/>
        <v>#NAME?</v>
      </c>
      <c r="BG151" s="72" t="e">
        <f t="shared" ca="1" si="76"/>
        <v>#NAME?</v>
      </c>
      <c r="BH151" s="72"/>
      <c r="BI151" s="72" t="e">
        <f t="shared" ca="1" si="153"/>
        <v>#NAME?</v>
      </c>
      <c r="BJ151" s="72" t="e">
        <f t="shared" ca="1" si="77"/>
        <v>#NAME?</v>
      </c>
      <c r="BK151" s="72"/>
      <c r="BL151" s="72" t="e">
        <f t="shared" ca="1" si="154"/>
        <v>#NAME?</v>
      </c>
      <c r="BM151" s="72" t="e">
        <f t="shared" ca="1" si="155"/>
        <v>#NAME?</v>
      </c>
      <c r="BN151" s="72"/>
      <c r="BO151" s="72" t="e">
        <f t="shared" ca="1" si="156"/>
        <v>#NAME?</v>
      </c>
      <c r="BP151" s="72" t="e">
        <f t="shared" ca="1" si="79"/>
        <v>#NAME?</v>
      </c>
      <c r="BQ151" s="72"/>
      <c r="BR151" s="72" t="e">
        <f t="shared" ca="1" si="157"/>
        <v>#NAME?</v>
      </c>
      <c r="BS151" s="72" t="e">
        <f ca="1">#REF!-BR151</f>
        <v>#REF!</v>
      </c>
    </row>
    <row r="152" spans="1:71" x14ac:dyDescent="0.2">
      <c r="E152" s="74"/>
      <c r="F152" s="130"/>
      <c r="G152" s="131"/>
      <c r="H152" s="130"/>
      <c r="I152" s="72"/>
      <c r="J152" s="72"/>
      <c r="K152" s="72"/>
      <c r="L152" s="72"/>
      <c r="M152" s="72"/>
      <c r="N152" s="130"/>
      <c r="O152" s="121"/>
      <c r="P152" s="141">
        <f t="shared" si="138"/>
        <v>0</v>
      </c>
      <c r="Q152" s="141"/>
      <c r="R152" s="133"/>
      <c r="S152" s="134"/>
      <c r="T152" s="134"/>
      <c r="U152" s="134"/>
      <c r="V152" s="144"/>
      <c r="W152" s="122"/>
      <c r="X152" s="122"/>
      <c r="Y152" s="122"/>
      <c r="Z152" s="135"/>
      <c r="AA152" s="135"/>
      <c r="AB152" s="135">
        <f t="shared" si="136"/>
        <v>0</v>
      </c>
      <c r="AC152" s="135">
        <f t="shared" si="143"/>
        <v>0</v>
      </c>
      <c r="AD152" s="122"/>
      <c r="AE152" s="122"/>
      <c r="AF152" s="122"/>
      <c r="AG152" s="122">
        <f t="shared" si="135"/>
        <v>0</v>
      </c>
      <c r="AH152" s="136">
        <f t="shared" si="134"/>
        <v>0</v>
      </c>
      <c r="AI152" s="128"/>
      <c r="AJ152" s="122">
        <f t="shared" si="73"/>
        <v>0</v>
      </c>
      <c r="AK152" s="122"/>
      <c r="AL152" s="136"/>
      <c r="AM152" s="122"/>
      <c r="AN152" s="122"/>
      <c r="AO152" s="122"/>
      <c r="AP152" s="122"/>
      <c r="AQ152" s="122"/>
      <c r="AR152" s="122"/>
      <c r="AS152" s="122"/>
      <c r="AT152" s="122"/>
      <c r="AU152" s="122"/>
      <c r="AV152" s="130"/>
      <c r="AW152" s="130"/>
      <c r="AX152" s="130"/>
      <c r="AY152" s="130"/>
      <c r="AZ152" s="130"/>
      <c r="BA152" s="130"/>
      <c r="BB152" s="130"/>
      <c r="BC152" s="130"/>
      <c r="BD152" s="130">
        <f t="shared" si="75"/>
        <v>0</v>
      </c>
      <c r="BE152" s="130"/>
      <c r="BF152" s="130"/>
      <c r="BG152" s="130">
        <f t="shared" si="76"/>
        <v>0</v>
      </c>
      <c r="BH152" s="130"/>
      <c r="BI152" s="130"/>
      <c r="BJ152" s="130">
        <f t="shared" si="77"/>
        <v>0</v>
      </c>
      <c r="BK152" s="130"/>
      <c r="BL152" s="130"/>
      <c r="BM152" s="130">
        <f>J152-BL152</f>
        <v>0</v>
      </c>
      <c r="BN152" s="130"/>
      <c r="BO152" s="130"/>
      <c r="BP152" s="130">
        <f t="shared" si="79"/>
        <v>0</v>
      </c>
      <c r="BQ152" s="130"/>
      <c r="BR152" s="130"/>
      <c r="BS152" s="130" t="e">
        <f>#REF!-BR152</f>
        <v>#REF!</v>
      </c>
    </row>
    <row r="153" spans="1:71" s="163" customFormat="1" x14ac:dyDescent="0.2">
      <c r="A153" s="146"/>
      <c r="B153" s="146" t="s">
        <v>358</v>
      </c>
      <c r="C153" s="146"/>
      <c r="D153" s="146" t="s">
        <v>250</v>
      </c>
      <c r="E153" s="147" t="e">
        <f ca="1">GetCtLabel(B153,"CURINIT(AC)!LDESC","#TOTAL COMMERCIAL COSTS")</f>
        <v>#NAME?</v>
      </c>
      <c r="F153" s="148">
        <f ca="1">SUMIF($A132:F151,"yes",F132:F151)</f>
        <v>192</v>
      </c>
      <c r="G153" s="148">
        <f ca="1">SUMIF($A132:G151,"yes",G132:G151)</f>
        <v>149</v>
      </c>
      <c r="H153" s="148">
        <f ca="1">SUMIF($A132:H151,"yes",H132:H151)</f>
        <v>0</v>
      </c>
      <c r="I153" s="148">
        <f ca="1">SUMIF($A132:I151,"yes",I132:I151)</f>
        <v>0</v>
      </c>
      <c r="J153" s="148">
        <f ca="1">SUMIF($A132:J151,"yes",J132:J151)</f>
        <v>0</v>
      </c>
      <c r="K153" s="148">
        <f ca="1">SUMIF($A132:K151,"yes",K132:K151)</f>
        <v>-141</v>
      </c>
      <c r="L153" s="148">
        <f ca="1">SUMIF($A132:L151,"yes",L132:L151)</f>
        <v>0</v>
      </c>
      <c r="M153" s="148">
        <f ca="1">SUMIF($A132:M151,"yes",M132:M151)</f>
        <v>0</v>
      </c>
      <c r="N153" s="148"/>
      <c r="O153" s="168">
        <f ca="1">SUMIF($A132:O151,"yes",O132:O151)</f>
        <v>200</v>
      </c>
      <c r="P153" s="123">
        <f t="shared" ca="1" si="138"/>
        <v>141</v>
      </c>
      <c r="Q153" s="123"/>
      <c r="R153" s="148" t="e">
        <f ca="1">SUMIF($A132:R151,"yes",R132:R151)</f>
        <v>#NAME?</v>
      </c>
      <c r="S153" s="148" t="e">
        <f ca="1">SUMIF($A132:S151,"yes",S132:S151)</f>
        <v>#NAME?</v>
      </c>
      <c r="T153" s="148" t="e">
        <f ca="1">SUMIF($A132:T151,"yes",T132:T151)</f>
        <v>#NAME?</v>
      </c>
      <c r="U153" s="148" t="e">
        <f ca="1">SUMIF($A132:U151,"yes",U132:U151)</f>
        <v>#NAME?</v>
      </c>
      <c r="V153" s="144"/>
      <c r="W153" s="148">
        <f>SUM(W132:W151)</f>
        <v>0</v>
      </c>
      <c r="X153" s="148">
        <f>SUM(X132:X151)</f>
        <v>0</v>
      </c>
      <c r="Y153" s="136"/>
      <c r="Z153" s="150">
        <f>SUM(Z132:Z151)</f>
        <v>84</v>
      </c>
      <c r="AA153" s="150">
        <f>SUM(AA132:AA151)</f>
        <v>0</v>
      </c>
      <c r="AB153" s="150">
        <f t="shared" si="136"/>
        <v>84</v>
      </c>
      <c r="AC153" s="150">
        <f>SUM(AC132:AC151)</f>
        <v>116</v>
      </c>
      <c r="AD153" s="136"/>
      <c r="AE153" s="148" t="e">
        <f ca="1">GetCtData("PKAMOUNT","AMOUNT",$AE$11:$AE$18,$B153:$D153,AE$19:AE$20,"#206")</f>
        <v>#NAME?</v>
      </c>
      <c r="AF153" s="148">
        <f>SUM(AF132:AF151)</f>
        <v>0</v>
      </c>
      <c r="AG153" s="148" t="e">
        <f t="shared" ca="1" si="135"/>
        <v>#NAME?</v>
      </c>
      <c r="AH153" s="148" t="e">
        <f t="shared" ca="1" si="134"/>
        <v>#NAME?</v>
      </c>
      <c r="AI153" s="128"/>
      <c r="AJ153" s="148" t="e">
        <f t="shared" ca="1" si="73"/>
        <v>#NAME?</v>
      </c>
      <c r="AK153" s="148" t="e">
        <f ca="1">GetCtData("PKAMOUNT","AMOUNT",$AK$11:$AK$18,$B153:$D153,AK$19:AK$20,"#16")</f>
        <v>#NAME?</v>
      </c>
      <c r="AL153" s="148" t="e">
        <f ca="1">(O153-AO153)-AK153</f>
        <v>#NAME?</v>
      </c>
      <c r="AM153" s="136"/>
      <c r="AN153" s="148" t="e">
        <f ca="1">GetCtData("PKAMOUNT","AMOUNT",$AN$11:$AN$18,$B153:$D153,AN$19:AN$20,"#29")</f>
        <v>#NAME?</v>
      </c>
      <c r="AO153" s="148" t="e">
        <f ca="1">GetCtData("PKAMOUNT","AMOUNT",$AO$11:$AO$18,$B153:$D153,AO$19:AO$20,"#190")</f>
        <v>#NAME?</v>
      </c>
      <c r="AP153" s="136"/>
      <c r="AQ153" s="148" t="e">
        <f ca="1">GetCtData("PKAMOUNT","AMOUNT",$AQ$11:$AQ$18,$B153:$D153,AQ$19:AQ$20,"#122")</f>
        <v>#NAME?</v>
      </c>
      <c r="AR153" s="148" t="e">
        <f ca="1">O153-AQ153</f>
        <v>#NAME?</v>
      </c>
      <c r="AS153" s="148"/>
      <c r="AT153" s="148" t="e">
        <f ca="1">GetCtData("PKAMOUNT","AMOUNT",AT$11:AT$18,$B153:$D153,AT$19:AT$20,"#138")</f>
        <v>#NAME?</v>
      </c>
      <c r="AU153" s="148" t="e">
        <f ca="1">O153-AT153</f>
        <v>#NAME?</v>
      </c>
      <c r="AV153" s="148"/>
      <c r="AW153" s="148" t="e">
        <f ca="1">GetCtData("PKAMOUNT","AMOUNT",AW$11:AW$18,$B153:$D153,AW$19:AW$20,"#")</f>
        <v>#NAME?</v>
      </c>
      <c r="AX153" s="148" t="e">
        <f ca="1">O153-AW153</f>
        <v>#NAME?</v>
      </c>
      <c r="AY153" s="148"/>
      <c r="AZ153" s="148" t="e">
        <f ca="1">SUM(AZ132:AZ151)</f>
        <v>#NAME?</v>
      </c>
      <c r="BA153" s="148" t="e">
        <f ca="1">SUM(BA132:BA151)</f>
        <v>#NAME?</v>
      </c>
      <c r="BB153" s="148"/>
      <c r="BC153" s="148" t="e">
        <f ca="1">SUM(BC132:BC151)</f>
        <v>#NAME?</v>
      </c>
      <c r="BD153" s="148" t="e">
        <f t="shared" ca="1" si="75"/>
        <v>#NAME?</v>
      </c>
      <c r="BE153" s="148"/>
      <c r="BF153" s="148" t="e">
        <f ca="1">SUM(BF132:BF151)</f>
        <v>#NAME?</v>
      </c>
      <c r="BG153" s="148" t="e">
        <f t="shared" ca="1" si="76"/>
        <v>#NAME?</v>
      </c>
      <c r="BH153" s="148"/>
      <c r="BI153" s="148" t="e">
        <f ca="1">SUM(BI132:BI151)</f>
        <v>#NAME?</v>
      </c>
      <c r="BJ153" s="148" t="e">
        <f t="shared" ca="1" si="77"/>
        <v>#NAME?</v>
      </c>
      <c r="BK153" s="148"/>
      <c r="BL153" s="148" t="e">
        <f ca="1">SUM(BL132:BL151)</f>
        <v>#NAME?</v>
      </c>
      <c r="BM153" s="148" t="e">
        <f ca="1">O153-BL153</f>
        <v>#NAME?</v>
      </c>
      <c r="BN153" s="148"/>
      <c r="BO153" s="148" t="e">
        <f ca="1">SUM(BO132:BO151)</f>
        <v>#NAME?</v>
      </c>
      <c r="BP153" s="148" t="e">
        <f t="shared" ca="1" si="79"/>
        <v>#NAME?</v>
      </c>
      <c r="BQ153" s="148"/>
      <c r="BR153" s="148" t="e">
        <f ca="1">SUM(BR132:BR151)</f>
        <v>#NAME?</v>
      </c>
      <c r="BS153" s="148" t="e">
        <f ca="1">#REF!-BR153</f>
        <v>#REF!</v>
      </c>
    </row>
    <row r="154" spans="1:71" x14ac:dyDescent="0.2">
      <c r="E154" s="74"/>
      <c r="F154" s="130"/>
      <c r="G154" s="131"/>
      <c r="H154" s="130"/>
      <c r="I154" s="72"/>
      <c r="J154" s="72"/>
      <c r="K154" s="72"/>
      <c r="L154" s="72"/>
      <c r="M154" s="72"/>
      <c r="N154" s="130"/>
      <c r="O154" s="121"/>
      <c r="P154" s="141">
        <f t="shared" si="138"/>
        <v>0</v>
      </c>
      <c r="Q154" s="141"/>
      <c r="R154" s="122"/>
      <c r="S154" s="122"/>
      <c r="T154" s="122" t="e">
        <f ca="1">PutCtData("PKAMOUNT","AMOUNT",$T$11:$T$15,$B154,$T$18,$T$17,P154)</f>
        <v>#NAME?</v>
      </c>
      <c r="U154" s="122" t="e">
        <f ca="1">PutCtData("PKAMOUNT","AMOUNT",$U$11:$U$15,$B154,$U$18,$U$17,L154)</f>
        <v>#NAME?</v>
      </c>
      <c r="V154" s="144"/>
      <c r="W154" s="122"/>
      <c r="X154" s="122"/>
      <c r="Y154" s="122"/>
      <c r="Z154" s="135"/>
      <c r="AA154" s="135"/>
      <c r="AB154" s="135">
        <f t="shared" si="136"/>
        <v>0</v>
      </c>
      <c r="AC154" s="135"/>
      <c r="AD154" s="122"/>
      <c r="AE154" s="164" t="e">
        <f ca="1">AE153-SUMIF($A132:AG151,"yes",AE132:AE151)</f>
        <v>#NAME?</v>
      </c>
      <c r="AF154" s="164"/>
      <c r="AG154" s="164" t="e">
        <f t="shared" ca="1" si="135"/>
        <v>#NAME?</v>
      </c>
      <c r="AH154" s="164" t="e">
        <f ca="1">AH153-SUMIF($A132:AH151,"yes",AH132:AH151)</f>
        <v>#NAME?</v>
      </c>
      <c r="AI154" s="128"/>
      <c r="AJ154" s="122">
        <f t="shared" si="73"/>
        <v>0</v>
      </c>
      <c r="AK154" s="122"/>
      <c r="AL154" s="136"/>
      <c r="AM154" s="122"/>
      <c r="AN154" s="122"/>
      <c r="AO154" s="122"/>
      <c r="AP154" s="122"/>
      <c r="AQ154" s="122"/>
      <c r="AR154" s="122"/>
      <c r="AS154" s="122"/>
      <c r="AT154" s="122"/>
      <c r="AU154" s="122"/>
      <c r="AV154" s="130"/>
      <c r="AW154" s="130"/>
      <c r="AX154" s="130"/>
      <c r="AY154" s="130"/>
      <c r="AZ154" s="130"/>
      <c r="BA154" s="130"/>
      <c r="BB154" s="130"/>
      <c r="BC154" s="130"/>
      <c r="BD154" s="130">
        <f t="shared" si="75"/>
        <v>0</v>
      </c>
      <c r="BE154" s="130"/>
      <c r="BF154" s="130"/>
      <c r="BG154" s="130">
        <f t="shared" si="76"/>
        <v>0</v>
      </c>
      <c r="BH154" s="130"/>
      <c r="BI154" s="130"/>
      <c r="BJ154" s="130">
        <f t="shared" si="77"/>
        <v>0</v>
      </c>
      <c r="BK154" s="130"/>
      <c r="BL154" s="130"/>
      <c r="BM154" s="130">
        <f>J154-BL154</f>
        <v>0</v>
      </c>
      <c r="BN154" s="130"/>
      <c r="BO154" s="130"/>
      <c r="BP154" s="130">
        <f t="shared" si="79"/>
        <v>0</v>
      </c>
      <c r="BQ154" s="130"/>
      <c r="BR154" s="130"/>
      <c r="BS154" s="130" t="e">
        <f>#REF!-BR154</f>
        <v>#REF!</v>
      </c>
    </row>
    <row r="155" spans="1:71" x14ac:dyDescent="0.2">
      <c r="A155" s="82" t="s">
        <v>293</v>
      </c>
      <c r="B155" s="82" t="s">
        <v>359</v>
      </c>
      <c r="D155" s="82" t="s">
        <v>250</v>
      </c>
      <c r="E155" s="74" t="e">
        <f ca="1">GetCtLabel(B155,"CURINIT(AC)!LDESC","#Stationery/art &amp; materials")</f>
        <v>#NAME?</v>
      </c>
      <c r="F155" s="178">
        <f>F156+F157</f>
        <v>39</v>
      </c>
      <c r="G155" s="179">
        <f>SUM(G156:G157)</f>
        <v>0</v>
      </c>
      <c r="H155" s="179"/>
      <c r="I155" s="178">
        <f>SUM(I156:I157)</f>
        <v>0</v>
      </c>
      <c r="J155" s="178">
        <f>SUM(J156:J157)</f>
        <v>0</v>
      </c>
      <c r="K155" s="178">
        <f>SUM(K156:K157)</f>
        <v>-6</v>
      </c>
      <c r="L155" s="179">
        <f>SUM(L156:L157)</f>
        <v>0</v>
      </c>
      <c r="M155" s="179">
        <f>SUM(M156:M157)</f>
        <v>0</v>
      </c>
      <c r="N155" s="130"/>
      <c r="O155" s="188">
        <f>SUM(F155:M155)</f>
        <v>33</v>
      </c>
      <c r="P155" s="141">
        <f t="shared" ref="P155:Q172" si="158">-K155</f>
        <v>6</v>
      </c>
      <c r="Q155" s="141">
        <f t="shared" si="158"/>
        <v>0</v>
      </c>
      <c r="R155" s="179"/>
      <c r="S155" s="179"/>
      <c r="T155" s="179"/>
      <c r="U155" s="179"/>
      <c r="V155" s="144"/>
      <c r="W155" s="142"/>
      <c r="X155" s="142"/>
      <c r="Y155" s="122"/>
      <c r="Z155" s="135">
        <f>3+1</f>
        <v>4</v>
      </c>
      <c r="AA155" s="135"/>
      <c r="AB155" s="135">
        <f>Z155+AA155</f>
        <v>4</v>
      </c>
      <c r="AC155" s="135">
        <f>+O155-AB155</f>
        <v>29</v>
      </c>
      <c r="AD155" s="122"/>
      <c r="AE155" s="142" t="e">
        <f ca="1">GetCtData("PKAMOUNT","AMOUNT",$AE$11:$AE$18,$B155:$D155,AE$19:AE$20,"#33")</f>
        <v>#NAME?</v>
      </c>
      <c r="AF155" s="142"/>
      <c r="AG155" s="142" t="e">
        <f t="shared" ca="1" si="135"/>
        <v>#NAME?</v>
      </c>
      <c r="AH155" s="143" t="e">
        <f t="shared" ca="1" si="134"/>
        <v>#NAME?</v>
      </c>
      <c r="AI155" s="128"/>
      <c r="AJ155" s="142" t="e">
        <f t="shared" ca="1" si="73"/>
        <v>#NAME?</v>
      </c>
      <c r="AK155" s="142" t="e">
        <f ca="1">GetCtData("PKAMOUNT","AMOUNT",$AK$11:$AK$18,$B155:$D155,AK$19:AK$20,"#5")</f>
        <v>#NAME?</v>
      </c>
      <c r="AL155" s="143" t="e">
        <f ca="1">(O155-AO155)-AK155</f>
        <v>#NAME?</v>
      </c>
      <c r="AM155" s="122"/>
      <c r="AN155" s="142" t="e">
        <f ca="1">GetCtData("PKAMOUNT","AMOUNT",$AN$11:$AN$18,$B155:$D155,AN$19:AN$20,"#4")</f>
        <v>#NAME?</v>
      </c>
      <c r="AO155" s="142" t="e">
        <f ca="1">GetCtData("PKAMOUNT","AMOUNT",$AO$11:$AO$18,$B155:$D155,AO$19:AO$20,"#28")</f>
        <v>#NAME?</v>
      </c>
      <c r="AP155" s="122"/>
      <c r="AQ155" s="142" t="e">
        <f ca="1">GetCtData("PKAMOUNT","AMOUNT",$AQ$11:$AQ$18,$B155:$D155,AQ$19:AQ$20,"#32")</f>
        <v>#NAME?</v>
      </c>
      <c r="AR155" s="142" t="e">
        <f t="shared" ref="AR155:AR187" ca="1" si="159">O155-AQ155</f>
        <v>#NAME?</v>
      </c>
      <c r="AS155" s="142"/>
      <c r="AT155" s="142" t="e">
        <f ca="1">GetCtData("PKAMOUNT","AMOUNT",AT$11:AT$18,$B155:$D155,AT$19:AT$20,"#31")</f>
        <v>#NAME?</v>
      </c>
      <c r="AU155" s="142" t="e">
        <f ca="1">O155-AT155</f>
        <v>#NAME?</v>
      </c>
      <c r="AV155" s="72"/>
      <c r="AW155" s="72" t="e">
        <f t="shared" ref="AW155:AW187" ca="1" si="160">GetCtData("PKAMOUNT","AMOUNT",AW$11:AW$18,$B155:$D155,AW$19:AW$20,"#")</f>
        <v>#NAME?</v>
      </c>
      <c r="AX155" s="72" t="e">
        <f ca="1">O155-AW155</f>
        <v>#NAME?</v>
      </c>
      <c r="AY155" s="72"/>
      <c r="AZ155" s="72" t="e">
        <f ca="1">GetCtData("COAMOUNT","AMOUNT",$AZ$11:$AZ$17,$B155,AZ$19,AZ$20,"#")</f>
        <v>#NAME?</v>
      </c>
      <c r="BA155" s="72" t="e">
        <f ca="1">O155-AZ155</f>
        <v>#NAME?</v>
      </c>
      <c r="BB155" s="72"/>
      <c r="BC155" s="72" t="e">
        <f ca="1">GetCtData("COAMOUNT","AMOUNT",$BF$11:$BF$17,$B155,BC$19,BC$20,"#")</f>
        <v>#NAME?</v>
      </c>
      <c r="BD155" s="72" t="e">
        <f t="shared" ca="1" si="75"/>
        <v>#NAME?</v>
      </c>
      <c r="BE155" s="72"/>
      <c r="BF155" s="72" t="e">
        <f ca="1">GetCtData("COAMOUNT","AMOUNT",$BF$11:$BF$17,$B155,BF$19,BF$20,"#")</f>
        <v>#NAME?</v>
      </c>
      <c r="BG155" s="72" t="e">
        <f t="shared" ca="1" si="76"/>
        <v>#NAME?</v>
      </c>
      <c r="BH155" s="72"/>
      <c r="BI155" s="72" t="e">
        <f ca="1">GetCtData("COAMOUNT","AMOUNT",$AO$11:$AO$17,$B155,BI$19,BI$20,"#")</f>
        <v>#NAME?</v>
      </c>
      <c r="BJ155" s="72" t="e">
        <f t="shared" ca="1" si="77"/>
        <v>#NAME?</v>
      </c>
      <c r="BK155" s="72"/>
      <c r="BL155" s="72" t="e">
        <f ca="1">GetCtData("COAMOUNT","AMOUNT",$BO$11:$BO$17,$B155,BL$19,BL$20,"#")</f>
        <v>#NAME?</v>
      </c>
      <c r="BM155" s="72" t="e">
        <f ca="1">O155-BL155</f>
        <v>#NAME?</v>
      </c>
      <c r="BN155" s="72"/>
      <c r="BO155" s="72" t="e">
        <f ca="1">GetCtData("COAMOUNT","AMOUNT",$BO$11:$BO$17,$B155,BO$19,BO$20,"#")</f>
        <v>#NAME?</v>
      </c>
      <c r="BP155" s="72" t="e">
        <f t="shared" ca="1" si="79"/>
        <v>#NAME?</v>
      </c>
      <c r="BQ155" s="72"/>
      <c r="BR155" s="72" t="e">
        <f ca="1">GetCtData("COAMOUNT","AMOUNT",$BO$11:$BO$17,$B155,BR$19,BR$20,"#")</f>
        <v>#NAME?</v>
      </c>
      <c r="BS155" s="72" t="e">
        <f ca="1">#REF!-BR155</f>
        <v>#REF!</v>
      </c>
    </row>
    <row r="156" spans="1:71" outlineLevel="1" x14ac:dyDescent="0.2">
      <c r="A156" s="82" t="s">
        <v>243</v>
      </c>
      <c r="B156" s="82" t="s">
        <v>359</v>
      </c>
      <c r="D156" s="82" t="s">
        <v>172</v>
      </c>
      <c r="E156" s="153" t="e">
        <f ca="1">GetCtLabel(B156,"CURINIT(AC)!LDESC","#Stationery/art &amp; materials")&amp;" "&amp;D156</f>
        <v>#NAME?</v>
      </c>
      <c r="F156" s="137">
        <v>12</v>
      </c>
      <c r="G156" s="138"/>
      <c r="H156" s="137"/>
      <c r="I156" s="139"/>
      <c r="J156" s="139"/>
      <c r="K156" s="139">
        <v>-6</v>
      </c>
      <c r="L156" s="139"/>
      <c r="M156" s="139"/>
      <c r="N156" s="130"/>
      <c r="O156" s="140">
        <f t="shared" ref="O156:O186" si="161">SUM(F156:M156)</f>
        <v>6</v>
      </c>
      <c r="P156" s="141">
        <f t="shared" si="158"/>
        <v>6</v>
      </c>
      <c r="Q156" s="141">
        <f t="shared" si="158"/>
        <v>0</v>
      </c>
      <c r="R156" s="133" t="e">
        <f t="shared" ref="R156:R163" ca="1" si="162">PutCtData("PKAMOUNT","AMOUNT",R$11:R$14,$B156:$D156,R$17:R$18,$O156)</f>
        <v>#NAME?</v>
      </c>
      <c r="S156" s="133" t="e">
        <f ca="1">PutCtData("PKAMOUNT","AMOUNT",S$11:S$14,$B156:$D156,S$17,$M156)</f>
        <v>#NAME?</v>
      </c>
      <c r="T156" s="134" t="e">
        <f t="shared" ref="T156:T163" ca="1" si="163">PutCtData("PKAMOUNT","AMOUNT",T$11:T$14,$B156:$D156,T$17:T$18,$P156)</f>
        <v>#NAME?</v>
      </c>
      <c r="U156" s="134" t="e">
        <f t="shared" ref="U156:U170" ca="1" si="164">PutCtData("PKAMOUNT","AMOUNT",$U$11:$U$14,$B156:$D156,U$17:U$18,Q156)</f>
        <v>#NAME?</v>
      </c>
      <c r="V156" s="144"/>
      <c r="W156" s="142"/>
      <c r="X156" s="142"/>
      <c r="Y156" s="122"/>
      <c r="Z156" s="135">
        <f>17+5</f>
        <v>22</v>
      </c>
      <c r="AA156" s="135"/>
      <c r="AB156" s="135">
        <f t="shared" si="136"/>
        <v>22</v>
      </c>
      <c r="AC156" s="135">
        <f>+O156-AB156</f>
        <v>-16</v>
      </c>
      <c r="AD156" s="122"/>
      <c r="AE156" s="142" t="e">
        <f ca="1">GetCtData("PKAMOUNT","AMOUNT",$AE$11:$AE$18,$B156:$D156,AE$19:AE$20,"#7")</f>
        <v>#NAME?</v>
      </c>
      <c r="AF156" s="142"/>
      <c r="AG156" s="142" t="e">
        <f t="shared" ca="1" si="135"/>
        <v>#NAME?</v>
      </c>
      <c r="AH156" s="143" t="e">
        <f t="shared" ca="1" si="134"/>
        <v>#NAME?</v>
      </c>
      <c r="AI156" s="128"/>
      <c r="AJ156" s="142" t="e">
        <f t="shared" ca="1" si="73"/>
        <v>#NAME?</v>
      </c>
      <c r="AK156" s="142" t="e">
        <f ca="1">GetCtData("PKAMOUNT","AMOUNT",$AK$11:$AK$18,$B156:$D156,AK$19:AK$20,"#1")</f>
        <v>#NAME?</v>
      </c>
      <c r="AL156" s="143" t="e">
        <f ca="1">(O156-AO156)-AK156</f>
        <v>#NAME?</v>
      </c>
      <c r="AM156" s="122"/>
      <c r="AN156" s="142" t="e">
        <f ca="1">GetCtData("PKAMOUNT","AMOUNT",$AN$11:$AN$18,$B156:$D156,AN$19:AN$20,"#1")</f>
        <v>#NAME?</v>
      </c>
      <c r="AO156" s="142" t="e">
        <f ca="1">GetCtData("PKAMOUNT","AMOUNT",$AO$11:$AO$18,$B156:$D156,AO$19:AO$20,"#6")</f>
        <v>#NAME?</v>
      </c>
      <c r="AP156" s="122"/>
      <c r="AQ156" s="142" t="e">
        <f ca="1">GetCtData("PKAMOUNT","AMOUNT",$AQ$11:$AQ$18,$B156:$D156,AQ$19:AQ$20,"#6")</f>
        <v>#NAME?</v>
      </c>
      <c r="AR156" s="142" t="e">
        <f t="shared" ca="1" si="159"/>
        <v>#NAME?</v>
      </c>
      <c r="AS156" s="142"/>
      <c r="AT156" s="142" t="e">
        <f ca="1">GetCtData("PKAMOUNT","AMOUNT",AT$11:AT$18,$B156:$D156,AT$19:AT$20,"#31")</f>
        <v>#NAME?</v>
      </c>
      <c r="AU156" s="142" t="e">
        <f ca="1">O156-AT156</f>
        <v>#NAME?</v>
      </c>
      <c r="AV156" s="72"/>
      <c r="AW156" s="72" t="e">
        <f t="shared" ca="1" si="160"/>
        <v>#NAME?</v>
      </c>
      <c r="AX156" s="72" t="e">
        <f ca="1">O156-AW156</f>
        <v>#NAME?</v>
      </c>
      <c r="AY156" s="72"/>
      <c r="AZ156" s="72" t="e">
        <f ca="1">GetCtData("COAMOUNT","AMOUNT",$AZ$11:$AZ$17,$B156,AZ$19,AZ$20,"#")</f>
        <v>#NAME?</v>
      </c>
      <c r="BA156" s="72" t="e">
        <f ca="1">O156-AZ156</f>
        <v>#NAME?</v>
      </c>
      <c r="BB156" s="72"/>
      <c r="BC156" s="72" t="e">
        <f ca="1">GetCtData("COAMOUNT","AMOUNT",$BF$11:$BF$17,$B156,BC$19,BC$20,"#")</f>
        <v>#NAME?</v>
      </c>
      <c r="BD156" s="72" t="e">
        <f t="shared" ca="1" si="75"/>
        <v>#NAME?</v>
      </c>
      <c r="BE156" s="72"/>
      <c r="BF156" s="72" t="e">
        <f ca="1">GetCtData("COAMOUNT","AMOUNT",$BF$11:$BF$17,$B156,BF$19,BF$20,"#")</f>
        <v>#NAME?</v>
      </c>
      <c r="BG156" s="72" t="e">
        <f t="shared" ca="1" si="76"/>
        <v>#NAME?</v>
      </c>
      <c r="BH156" s="72"/>
      <c r="BI156" s="72" t="e">
        <f ca="1">GetCtData("COAMOUNT","AMOUNT",$AO$11:$AO$17,$B156,BI$19,BI$20,"#")</f>
        <v>#NAME?</v>
      </c>
      <c r="BJ156" s="72" t="e">
        <f t="shared" ca="1" si="77"/>
        <v>#NAME?</v>
      </c>
      <c r="BK156" s="72"/>
      <c r="BL156" s="72" t="e">
        <f ca="1">GetCtData("COAMOUNT","AMOUNT",$BO$11:$BO$17,$B156,BL$19,BL$20,"#")</f>
        <v>#NAME?</v>
      </c>
      <c r="BM156" s="72" t="e">
        <f ca="1">O156-BL156</f>
        <v>#NAME?</v>
      </c>
      <c r="BN156" s="72"/>
      <c r="BO156" s="72" t="e">
        <f ca="1">GetCtData("COAMOUNT","AMOUNT",$BO$11:$BO$17,$B156,BO$19,BO$20,"#")</f>
        <v>#NAME?</v>
      </c>
      <c r="BP156" s="72" t="e">
        <f t="shared" ca="1" si="79"/>
        <v>#NAME?</v>
      </c>
      <c r="BQ156" s="72"/>
      <c r="BR156" s="72" t="e">
        <f ca="1">GetCtData("COAMOUNT","AMOUNT",$BO$11:$BO$17,$B156,BR$19,BR$20,"#")</f>
        <v>#NAME?</v>
      </c>
      <c r="BS156" s="72" t="e">
        <f ca="1">#REF!-BR156</f>
        <v>#REF!</v>
      </c>
    </row>
    <row r="157" spans="1:71" outlineLevel="1" x14ac:dyDescent="0.2">
      <c r="A157" s="82" t="s">
        <v>243</v>
      </c>
      <c r="B157" s="82" t="s">
        <v>359</v>
      </c>
      <c r="D157" s="82" t="s">
        <v>196</v>
      </c>
      <c r="E157" s="153" t="e">
        <f ca="1">GetCtLabel(B157,"CURINIT(AC)!LDESC","#Stationery/art &amp; materials")&amp;" "&amp;D157</f>
        <v>#NAME?</v>
      </c>
      <c r="F157" s="137">
        <v>27</v>
      </c>
      <c r="G157" s="138"/>
      <c r="H157" s="137"/>
      <c r="I157" s="139"/>
      <c r="J157" s="139"/>
      <c r="K157" s="139"/>
      <c r="L157" s="139"/>
      <c r="M157" s="139"/>
      <c r="N157" s="130"/>
      <c r="O157" s="140">
        <f>SUM(F157:M157)</f>
        <v>27</v>
      </c>
      <c r="P157" s="141">
        <f t="shared" si="158"/>
        <v>0</v>
      </c>
      <c r="Q157" s="141">
        <f t="shared" si="158"/>
        <v>0</v>
      </c>
      <c r="R157" s="133" t="e">
        <f t="shared" ca="1" si="162"/>
        <v>#NAME?</v>
      </c>
      <c r="S157" s="133" t="e">
        <f ca="1">PutCtData("PKAMOUNT","AMOUNT",S$11:S$14,$B157:$D157,S$17,$M157)</f>
        <v>#NAME?</v>
      </c>
      <c r="T157" s="134" t="e">
        <f t="shared" ca="1" si="163"/>
        <v>#NAME?</v>
      </c>
      <c r="U157" s="134" t="e">
        <f t="shared" ca="1" si="164"/>
        <v>#NAME?</v>
      </c>
      <c r="V157" s="144"/>
      <c r="W157" s="142"/>
      <c r="X157" s="142"/>
      <c r="Y157" s="122"/>
      <c r="Z157" s="135"/>
      <c r="AA157" s="135"/>
      <c r="AB157" s="135"/>
      <c r="AC157" s="135"/>
      <c r="AD157" s="122"/>
      <c r="AE157" s="142" t="e">
        <f ca="1">GetCtData("PKAMOUNT","AMOUNT",$AE$11:$AE$18,$B157:$D157,AE$19:AE$20,"#26")</f>
        <v>#NAME?</v>
      </c>
      <c r="AF157" s="142"/>
      <c r="AG157" s="142" t="e">
        <f t="shared" ca="1" si="135"/>
        <v>#NAME?</v>
      </c>
      <c r="AH157" s="143" t="e">
        <f t="shared" ca="1" si="134"/>
        <v>#NAME?</v>
      </c>
      <c r="AI157" s="128"/>
      <c r="AJ157" s="142" t="e">
        <f t="shared" ref="AJ157:AJ204" ca="1" si="165">O157-AO157</f>
        <v>#NAME?</v>
      </c>
      <c r="AK157" s="142" t="e">
        <f ca="1">GetCtData("PKAMOUNT","AMOUNT",$AK$11:$AK$18,$B157:$D157,AK$19:AK$20,"#4")</f>
        <v>#NAME?</v>
      </c>
      <c r="AL157" s="143"/>
      <c r="AM157" s="122"/>
      <c r="AN157" s="142" t="e">
        <f ca="1">GetCtData("PKAMOUNT","AMOUNT",$AN$11:$AN$18,$B157:$D157,AN$19:AN$20,"#3")</f>
        <v>#NAME?</v>
      </c>
      <c r="AO157" s="142" t="e">
        <f ca="1">GetCtData("PKAMOUNT","AMOUNT",$AO$11:$AO$18,$B157:$D157,AO$19:AO$20,"#22")</f>
        <v>#NAME?</v>
      </c>
      <c r="AP157" s="122"/>
      <c r="AQ157" s="142" t="e">
        <f ca="1">GetCtData("PKAMOUNT","AMOUNT",$AQ$11:$AQ$18,$B157:$D157,AQ$19:AQ$20,"#26")</f>
        <v>#NAME?</v>
      </c>
      <c r="AR157" s="142" t="e">
        <f t="shared" ca="1" si="159"/>
        <v>#NAME?</v>
      </c>
      <c r="AS157" s="142"/>
      <c r="AT157" s="142" t="e">
        <f ca="1">GetCtData("PKAMOUNT","AMOUNT",AT$11:AT$18,$B157:$D157,AT$19:AT$20,"#24")</f>
        <v>#NAME?</v>
      </c>
      <c r="AU157" s="142"/>
      <c r="AV157" s="72"/>
      <c r="AW157" s="72" t="e">
        <f t="shared" ca="1" si="160"/>
        <v>#NAME?</v>
      </c>
      <c r="AX157" s="72"/>
      <c r="AY157" s="72"/>
      <c r="AZ157" s="72"/>
      <c r="BA157" s="72"/>
      <c r="BB157" s="72"/>
      <c r="BC157" s="72"/>
      <c r="BD157" s="72"/>
      <c r="BE157" s="72"/>
      <c r="BF157" s="72"/>
      <c r="BG157" s="72"/>
      <c r="BH157" s="72"/>
      <c r="BI157" s="72"/>
      <c r="BJ157" s="72"/>
      <c r="BK157" s="72"/>
      <c r="BL157" s="72"/>
      <c r="BM157" s="72"/>
      <c r="BN157" s="72"/>
      <c r="BO157" s="72"/>
      <c r="BP157" s="72"/>
      <c r="BQ157" s="72"/>
      <c r="BR157" s="72"/>
      <c r="BS157" s="72"/>
    </row>
    <row r="158" spans="1:71" x14ac:dyDescent="0.2">
      <c r="A158" s="82" t="s">
        <v>243</v>
      </c>
      <c r="B158" s="82" t="s">
        <v>360</v>
      </c>
      <c r="D158" s="82" t="s">
        <v>172</v>
      </c>
      <c r="E158" s="74" t="e">
        <f ca="1">GetCtLabel(B158,"CURINIT(AC)!LDESC","#Office equipment lease")</f>
        <v>#NAME?</v>
      </c>
      <c r="F158" s="137"/>
      <c r="G158" s="138"/>
      <c r="H158" s="137"/>
      <c r="I158" s="139"/>
      <c r="J158" s="139"/>
      <c r="K158" s="139"/>
      <c r="L158" s="139"/>
      <c r="M158" s="139"/>
      <c r="N158" s="130"/>
      <c r="O158" s="140">
        <f t="shared" si="161"/>
        <v>0</v>
      </c>
      <c r="P158" s="141">
        <f t="shared" si="158"/>
        <v>0</v>
      </c>
      <c r="Q158" s="141">
        <f t="shared" si="158"/>
        <v>0</v>
      </c>
      <c r="R158" s="133" t="e">
        <f t="shared" ca="1" si="162"/>
        <v>#NAME?</v>
      </c>
      <c r="S158" s="133" t="e">
        <f ca="1">PutCtData("PKAMOUNT","AMOUNT",S$11:S$14,$B158:$D158,S$17,$M158)</f>
        <v>#NAME?</v>
      </c>
      <c r="T158" s="134" t="e">
        <f t="shared" ca="1" si="163"/>
        <v>#NAME?</v>
      </c>
      <c r="U158" s="134" t="e">
        <f t="shared" ca="1" si="164"/>
        <v>#NAME?</v>
      </c>
      <c r="V158" s="144"/>
      <c r="W158" s="142"/>
      <c r="X158" s="142"/>
      <c r="Y158" s="122"/>
      <c r="Z158" s="135"/>
      <c r="AA158" s="135"/>
      <c r="AB158" s="135">
        <f t="shared" si="136"/>
        <v>0</v>
      </c>
      <c r="AC158" s="135">
        <f t="shared" ref="AC158:AC165" si="166">+O158-AB158</f>
        <v>0</v>
      </c>
      <c r="AD158" s="122"/>
      <c r="AE158" s="142" t="e">
        <f ca="1">GetCtData("PKAMOUNT","AMOUNT",$AE$11:$AE$18,$B158:$D158,AE$19:AE$20,"#0")</f>
        <v>#NAME?</v>
      </c>
      <c r="AF158" s="142"/>
      <c r="AG158" s="142" t="e">
        <f t="shared" ca="1" si="135"/>
        <v>#NAME?</v>
      </c>
      <c r="AH158" s="143" t="e">
        <f t="shared" ca="1" si="134"/>
        <v>#NAME?</v>
      </c>
      <c r="AI158" s="128"/>
      <c r="AJ158" s="142" t="e">
        <f t="shared" ca="1" si="165"/>
        <v>#NAME?</v>
      </c>
      <c r="AK158" s="142" t="e">
        <f ca="1">GetCtData("PKAMOUNT","AMOUNT",$AK$11:$AK$18,$B158:$D158,AK$19:AK$20,"#")</f>
        <v>#NAME?</v>
      </c>
      <c r="AL158" s="143" t="e">
        <f t="shared" ref="AL158:AL165" ca="1" si="167">(O158-AO158)-AK158</f>
        <v>#NAME?</v>
      </c>
      <c r="AM158" s="122"/>
      <c r="AN158" s="142" t="e">
        <f ca="1">GetCtData("PKAMOUNT","AMOUNT",$AN$11:$AN$18,$B158:$D158,AN$19:AN$20,"#0")</f>
        <v>#NAME?</v>
      </c>
      <c r="AO158" s="142" t="e">
        <f ca="1">GetCtData("PKAMOUNT","AMOUNT",$AO$11:$AO$18,$B158:$D158,AO$19:AO$20,"#0")</f>
        <v>#NAME?</v>
      </c>
      <c r="AP158" s="122"/>
      <c r="AQ158" s="142" t="e">
        <f ca="1">GetCtData("PKAMOUNT","AMOUNT",$AQ$11:$AQ$18,$B158:$D158,AQ$19:AQ$20,"#0")</f>
        <v>#NAME?</v>
      </c>
      <c r="AR158" s="142" t="e">
        <f t="shared" ca="1" si="159"/>
        <v>#NAME?</v>
      </c>
      <c r="AS158" s="142"/>
      <c r="AT158" s="142" t="e">
        <f ca="1">GetCtData("PKAMOUNT","AMOUNT",AT$11:AT$18,$B158:$D158,AT$19:AT$20,"#0")</f>
        <v>#NAME?</v>
      </c>
      <c r="AU158" s="142" t="e">
        <f t="shared" ref="AU158:AU165" ca="1" si="168">O158-AT158</f>
        <v>#NAME?</v>
      </c>
      <c r="AV158" s="72"/>
      <c r="AW158" s="72" t="e">
        <f t="shared" ca="1" si="160"/>
        <v>#NAME?</v>
      </c>
      <c r="AX158" s="72" t="e">
        <f t="shared" ref="AX158:AX165" ca="1" si="169">O158-AW158</f>
        <v>#NAME?</v>
      </c>
      <c r="AY158" s="72"/>
      <c r="AZ158" s="72" t="e">
        <f t="shared" ref="AZ158:AZ165" ca="1" si="170">GetCtData("COAMOUNT","AMOUNT",$AZ$11:$AZ$17,$B158,AZ$19,AZ$20,"#")</f>
        <v>#NAME?</v>
      </c>
      <c r="BA158" s="72" t="e">
        <f t="shared" ref="BA158:BA165" ca="1" si="171">O158-AZ158</f>
        <v>#NAME?</v>
      </c>
      <c r="BB158" s="72"/>
      <c r="BC158" s="72" t="e">
        <f t="shared" ref="BC158:BC165" ca="1" si="172">GetCtData("COAMOUNT","AMOUNT",$BF$11:$BF$17,$B158,BC$19,BC$20,"#")</f>
        <v>#NAME?</v>
      </c>
      <c r="BD158" s="72" t="e">
        <f t="shared" ref="BD158:BD165" ca="1" si="173">K158-BC158</f>
        <v>#NAME?</v>
      </c>
      <c r="BE158" s="72"/>
      <c r="BF158" s="72" t="e">
        <f t="shared" ref="BF158:BF165" ca="1" si="174">GetCtData("COAMOUNT","AMOUNT",$BF$11:$BF$17,$B158,BF$19,BF$20,"#")</f>
        <v>#NAME?</v>
      </c>
      <c r="BG158" s="72" t="e">
        <f t="shared" ref="BG158:BG165" ca="1" si="175">O158-BF158</f>
        <v>#NAME?</v>
      </c>
      <c r="BH158" s="72"/>
      <c r="BI158" s="72" t="e">
        <f t="shared" ref="BI158:BI165" ca="1" si="176">GetCtData("COAMOUNT","AMOUNT",$AO$11:$AO$17,$B158,BI$19,BI$20,"#")</f>
        <v>#NAME?</v>
      </c>
      <c r="BJ158" s="72" t="e">
        <f t="shared" ref="BJ158:BJ165" ca="1" si="177">O158-BI158</f>
        <v>#NAME?</v>
      </c>
      <c r="BK158" s="72"/>
      <c r="BL158" s="72" t="e">
        <f t="shared" ref="BL158:BL165" ca="1" si="178">GetCtData("COAMOUNT","AMOUNT",$BO$11:$BO$17,$B158,BL$19,BL$20,"#")</f>
        <v>#NAME?</v>
      </c>
      <c r="BM158" s="72" t="e">
        <f t="shared" ref="BM158:BM165" ca="1" si="179">O158-BL158</f>
        <v>#NAME?</v>
      </c>
      <c r="BN158" s="72"/>
      <c r="BO158" s="72" t="e">
        <f t="shared" ref="BO158:BO165" ca="1" si="180">GetCtData("COAMOUNT","AMOUNT",$BO$11:$BO$17,$B158,BO$19,BO$20,"#")</f>
        <v>#NAME?</v>
      </c>
      <c r="BP158" s="72" t="e">
        <f t="shared" ref="BP158:BP165" ca="1" si="181">O158-BO158</f>
        <v>#NAME?</v>
      </c>
      <c r="BQ158" s="72"/>
      <c r="BR158" s="72" t="e">
        <f t="shared" ref="BR158:BR165" ca="1" si="182">GetCtData("COAMOUNT","AMOUNT",$BO$11:$BO$17,$B158,BR$19,BR$20,"#")</f>
        <v>#NAME?</v>
      </c>
      <c r="BS158" s="72" t="e">
        <f ca="1">#REF!-BR158</f>
        <v>#REF!</v>
      </c>
    </row>
    <row r="159" spans="1:71" x14ac:dyDescent="0.2">
      <c r="A159" s="82" t="s">
        <v>243</v>
      </c>
      <c r="B159" s="82" t="s">
        <v>361</v>
      </c>
      <c r="D159" s="82" t="s">
        <v>172</v>
      </c>
      <c r="E159" s="74" t="e">
        <f ca="1">GetCtLabel(B159,"CURINIT(AC)!LDESC","#Office equipment maintenance/service")</f>
        <v>#NAME?</v>
      </c>
      <c r="F159" s="137">
        <v>3</v>
      </c>
      <c r="G159" s="138"/>
      <c r="H159" s="137"/>
      <c r="I159" s="139"/>
      <c r="J159" s="139"/>
      <c r="K159" s="139"/>
      <c r="L159" s="139"/>
      <c r="M159" s="139"/>
      <c r="N159" s="130"/>
      <c r="O159" s="140">
        <f t="shared" si="161"/>
        <v>3</v>
      </c>
      <c r="P159" s="141">
        <f t="shared" si="158"/>
        <v>0</v>
      </c>
      <c r="Q159" s="141">
        <f t="shared" si="158"/>
        <v>0</v>
      </c>
      <c r="R159" s="133" t="e">
        <f t="shared" ca="1" si="162"/>
        <v>#NAME?</v>
      </c>
      <c r="S159" s="133" t="e">
        <f ca="1">PutCtData("PKAMOUNT","AMOUNT",S$11:S$15,$B159:$C159,S$17,$M159)</f>
        <v>#NAME?</v>
      </c>
      <c r="T159" s="134" t="e">
        <f t="shared" ca="1" si="163"/>
        <v>#NAME?</v>
      </c>
      <c r="U159" s="134" t="e">
        <f t="shared" ca="1" si="164"/>
        <v>#NAME?</v>
      </c>
      <c r="V159" s="144"/>
      <c r="W159" s="142"/>
      <c r="X159" s="142"/>
      <c r="Y159" s="122"/>
      <c r="Z159" s="135">
        <f>3+1</f>
        <v>4</v>
      </c>
      <c r="AA159" s="135"/>
      <c r="AB159" s="135">
        <f t="shared" si="136"/>
        <v>4</v>
      </c>
      <c r="AC159" s="135">
        <f t="shared" si="166"/>
        <v>-1</v>
      </c>
      <c r="AD159" s="122"/>
      <c r="AE159" s="142" t="e">
        <f ca="1">GetCtData("PKAMOUNT","AMOUNT",$AE$11:$AE$18,$B159:$D159,AE$19:AE$20,"#4")</f>
        <v>#NAME?</v>
      </c>
      <c r="AF159" s="142"/>
      <c r="AG159" s="142" t="e">
        <f t="shared" ca="1" si="135"/>
        <v>#NAME?</v>
      </c>
      <c r="AH159" s="175" t="e">
        <f t="shared" ca="1" si="134"/>
        <v>#NAME?</v>
      </c>
      <c r="AI159" s="128"/>
      <c r="AJ159" s="142" t="e">
        <f t="shared" ca="1" si="165"/>
        <v>#NAME?</v>
      </c>
      <c r="AK159" s="142" t="e">
        <f ca="1">GetCtData("PKAMOUNT","AMOUNT",$AK$11:$AK$18,$B159:$D159,AK$19:AK$20,"#1")</f>
        <v>#NAME?</v>
      </c>
      <c r="AL159" s="143" t="e">
        <f t="shared" ca="1" si="167"/>
        <v>#NAME?</v>
      </c>
      <c r="AM159" s="122"/>
      <c r="AN159" s="142" t="e">
        <f ca="1">GetCtData("PKAMOUNT","AMOUNT",$AN$11:$AN$18,$B159:$D159,AN$19:AN$20,"#1")</f>
        <v>#NAME?</v>
      </c>
      <c r="AO159" s="142" t="e">
        <f ca="1">GetCtData("PKAMOUNT","AMOUNT",$AO$11:$AO$18,$B159:$D159,AO$19:AO$20,"#3")</f>
        <v>#NAME?</v>
      </c>
      <c r="AP159" s="122"/>
      <c r="AQ159" s="142" t="e">
        <f ca="1">GetCtData("PKAMOUNT","AMOUNT",$AQ$11:$AQ$18,$B159:$D159,AQ$19:AQ$20,"#6")</f>
        <v>#NAME?</v>
      </c>
      <c r="AR159" s="142" t="e">
        <f t="shared" ca="1" si="159"/>
        <v>#NAME?</v>
      </c>
      <c r="AS159" s="142"/>
      <c r="AT159" s="142" t="e">
        <f ca="1">GetCtData("PKAMOUNT","AMOUNT",AT$11:AT$18,$B159:$D159,AT$19:AT$20,"#6")</f>
        <v>#NAME?</v>
      </c>
      <c r="AU159" s="142" t="e">
        <f t="shared" ca="1" si="168"/>
        <v>#NAME?</v>
      </c>
      <c r="AV159" s="72"/>
      <c r="AW159" s="72" t="e">
        <f t="shared" ca="1" si="160"/>
        <v>#NAME?</v>
      </c>
      <c r="AX159" s="72" t="e">
        <f t="shared" ca="1" si="169"/>
        <v>#NAME?</v>
      </c>
      <c r="AY159" s="72"/>
      <c r="AZ159" s="72" t="e">
        <f t="shared" ca="1" si="170"/>
        <v>#NAME?</v>
      </c>
      <c r="BA159" s="72" t="e">
        <f t="shared" ca="1" si="171"/>
        <v>#NAME?</v>
      </c>
      <c r="BB159" s="72"/>
      <c r="BC159" s="72" t="e">
        <f t="shared" ca="1" si="172"/>
        <v>#NAME?</v>
      </c>
      <c r="BD159" s="72" t="e">
        <f t="shared" ca="1" si="173"/>
        <v>#NAME?</v>
      </c>
      <c r="BE159" s="72"/>
      <c r="BF159" s="72" t="e">
        <f t="shared" ca="1" si="174"/>
        <v>#NAME?</v>
      </c>
      <c r="BG159" s="72" t="e">
        <f t="shared" ca="1" si="175"/>
        <v>#NAME?</v>
      </c>
      <c r="BH159" s="72"/>
      <c r="BI159" s="72" t="e">
        <f t="shared" ca="1" si="176"/>
        <v>#NAME?</v>
      </c>
      <c r="BJ159" s="72" t="e">
        <f t="shared" ca="1" si="177"/>
        <v>#NAME?</v>
      </c>
      <c r="BK159" s="72"/>
      <c r="BL159" s="72" t="e">
        <f t="shared" ca="1" si="178"/>
        <v>#NAME?</v>
      </c>
      <c r="BM159" s="72" t="e">
        <f t="shared" ca="1" si="179"/>
        <v>#NAME?</v>
      </c>
      <c r="BN159" s="72"/>
      <c r="BO159" s="72" t="e">
        <f t="shared" ca="1" si="180"/>
        <v>#NAME?</v>
      </c>
      <c r="BP159" s="72" t="e">
        <f t="shared" ca="1" si="181"/>
        <v>#NAME?</v>
      </c>
      <c r="BQ159" s="72"/>
      <c r="BR159" s="72" t="e">
        <f t="shared" ca="1" si="182"/>
        <v>#NAME?</v>
      </c>
      <c r="BS159" s="72" t="e">
        <f ca="1">#REF!-BR159</f>
        <v>#REF!</v>
      </c>
    </row>
    <row r="160" spans="1:71" outlineLevel="1" x14ac:dyDescent="0.2">
      <c r="A160" s="82" t="s">
        <v>243</v>
      </c>
      <c r="B160" s="82" t="s">
        <v>362</v>
      </c>
      <c r="D160" s="82" t="s">
        <v>172</v>
      </c>
      <c r="E160" s="74" t="e">
        <f ca="1">GetCtLabel(B160,"CURINIT(AC)!LDESC","#Reproduction")</f>
        <v>#NAME?</v>
      </c>
      <c r="F160" s="137"/>
      <c r="G160" s="138"/>
      <c r="H160" s="137"/>
      <c r="I160" s="139"/>
      <c r="J160" s="139"/>
      <c r="K160" s="139"/>
      <c r="L160" s="139"/>
      <c r="M160" s="139"/>
      <c r="N160" s="130"/>
      <c r="O160" s="140">
        <f t="shared" si="161"/>
        <v>0</v>
      </c>
      <c r="P160" s="141">
        <f t="shared" si="158"/>
        <v>0</v>
      </c>
      <c r="Q160" s="141">
        <f t="shared" si="158"/>
        <v>0</v>
      </c>
      <c r="R160" s="133" t="e">
        <f t="shared" ca="1" si="162"/>
        <v>#NAME?</v>
      </c>
      <c r="S160" s="133" t="e">
        <f ca="1">PutCtData("PKAMOUNT","AMOUNT",S$11:S$15,$B160:$C160,S$17,$M160)</f>
        <v>#NAME?</v>
      </c>
      <c r="T160" s="134" t="e">
        <f t="shared" ca="1" si="163"/>
        <v>#NAME?</v>
      </c>
      <c r="U160" s="134" t="e">
        <f t="shared" ca="1" si="164"/>
        <v>#NAME?</v>
      </c>
      <c r="V160" s="144"/>
      <c r="W160" s="142"/>
      <c r="X160" s="142"/>
      <c r="Y160" s="122"/>
      <c r="Z160" s="135"/>
      <c r="AA160" s="135"/>
      <c r="AB160" s="135">
        <f t="shared" si="136"/>
        <v>0</v>
      </c>
      <c r="AC160" s="135">
        <f t="shared" si="166"/>
        <v>0</v>
      </c>
      <c r="AD160" s="122"/>
      <c r="AE160" s="142" t="e">
        <f ca="1">GetCtData("PKAMOUNT","AMOUNT",$AE$11:$AE$18,$B160:$D160,AE$19:AE$20,"#0")</f>
        <v>#NAME?</v>
      </c>
      <c r="AF160" s="142"/>
      <c r="AG160" s="142" t="e">
        <f t="shared" ca="1" si="135"/>
        <v>#NAME?</v>
      </c>
      <c r="AH160" s="143" t="e">
        <f t="shared" ca="1" si="134"/>
        <v>#NAME?</v>
      </c>
      <c r="AI160" s="128"/>
      <c r="AJ160" s="142" t="e">
        <f t="shared" ca="1" si="165"/>
        <v>#NAME?</v>
      </c>
      <c r="AK160" s="142" t="e">
        <f ca="1">GetCtData("PKAMOUNT","AMOUNT",$AK$11:$AK$18,$B160:$D160,AK$19:AK$20,"#0")</f>
        <v>#NAME?</v>
      </c>
      <c r="AL160" s="143" t="e">
        <f t="shared" ca="1" si="167"/>
        <v>#NAME?</v>
      </c>
      <c r="AM160" s="122"/>
      <c r="AN160" s="142" t="e">
        <f ca="1">GetCtData("PKAMOUNT","AMOUNT",$AN$11:$AN$18,$B160:$D160,AN$19:AN$20,"#0")</f>
        <v>#NAME?</v>
      </c>
      <c r="AO160" s="142" t="e">
        <f ca="1">GetCtData("PKAMOUNT","AMOUNT",$AO$11:$AO$18,$B160:$D160,AO$19:AO$20,"#0")</f>
        <v>#NAME?</v>
      </c>
      <c r="AP160" s="122"/>
      <c r="AQ160" s="142" t="e">
        <f ca="1">GetCtData("PKAMOUNT","AMOUNT",$AQ$11:$AQ$18,$B160:$D160,AQ$19:AQ$20,"#0")</f>
        <v>#NAME?</v>
      </c>
      <c r="AR160" s="142" t="e">
        <f t="shared" ca="1" si="159"/>
        <v>#NAME?</v>
      </c>
      <c r="AS160" s="142"/>
      <c r="AT160" s="142" t="e">
        <f ca="1">GetCtData("PKAMOUNT","AMOUNT",AT$11:AT$18,$B160:$D160,AT$19:AT$20,"#0")</f>
        <v>#NAME?</v>
      </c>
      <c r="AU160" s="142" t="e">
        <f t="shared" ca="1" si="168"/>
        <v>#NAME?</v>
      </c>
      <c r="AV160" s="72"/>
      <c r="AW160" s="72" t="e">
        <f t="shared" ca="1" si="160"/>
        <v>#NAME?</v>
      </c>
      <c r="AX160" s="72" t="e">
        <f t="shared" ca="1" si="169"/>
        <v>#NAME?</v>
      </c>
      <c r="AY160" s="72"/>
      <c r="AZ160" s="72" t="e">
        <f t="shared" ca="1" si="170"/>
        <v>#NAME?</v>
      </c>
      <c r="BA160" s="72" t="e">
        <f t="shared" ca="1" si="171"/>
        <v>#NAME?</v>
      </c>
      <c r="BB160" s="72"/>
      <c r="BC160" s="72" t="e">
        <f t="shared" ca="1" si="172"/>
        <v>#NAME?</v>
      </c>
      <c r="BD160" s="72" t="e">
        <f t="shared" ca="1" si="173"/>
        <v>#NAME?</v>
      </c>
      <c r="BE160" s="72"/>
      <c r="BF160" s="72" t="e">
        <f t="shared" ca="1" si="174"/>
        <v>#NAME?</v>
      </c>
      <c r="BG160" s="72" t="e">
        <f t="shared" ca="1" si="175"/>
        <v>#NAME?</v>
      </c>
      <c r="BH160" s="72"/>
      <c r="BI160" s="72" t="e">
        <f t="shared" ca="1" si="176"/>
        <v>#NAME?</v>
      </c>
      <c r="BJ160" s="72" t="e">
        <f t="shared" ca="1" si="177"/>
        <v>#NAME?</v>
      </c>
      <c r="BK160" s="72"/>
      <c r="BL160" s="72" t="e">
        <f t="shared" ca="1" si="178"/>
        <v>#NAME?</v>
      </c>
      <c r="BM160" s="72" t="e">
        <f t="shared" ca="1" si="179"/>
        <v>#NAME?</v>
      </c>
      <c r="BN160" s="72"/>
      <c r="BO160" s="72" t="e">
        <f t="shared" ca="1" si="180"/>
        <v>#NAME?</v>
      </c>
      <c r="BP160" s="72" t="e">
        <f t="shared" ca="1" si="181"/>
        <v>#NAME?</v>
      </c>
      <c r="BQ160" s="72"/>
      <c r="BR160" s="72" t="e">
        <f t="shared" ca="1" si="182"/>
        <v>#NAME?</v>
      </c>
      <c r="BS160" s="72" t="e">
        <f ca="1">#REF!-BR160</f>
        <v>#REF!</v>
      </c>
    </row>
    <row r="161" spans="1:71" x14ac:dyDescent="0.2">
      <c r="A161" s="82" t="s">
        <v>243</v>
      </c>
      <c r="B161" s="82" t="s">
        <v>363</v>
      </c>
      <c r="D161" s="82" t="s">
        <v>172</v>
      </c>
      <c r="E161" s="74" t="e">
        <f ca="1">GetCtLabel(B161,"CURINIT(AC)!LDESC","#Fixtures, Fittings &amp; Equipment Depn.")</f>
        <v>#NAME?</v>
      </c>
      <c r="F161" s="137">
        <v>2</v>
      </c>
      <c r="G161" s="138"/>
      <c r="H161" s="137"/>
      <c r="I161" s="139"/>
      <c r="J161" s="139"/>
      <c r="K161" s="139"/>
      <c r="L161" s="139"/>
      <c r="M161" s="139"/>
      <c r="N161" s="130"/>
      <c r="O161" s="140">
        <f t="shared" si="161"/>
        <v>2</v>
      </c>
      <c r="P161" s="141">
        <f t="shared" si="158"/>
        <v>0</v>
      </c>
      <c r="Q161" s="141">
        <f t="shared" si="158"/>
        <v>0</v>
      </c>
      <c r="R161" s="133" t="e">
        <f t="shared" ca="1" si="162"/>
        <v>#NAME?</v>
      </c>
      <c r="S161" s="133" t="e">
        <f ca="1">PutCtData("PKAMOUNT","AMOUNT",S$11:S$14,$B161:$D161,S$17,$M161)</f>
        <v>#NAME?</v>
      </c>
      <c r="T161" s="134" t="e">
        <f t="shared" ca="1" si="163"/>
        <v>#NAME?</v>
      </c>
      <c r="U161" s="134" t="e">
        <f t="shared" ca="1" si="164"/>
        <v>#NAME?</v>
      </c>
      <c r="V161" s="144"/>
      <c r="W161" s="142"/>
      <c r="X161" s="142"/>
      <c r="Y161" s="122"/>
      <c r="Z161" s="135">
        <v>1</v>
      </c>
      <c r="AA161" s="135"/>
      <c r="AB161" s="135">
        <f t="shared" si="136"/>
        <v>1</v>
      </c>
      <c r="AC161" s="135">
        <f t="shared" si="166"/>
        <v>1</v>
      </c>
      <c r="AD161" s="122"/>
      <c r="AE161" s="142" t="e">
        <f ca="1">GetCtData("PKAMOUNT","AMOUNT",$AE$11:$AE$18,$B161:$D161,AE$19:AE$20,"#3")</f>
        <v>#NAME?</v>
      </c>
      <c r="AF161" s="142"/>
      <c r="AG161" s="142" t="e">
        <f t="shared" ca="1" si="135"/>
        <v>#NAME?</v>
      </c>
      <c r="AH161" s="143" t="e">
        <f t="shared" ca="1" si="134"/>
        <v>#NAME?</v>
      </c>
      <c r="AI161" s="128"/>
      <c r="AJ161" s="142" t="e">
        <f t="shared" ca="1" si="165"/>
        <v>#NAME?</v>
      </c>
      <c r="AK161" s="142" t="e">
        <f ca="1">GetCtData("PKAMOUNT","AMOUNT",$AK$11:$AK$18,$B161:$D161,AK$19:AK$20,"#1")</f>
        <v>#NAME?</v>
      </c>
      <c r="AL161" s="143" t="e">
        <f t="shared" ca="1" si="167"/>
        <v>#NAME?</v>
      </c>
      <c r="AM161" s="122"/>
      <c r="AN161" s="142" t="e">
        <f ca="1">GetCtData("PKAMOUNT","AMOUNT",$AN$11:$AN$18,$B161:$D161,AN$19:AN$20,"#0")</f>
        <v>#NAME?</v>
      </c>
      <c r="AO161" s="142" t="e">
        <f ca="1">GetCtData("PKAMOUNT","AMOUNT",$AO$11:$AO$18,$B161:$D161,AO$19:AO$20,"#2")</f>
        <v>#NAME?</v>
      </c>
      <c r="AP161" s="122"/>
      <c r="AQ161" s="142" t="e">
        <f ca="1">GetCtData("PKAMOUNT","AMOUNT",$AQ$11:$AQ$18,$B161:$D161,AQ$19:AQ$20,"#5")</f>
        <v>#NAME?</v>
      </c>
      <c r="AR161" s="142" t="e">
        <f t="shared" ca="1" si="159"/>
        <v>#NAME?</v>
      </c>
      <c r="AS161" s="142"/>
      <c r="AT161" s="142" t="e">
        <f ca="1">GetCtData("PKAMOUNT","AMOUNT",AT$11:AT$18,$B161:$D161,AT$19:AT$20,"#2")</f>
        <v>#NAME?</v>
      </c>
      <c r="AU161" s="142" t="e">
        <f t="shared" ca="1" si="168"/>
        <v>#NAME?</v>
      </c>
      <c r="AV161" s="72"/>
      <c r="AW161" s="72" t="e">
        <f t="shared" ca="1" si="160"/>
        <v>#NAME?</v>
      </c>
      <c r="AX161" s="72" t="e">
        <f t="shared" ca="1" si="169"/>
        <v>#NAME?</v>
      </c>
      <c r="AY161" s="72"/>
      <c r="AZ161" s="72" t="e">
        <f t="shared" ca="1" si="170"/>
        <v>#NAME?</v>
      </c>
      <c r="BA161" s="72" t="e">
        <f t="shared" ca="1" si="171"/>
        <v>#NAME?</v>
      </c>
      <c r="BB161" s="72"/>
      <c r="BC161" s="72" t="e">
        <f t="shared" ca="1" si="172"/>
        <v>#NAME?</v>
      </c>
      <c r="BD161" s="72" t="e">
        <f t="shared" ca="1" si="173"/>
        <v>#NAME?</v>
      </c>
      <c r="BE161" s="72"/>
      <c r="BF161" s="72" t="e">
        <f t="shared" ca="1" si="174"/>
        <v>#NAME?</v>
      </c>
      <c r="BG161" s="72" t="e">
        <f t="shared" ca="1" si="175"/>
        <v>#NAME?</v>
      </c>
      <c r="BH161" s="72"/>
      <c r="BI161" s="72" t="e">
        <f t="shared" ca="1" si="176"/>
        <v>#NAME?</v>
      </c>
      <c r="BJ161" s="72" t="e">
        <f t="shared" ca="1" si="177"/>
        <v>#NAME?</v>
      </c>
      <c r="BK161" s="72"/>
      <c r="BL161" s="72" t="e">
        <f t="shared" ca="1" si="178"/>
        <v>#NAME?</v>
      </c>
      <c r="BM161" s="72" t="e">
        <f t="shared" ca="1" si="179"/>
        <v>#NAME?</v>
      </c>
      <c r="BN161" s="72"/>
      <c r="BO161" s="72" t="e">
        <f t="shared" ca="1" si="180"/>
        <v>#NAME?</v>
      </c>
      <c r="BP161" s="72" t="e">
        <f t="shared" ca="1" si="181"/>
        <v>#NAME?</v>
      </c>
      <c r="BQ161" s="72"/>
      <c r="BR161" s="72" t="e">
        <f t="shared" ca="1" si="182"/>
        <v>#NAME?</v>
      </c>
      <c r="BS161" s="72" t="e">
        <f ca="1">#REF!-BR161</f>
        <v>#REF!</v>
      </c>
    </row>
    <row r="162" spans="1:71" x14ac:dyDescent="0.2">
      <c r="A162" s="82" t="s">
        <v>243</v>
      </c>
      <c r="B162" s="82" t="s">
        <v>364</v>
      </c>
      <c r="D162" s="82" t="s">
        <v>172</v>
      </c>
      <c r="E162" s="74" t="e">
        <f ca="1">GetCtLabel(B162,"CURINIT(AC)!LDESC","#Postage &amp; courier")</f>
        <v>#NAME?</v>
      </c>
      <c r="F162" s="137">
        <v>28</v>
      </c>
      <c r="G162" s="138"/>
      <c r="H162" s="137"/>
      <c r="I162" s="139"/>
      <c r="J162" s="139"/>
      <c r="K162" s="139">
        <v>-1</v>
      </c>
      <c r="L162" s="139"/>
      <c r="M162" s="139"/>
      <c r="N162" s="130"/>
      <c r="O162" s="140">
        <f t="shared" si="161"/>
        <v>27</v>
      </c>
      <c r="P162" s="141">
        <f t="shared" si="158"/>
        <v>1</v>
      </c>
      <c r="Q162" s="141">
        <f t="shared" si="158"/>
        <v>0</v>
      </c>
      <c r="R162" s="133" t="e">
        <f t="shared" ca="1" si="162"/>
        <v>#NAME?</v>
      </c>
      <c r="S162" s="133" t="e">
        <f ca="1">PutCtData("PKAMOUNT","AMOUNT",S$11:S$14,$B162:$D162,S$17,$M162)</f>
        <v>#NAME?</v>
      </c>
      <c r="T162" s="134" t="e">
        <f t="shared" ca="1" si="163"/>
        <v>#NAME?</v>
      </c>
      <c r="U162" s="134" t="e">
        <f t="shared" ca="1" si="164"/>
        <v>#NAME?</v>
      </c>
      <c r="V162" s="144"/>
      <c r="W162" s="142"/>
      <c r="X162" s="142"/>
      <c r="Y162" s="122"/>
      <c r="Z162" s="135">
        <f>14+4</f>
        <v>18</v>
      </c>
      <c r="AA162" s="135"/>
      <c r="AB162" s="135">
        <f t="shared" si="136"/>
        <v>18</v>
      </c>
      <c r="AC162" s="135">
        <f t="shared" si="166"/>
        <v>9</v>
      </c>
      <c r="AD162" s="122"/>
      <c r="AE162" s="142" t="e">
        <f ca="1">GetCtData("PKAMOUNT","AMOUNT",$AE$11:$AE$18,$B162:$D162,AE$19:AE$20,"#27")</f>
        <v>#NAME?</v>
      </c>
      <c r="AF162" s="142"/>
      <c r="AG162" s="142" t="e">
        <f t="shared" ca="1" si="135"/>
        <v>#NAME?</v>
      </c>
      <c r="AH162" s="143" t="e">
        <f t="shared" ca="1" si="134"/>
        <v>#NAME?</v>
      </c>
      <c r="AI162" s="128"/>
      <c r="AJ162" s="142" t="e">
        <f t="shared" ca="1" si="165"/>
        <v>#NAME?</v>
      </c>
      <c r="AK162" s="142" t="e">
        <f ca="1">GetCtData("PKAMOUNT","AMOUNT",$AK$11:$AK$18,$B162:$D162,AK$19:AK$20,"#4")</f>
        <v>#NAME?</v>
      </c>
      <c r="AL162" s="143" t="e">
        <f t="shared" ca="1" si="167"/>
        <v>#NAME?</v>
      </c>
      <c r="AM162" s="122"/>
      <c r="AN162" s="142" t="e">
        <f ca="1">GetCtData("PKAMOUNT","AMOUNT",$AN$11:$AN$18,$B162:$D162,AN$19:AN$20,"#3")</f>
        <v>#NAME?</v>
      </c>
      <c r="AO162" s="142" t="e">
        <f ca="1">GetCtData("PKAMOUNT","AMOUNT",$AO$11:$AO$18,$B162:$D162,AO$19:AO$20,"#23")</f>
        <v>#NAME?</v>
      </c>
      <c r="AP162" s="122"/>
      <c r="AQ162" s="142" t="e">
        <f ca="1">GetCtData("PKAMOUNT","AMOUNT",$AQ$11:$AQ$18,$B162:$D162,AQ$19:AQ$20,"#26")</f>
        <v>#NAME?</v>
      </c>
      <c r="AR162" s="142" t="e">
        <f t="shared" ca="1" si="159"/>
        <v>#NAME?</v>
      </c>
      <c r="AS162" s="142"/>
      <c r="AT162" s="142" t="e">
        <f ca="1">GetCtData("PKAMOUNT","AMOUNT",AT$11:AT$18,$B162:$D162,AT$19:AT$20,"#23")</f>
        <v>#NAME?</v>
      </c>
      <c r="AU162" s="142" t="e">
        <f t="shared" ca="1" si="168"/>
        <v>#NAME?</v>
      </c>
      <c r="AV162" s="72"/>
      <c r="AW162" s="72" t="e">
        <f t="shared" ca="1" si="160"/>
        <v>#NAME?</v>
      </c>
      <c r="AX162" s="72" t="e">
        <f t="shared" ca="1" si="169"/>
        <v>#NAME?</v>
      </c>
      <c r="AY162" s="72"/>
      <c r="AZ162" s="72" t="e">
        <f t="shared" ca="1" si="170"/>
        <v>#NAME?</v>
      </c>
      <c r="BA162" s="72" t="e">
        <f t="shared" ca="1" si="171"/>
        <v>#NAME?</v>
      </c>
      <c r="BB162" s="72"/>
      <c r="BC162" s="72" t="e">
        <f t="shared" ca="1" si="172"/>
        <v>#NAME?</v>
      </c>
      <c r="BD162" s="72" t="e">
        <f t="shared" ca="1" si="173"/>
        <v>#NAME?</v>
      </c>
      <c r="BE162" s="72"/>
      <c r="BF162" s="72" t="e">
        <f t="shared" ca="1" si="174"/>
        <v>#NAME?</v>
      </c>
      <c r="BG162" s="72" t="e">
        <f t="shared" ca="1" si="175"/>
        <v>#NAME?</v>
      </c>
      <c r="BH162" s="72"/>
      <c r="BI162" s="72" t="e">
        <f t="shared" ca="1" si="176"/>
        <v>#NAME?</v>
      </c>
      <c r="BJ162" s="72" t="e">
        <f t="shared" ca="1" si="177"/>
        <v>#NAME?</v>
      </c>
      <c r="BK162" s="72"/>
      <c r="BL162" s="72" t="e">
        <f t="shared" ca="1" si="178"/>
        <v>#NAME?</v>
      </c>
      <c r="BM162" s="72" t="e">
        <f t="shared" ca="1" si="179"/>
        <v>#NAME?</v>
      </c>
      <c r="BN162" s="72"/>
      <c r="BO162" s="72" t="e">
        <f t="shared" ca="1" si="180"/>
        <v>#NAME?</v>
      </c>
      <c r="BP162" s="72" t="e">
        <f t="shared" ca="1" si="181"/>
        <v>#NAME?</v>
      </c>
      <c r="BQ162" s="72"/>
      <c r="BR162" s="72" t="e">
        <f t="shared" ca="1" si="182"/>
        <v>#NAME?</v>
      </c>
      <c r="BS162" s="72" t="e">
        <f ca="1">#REF!-BR162</f>
        <v>#REF!</v>
      </c>
    </row>
    <row r="163" spans="1:71" outlineLevel="1" x14ac:dyDescent="0.2">
      <c r="A163" s="82" t="s">
        <v>243</v>
      </c>
      <c r="B163" s="82" t="s">
        <v>365</v>
      </c>
      <c r="D163" s="82" t="s">
        <v>172</v>
      </c>
      <c r="E163" s="74" t="e">
        <f ca="1">GetCtLabel(B163,"CURINIT(AC)!LDESC","#External office recharges")</f>
        <v>#NAME?</v>
      </c>
      <c r="F163" s="137"/>
      <c r="G163" s="138"/>
      <c r="H163" s="137"/>
      <c r="I163" s="139"/>
      <c r="J163" s="139"/>
      <c r="K163" s="139"/>
      <c r="L163" s="139"/>
      <c r="M163" s="139"/>
      <c r="N163" s="130"/>
      <c r="O163" s="140">
        <f t="shared" si="161"/>
        <v>0</v>
      </c>
      <c r="P163" s="141">
        <f t="shared" si="158"/>
        <v>0</v>
      </c>
      <c r="Q163" s="141">
        <f t="shared" si="158"/>
        <v>0</v>
      </c>
      <c r="R163" s="133" t="e">
        <f t="shared" ca="1" si="162"/>
        <v>#NAME?</v>
      </c>
      <c r="S163" s="133" t="e">
        <f ca="1">PutCtData("PKAMOUNT","AMOUNT",S$11:S$14,$B163:$D163,S$17,$M163)</f>
        <v>#NAME?</v>
      </c>
      <c r="T163" s="134" t="e">
        <f t="shared" ca="1" si="163"/>
        <v>#NAME?</v>
      </c>
      <c r="U163" s="134" t="e">
        <f t="shared" ca="1" si="164"/>
        <v>#NAME?</v>
      </c>
      <c r="V163" s="144"/>
      <c r="W163" s="142"/>
      <c r="X163" s="142"/>
      <c r="Y163" s="122"/>
      <c r="Z163" s="135"/>
      <c r="AA163" s="135"/>
      <c r="AB163" s="135">
        <f t="shared" si="136"/>
        <v>0</v>
      </c>
      <c r="AC163" s="135">
        <f t="shared" si="166"/>
        <v>0</v>
      </c>
      <c r="AD163" s="122"/>
      <c r="AE163" s="142" t="e">
        <f ca="1">GetCtData("PKAMOUNT","AMOUNT",$AE$11:$AE$18,$B163:$D163,AE$19:AE$20,"#0")</f>
        <v>#NAME?</v>
      </c>
      <c r="AF163" s="142"/>
      <c r="AG163" s="142" t="e">
        <f t="shared" ca="1" si="135"/>
        <v>#NAME?</v>
      </c>
      <c r="AH163" s="143" t="e">
        <f t="shared" ca="1" si="134"/>
        <v>#NAME?</v>
      </c>
      <c r="AI163" s="128"/>
      <c r="AJ163" s="142" t="e">
        <f t="shared" ca="1" si="165"/>
        <v>#NAME?</v>
      </c>
      <c r="AK163" s="142" t="e">
        <f ca="1">GetCtData("PKAMOUNT","AMOUNT",$AK$11:$AK$18,$B163:$D163,AK$19:AK$20,"#0")</f>
        <v>#NAME?</v>
      </c>
      <c r="AL163" s="143" t="e">
        <f t="shared" ca="1" si="167"/>
        <v>#NAME?</v>
      </c>
      <c r="AM163" s="122"/>
      <c r="AN163" s="142" t="e">
        <f ca="1">GetCtData("PKAMOUNT","AMOUNT",$AN$11:$AN$18,$B163:$D163,AN$19:AN$20,"#0")</f>
        <v>#NAME?</v>
      </c>
      <c r="AO163" s="142" t="e">
        <f ca="1">GetCtData("PKAMOUNT","AMOUNT",$AO$11:$AO$18,$B163:$D163,AO$19:AO$20,"#0")</f>
        <v>#NAME?</v>
      </c>
      <c r="AP163" s="122"/>
      <c r="AQ163" s="142" t="e">
        <f ca="1">GetCtData("PKAMOUNT","AMOUNT",$AQ$11:$AQ$18,$B163:$D163,AQ$19:AQ$20,"#0")</f>
        <v>#NAME?</v>
      </c>
      <c r="AR163" s="142" t="e">
        <f t="shared" ca="1" si="159"/>
        <v>#NAME?</v>
      </c>
      <c r="AS163" s="142"/>
      <c r="AT163" s="142" t="e">
        <f ca="1">GetCtData("PKAMOUNT","AMOUNT",AT$11:AT$18,$B163:$D163,AT$19:AT$20,"#0")</f>
        <v>#NAME?</v>
      </c>
      <c r="AU163" s="142" t="e">
        <f t="shared" ca="1" si="168"/>
        <v>#NAME?</v>
      </c>
      <c r="AV163" s="72"/>
      <c r="AW163" s="72" t="e">
        <f t="shared" ca="1" si="160"/>
        <v>#NAME?</v>
      </c>
      <c r="AX163" s="72" t="e">
        <f t="shared" ca="1" si="169"/>
        <v>#NAME?</v>
      </c>
      <c r="AY163" s="72"/>
      <c r="AZ163" s="72" t="e">
        <f t="shared" ca="1" si="170"/>
        <v>#NAME?</v>
      </c>
      <c r="BA163" s="72" t="e">
        <f t="shared" ca="1" si="171"/>
        <v>#NAME?</v>
      </c>
      <c r="BB163" s="72"/>
      <c r="BC163" s="72" t="e">
        <f t="shared" ca="1" si="172"/>
        <v>#NAME?</v>
      </c>
      <c r="BD163" s="72" t="e">
        <f t="shared" ca="1" si="173"/>
        <v>#NAME?</v>
      </c>
      <c r="BE163" s="72"/>
      <c r="BF163" s="72" t="e">
        <f t="shared" ca="1" si="174"/>
        <v>#NAME?</v>
      </c>
      <c r="BG163" s="72" t="e">
        <f t="shared" ca="1" si="175"/>
        <v>#NAME?</v>
      </c>
      <c r="BH163" s="72"/>
      <c r="BI163" s="72" t="e">
        <f t="shared" ca="1" si="176"/>
        <v>#NAME?</v>
      </c>
      <c r="BJ163" s="72" t="e">
        <f t="shared" ca="1" si="177"/>
        <v>#NAME?</v>
      </c>
      <c r="BK163" s="72"/>
      <c r="BL163" s="72" t="e">
        <f t="shared" ca="1" si="178"/>
        <v>#NAME?</v>
      </c>
      <c r="BM163" s="72" t="e">
        <f t="shared" ca="1" si="179"/>
        <v>#NAME?</v>
      </c>
      <c r="BN163" s="72"/>
      <c r="BO163" s="72" t="e">
        <f t="shared" ca="1" si="180"/>
        <v>#NAME?</v>
      </c>
      <c r="BP163" s="72" t="e">
        <f t="shared" ca="1" si="181"/>
        <v>#NAME?</v>
      </c>
      <c r="BQ163" s="72"/>
      <c r="BR163" s="72" t="e">
        <f t="shared" ca="1" si="182"/>
        <v>#NAME?</v>
      </c>
      <c r="BS163" s="72" t="e">
        <f ca="1">#REF!-BR163</f>
        <v>#REF!</v>
      </c>
    </row>
    <row r="164" spans="1:71" x14ac:dyDescent="0.2">
      <c r="A164" s="82" t="s">
        <v>293</v>
      </c>
      <c r="B164" s="82" t="s">
        <v>366</v>
      </c>
      <c r="D164" s="82" t="s">
        <v>250</v>
      </c>
      <c r="E164" s="74" t="e">
        <f ca="1">GetCtLabel(B164,"CURINIT(AC)!LDESC","#Other office costs")</f>
        <v>#NAME?</v>
      </c>
      <c r="F164" s="178">
        <f t="shared" ref="F164:O164" si="183">SUM(F165:F166)</f>
        <v>273</v>
      </c>
      <c r="G164" s="179">
        <f t="shared" si="183"/>
        <v>0</v>
      </c>
      <c r="H164" s="179">
        <f t="shared" si="183"/>
        <v>0</v>
      </c>
      <c r="I164" s="178">
        <f t="shared" si="183"/>
        <v>0</v>
      </c>
      <c r="J164" s="178">
        <f t="shared" si="183"/>
        <v>0</v>
      </c>
      <c r="K164" s="178">
        <f t="shared" si="183"/>
        <v>-75</v>
      </c>
      <c r="L164" s="179">
        <f t="shared" si="183"/>
        <v>3</v>
      </c>
      <c r="M164" s="179">
        <f t="shared" si="183"/>
        <v>0</v>
      </c>
      <c r="N164" s="130"/>
      <c r="O164" s="188">
        <f t="shared" si="183"/>
        <v>201</v>
      </c>
      <c r="P164" s="141">
        <f t="shared" si="158"/>
        <v>75</v>
      </c>
      <c r="Q164" s="141">
        <f t="shared" si="158"/>
        <v>-3</v>
      </c>
      <c r="R164" s="161"/>
      <c r="S164" s="161"/>
      <c r="T164" s="189"/>
      <c r="U164" s="189" t="e">
        <f t="shared" ca="1" si="164"/>
        <v>#NAME?</v>
      </c>
      <c r="V164" s="144"/>
      <c r="W164" s="142"/>
      <c r="X164" s="142"/>
      <c r="Y164" s="122"/>
      <c r="Z164" s="135"/>
      <c r="AA164" s="135"/>
      <c r="AB164" s="135">
        <f>Z164+AA164</f>
        <v>0</v>
      </c>
      <c r="AC164" s="135">
        <f t="shared" si="166"/>
        <v>201</v>
      </c>
      <c r="AD164" s="122"/>
      <c r="AE164" s="142" t="e">
        <f ca="1">GetCtData("PKAMOUNT","AMOUNT",$AE$11:$AE$18,$B164:$D164,AE$19:AE$20,"#201")</f>
        <v>#NAME?</v>
      </c>
      <c r="AF164" s="142"/>
      <c r="AG164" s="142" t="e">
        <f t="shared" ca="1" si="135"/>
        <v>#NAME?</v>
      </c>
      <c r="AH164" s="143" t="e">
        <f t="shared" ca="1" si="134"/>
        <v>#NAME?</v>
      </c>
      <c r="AI164" s="128"/>
      <c r="AJ164" s="142" t="e">
        <f t="shared" ca="1" si="165"/>
        <v>#NAME?</v>
      </c>
      <c r="AK164" s="142" t="e">
        <f ca="1">GetCtData("PKAMOUNT","AMOUNT",$AK$11:$AK$18,$B164:$D164,AK$19:AK$20,"#34")</f>
        <v>#NAME?</v>
      </c>
      <c r="AL164" s="143" t="e">
        <f t="shared" ca="1" si="167"/>
        <v>#NAME?</v>
      </c>
      <c r="AM164" s="122"/>
      <c r="AN164" s="142" t="e">
        <f ca="1">GetCtData("PKAMOUNT","AMOUNT",$AN$11:$AN$18,$B164:$D164,AN$19:AN$20,"#28")</f>
        <v>#NAME?</v>
      </c>
      <c r="AO164" s="142" t="e">
        <f ca="1">GetCtData("PKAMOUNT","AMOUNT",$AO$11:$AO$18,$B164:$D164,AO$19:AO$20,"#167")</f>
        <v>#NAME?</v>
      </c>
      <c r="AP164" s="122"/>
      <c r="AQ164" s="142" t="e">
        <f ca="1">GetCtData("PKAMOUNT","AMOUNT",$AQ$11:$AQ$18,$B164:$D164,AQ$19:AQ$20,"#196")</f>
        <v>#NAME?</v>
      </c>
      <c r="AR164" s="142" t="e">
        <f t="shared" ca="1" si="159"/>
        <v>#NAME?</v>
      </c>
      <c r="AS164" s="142"/>
      <c r="AT164" s="142" t="e">
        <f ca="1">GetCtData("PKAMOUNT","AMOUNT",AT$11:AT$18,$B164:$D164,AT$19:AT$20,"#185")</f>
        <v>#NAME?</v>
      </c>
      <c r="AU164" s="142" t="e">
        <f t="shared" ca="1" si="168"/>
        <v>#NAME?</v>
      </c>
      <c r="AV164" s="72"/>
      <c r="AW164" s="72" t="e">
        <f t="shared" ca="1" si="160"/>
        <v>#NAME?</v>
      </c>
      <c r="AX164" s="72" t="e">
        <f t="shared" ca="1" si="169"/>
        <v>#NAME?</v>
      </c>
      <c r="AY164" s="72"/>
      <c r="AZ164" s="72" t="e">
        <f t="shared" ca="1" si="170"/>
        <v>#NAME?</v>
      </c>
      <c r="BA164" s="72" t="e">
        <f t="shared" ca="1" si="171"/>
        <v>#NAME?</v>
      </c>
      <c r="BB164" s="72"/>
      <c r="BC164" s="72" t="e">
        <f t="shared" ca="1" si="172"/>
        <v>#NAME?</v>
      </c>
      <c r="BD164" s="72" t="e">
        <f t="shared" ca="1" si="173"/>
        <v>#NAME?</v>
      </c>
      <c r="BE164" s="72"/>
      <c r="BF164" s="72" t="e">
        <f t="shared" ca="1" si="174"/>
        <v>#NAME?</v>
      </c>
      <c r="BG164" s="72" t="e">
        <f t="shared" ca="1" si="175"/>
        <v>#NAME?</v>
      </c>
      <c r="BH164" s="72"/>
      <c r="BI164" s="72" t="e">
        <f t="shared" ca="1" si="176"/>
        <v>#NAME?</v>
      </c>
      <c r="BJ164" s="72" t="e">
        <f t="shared" ca="1" si="177"/>
        <v>#NAME?</v>
      </c>
      <c r="BK164" s="72"/>
      <c r="BL164" s="72" t="e">
        <f t="shared" ca="1" si="178"/>
        <v>#NAME?</v>
      </c>
      <c r="BM164" s="72" t="e">
        <f t="shared" ca="1" si="179"/>
        <v>#NAME?</v>
      </c>
      <c r="BN164" s="72"/>
      <c r="BO164" s="72" t="e">
        <f t="shared" ca="1" si="180"/>
        <v>#NAME?</v>
      </c>
      <c r="BP164" s="72" t="e">
        <f t="shared" ca="1" si="181"/>
        <v>#NAME?</v>
      </c>
      <c r="BQ164" s="72"/>
      <c r="BR164" s="72" t="e">
        <f t="shared" ca="1" si="182"/>
        <v>#NAME?</v>
      </c>
      <c r="BS164" s="72" t="e">
        <f ca="1">#REF!-BR164</f>
        <v>#REF!</v>
      </c>
    </row>
    <row r="165" spans="1:71" outlineLevel="1" x14ac:dyDescent="0.2">
      <c r="A165" s="82" t="s">
        <v>243</v>
      </c>
      <c r="B165" s="82" t="s">
        <v>366</v>
      </c>
      <c r="D165" s="82" t="s">
        <v>172</v>
      </c>
      <c r="E165" s="153" t="e">
        <f ca="1">GetCtLabel(B165,"CURINIT(AC)!LDESC","#Other office costs")&amp;" "&amp;D165</f>
        <v>#NAME?</v>
      </c>
      <c r="F165" s="137">
        <f>238-19+35</f>
        <v>254</v>
      </c>
      <c r="G165" s="138"/>
      <c r="H165" s="137"/>
      <c r="I165" s="139"/>
      <c r="J165" s="139"/>
      <c r="K165" s="139">
        <f>-2-54-6-6-3-4</f>
        <v>-75</v>
      </c>
      <c r="L165" s="139">
        <v>3</v>
      </c>
      <c r="M165" s="139"/>
      <c r="N165" s="130"/>
      <c r="O165" s="140">
        <f t="shared" si="161"/>
        <v>182</v>
      </c>
      <c r="P165" s="141">
        <f t="shared" si="158"/>
        <v>75</v>
      </c>
      <c r="Q165" s="141">
        <f t="shared" si="158"/>
        <v>-3</v>
      </c>
      <c r="R165" s="133" t="e">
        <f t="shared" ref="R165:R170" ca="1" si="184">PutCtData("PKAMOUNT","AMOUNT",R$11:R$14,$B165:$D165,R$17:R$18,$O165)</f>
        <v>#NAME?</v>
      </c>
      <c r="S165" s="133" t="e">
        <f t="shared" ref="S165:S170" ca="1" si="185">PutCtData("PKAMOUNT","AMOUNT",S$11:S$14,$B165:$D165,S$17,$M165)</f>
        <v>#NAME?</v>
      </c>
      <c r="T165" s="134" t="e">
        <f t="shared" ref="T165:T170" ca="1" si="186">PutCtData("PKAMOUNT","AMOUNT",T$11:T$14,$B165:$D165,T$17:T$18,$P165)</f>
        <v>#NAME?</v>
      </c>
      <c r="U165" s="134" t="e">
        <f t="shared" ca="1" si="164"/>
        <v>#NAME?</v>
      </c>
      <c r="V165" s="144"/>
      <c r="W165" s="142"/>
      <c r="X165" s="142"/>
      <c r="Y165" s="122"/>
      <c r="Z165" s="135">
        <f>114+28</f>
        <v>142</v>
      </c>
      <c r="AA165" s="135"/>
      <c r="AB165" s="135">
        <f t="shared" si="136"/>
        <v>142</v>
      </c>
      <c r="AC165" s="135">
        <f t="shared" si="166"/>
        <v>40</v>
      </c>
      <c r="AD165" s="122"/>
      <c r="AE165" s="142" t="e">
        <f ca="1">GetCtData("PKAMOUNT","AMOUNT",$AE$11:$AE$18,$B165:$D165,AE$19:AE$20,"#182")</f>
        <v>#NAME?</v>
      </c>
      <c r="AF165" s="142"/>
      <c r="AG165" s="142" t="e">
        <f t="shared" ca="1" si="135"/>
        <v>#NAME?</v>
      </c>
      <c r="AH165" s="143" t="e">
        <f t="shared" ca="1" si="134"/>
        <v>#NAME?</v>
      </c>
      <c r="AI165" s="128"/>
      <c r="AJ165" s="142" t="e">
        <f t="shared" ca="1" si="165"/>
        <v>#NAME?</v>
      </c>
      <c r="AK165" s="142" t="e">
        <f ca="1">GetCtData("PKAMOUNT","AMOUNT",$AK$11:$AK$18,$B165:$D165,AK$19:AK$20,"#31")</f>
        <v>#NAME?</v>
      </c>
      <c r="AL165" s="143" t="e">
        <f t="shared" ca="1" si="167"/>
        <v>#NAME?</v>
      </c>
      <c r="AM165" s="122"/>
      <c r="AN165" s="142" t="e">
        <f ca="1">GetCtData("PKAMOUNT","AMOUNT",$AN$11:$AN$18,$B165:$D165,AN$19:AN$20,"#26")</f>
        <v>#NAME?</v>
      </c>
      <c r="AO165" s="142" t="e">
        <f ca="1">GetCtData("PKAMOUNT","AMOUNT",$AO$11:$AO$18,$B165:$D165,AO$19:AO$20,"#151")</f>
        <v>#NAME?</v>
      </c>
      <c r="AP165" s="122"/>
      <c r="AQ165" s="142" t="e">
        <f ca="1">GetCtData("PKAMOUNT","AMOUNT",$AQ$11:$AQ$18,$B165:$D165,AQ$19:AQ$20,"#177")</f>
        <v>#NAME?</v>
      </c>
      <c r="AR165" s="142" t="e">
        <f t="shared" ca="1" si="159"/>
        <v>#NAME?</v>
      </c>
      <c r="AS165" s="142"/>
      <c r="AT165" s="142" t="e">
        <f ca="1">GetCtData("PKAMOUNT","AMOUNT",AT$11:AT$18,$B165:$D165,AT$19:AT$20,"#185")</f>
        <v>#NAME?</v>
      </c>
      <c r="AU165" s="142" t="e">
        <f t="shared" ca="1" si="168"/>
        <v>#NAME?</v>
      </c>
      <c r="AV165" s="72"/>
      <c r="AW165" s="72" t="e">
        <f t="shared" ca="1" si="160"/>
        <v>#NAME?</v>
      </c>
      <c r="AX165" s="72" t="e">
        <f t="shared" ca="1" si="169"/>
        <v>#NAME?</v>
      </c>
      <c r="AY165" s="72"/>
      <c r="AZ165" s="72" t="e">
        <f t="shared" ca="1" si="170"/>
        <v>#NAME?</v>
      </c>
      <c r="BA165" s="72" t="e">
        <f t="shared" ca="1" si="171"/>
        <v>#NAME?</v>
      </c>
      <c r="BB165" s="72"/>
      <c r="BC165" s="72" t="e">
        <f t="shared" ca="1" si="172"/>
        <v>#NAME?</v>
      </c>
      <c r="BD165" s="72" t="e">
        <f t="shared" ca="1" si="173"/>
        <v>#NAME?</v>
      </c>
      <c r="BE165" s="72"/>
      <c r="BF165" s="72" t="e">
        <f t="shared" ca="1" si="174"/>
        <v>#NAME?</v>
      </c>
      <c r="BG165" s="72" t="e">
        <f t="shared" ca="1" si="175"/>
        <v>#NAME?</v>
      </c>
      <c r="BH165" s="72"/>
      <c r="BI165" s="72" t="e">
        <f t="shared" ca="1" si="176"/>
        <v>#NAME?</v>
      </c>
      <c r="BJ165" s="72" t="e">
        <f t="shared" ca="1" si="177"/>
        <v>#NAME?</v>
      </c>
      <c r="BK165" s="72"/>
      <c r="BL165" s="72" t="e">
        <f t="shared" ca="1" si="178"/>
        <v>#NAME?</v>
      </c>
      <c r="BM165" s="72" t="e">
        <f t="shared" ca="1" si="179"/>
        <v>#NAME?</v>
      </c>
      <c r="BN165" s="72"/>
      <c r="BO165" s="72" t="e">
        <f t="shared" ca="1" si="180"/>
        <v>#NAME?</v>
      </c>
      <c r="BP165" s="72" t="e">
        <f t="shared" ca="1" si="181"/>
        <v>#NAME?</v>
      </c>
      <c r="BQ165" s="72"/>
      <c r="BR165" s="72" t="e">
        <f t="shared" ca="1" si="182"/>
        <v>#NAME?</v>
      </c>
      <c r="BS165" s="72" t="e">
        <f ca="1">#REF!-BR165</f>
        <v>#REF!</v>
      </c>
    </row>
    <row r="166" spans="1:71" outlineLevel="1" x14ac:dyDescent="0.2">
      <c r="A166" s="82" t="s">
        <v>243</v>
      </c>
      <c r="B166" s="82" t="s">
        <v>366</v>
      </c>
      <c r="D166" s="82" t="s">
        <v>196</v>
      </c>
      <c r="E166" s="153" t="e">
        <f ca="1">GetCtLabel(B166,"CURINIT(AC)!LDESC","#Other office costs")&amp;" "&amp;D166</f>
        <v>#NAME?</v>
      </c>
      <c r="F166" s="137">
        <v>19</v>
      </c>
      <c r="G166" s="138"/>
      <c r="H166" s="137"/>
      <c r="I166" s="139"/>
      <c r="J166" s="139"/>
      <c r="K166" s="139"/>
      <c r="L166" s="139"/>
      <c r="M166" s="139"/>
      <c r="N166" s="130"/>
      <c r="O166" s="140">
        <f>SUM(F166:M166)</f>
        <v>19</v>
      </c>
      <c r="P166" s="141">
        <f t="shared" si="158"/>
        <v>0</v>
      </c>
      <c r="Q166" s="141">
        <f t="shared" si="158"/>
        <v>0</v>
      </c>
      <c r="R166" s="133" t="e">
        <f t="shared" ca="1" si="184"/>
        <v>#NAME?</v>
      </c>
      <c r="S166" s="133" t="e">
        <f t="shared" ca="1" si="185"/>
        <v>#NAME?</v>
      </c>
      <c r="T166" s="134" t="e">
        <f t="shared" ca="1" si="186"/>
        <v>#NAME?</v>
      </c>
      <c r="U166" s="134" t="e">
        <f t="shared" ca="1" si="164"/>
        <v>#NAME?</v>
      </c>
      <c r="V166" s="144"/>
      <c r="W166" s="142"/>
      <c r="X166" s="142"/>
      <c r="Y166" s="122"/>
      <c r="Z166" s="135"/>
      <c r="AA166" s="135"/>
      <c r="AB166" s="135"/>
      <c r="AC166" s="135"/>
      <c r="AD166" s="122"/>
      <c r="AE166" s="142" t="e">
        <f ca="1">GetCtData("PKAMOUNT","AMOUNT",$AE$11:$AE$18,$B166:$D166,AE$19:AE$20,"#19")</f>
        <v>#NAME?</v>
      </c>
      <c r="AF166" s="142"/>
      <c r="AG166" s="142" t="e">
        <f t="shared" ca="1" si="135"/>
        <v>#NAME?</v>
      </c>
      <c r="AH166" s="143" t="e">
        <f t="shared" ca="1" si="134"/>
        <v>#NAME?</v>
      </c>
      <c r="AI166" s="128"/>
      <c r="AJ166" s="142" t="e">
        <f t="shared" ca="1" si="165"/>
        <v>#NAME?</v>
      </c>
      <c r="AK166" s="142" t="e">
        <f ca="1">GetCtData("PKAMOUNT","AMOUNT",$AK$11:$AK$18,$B166:$D166,AK$19:AK$20,"#3")</f>
        <v>#NAME?</v>
      </c>
      <c r="AL166" s="143"/>
      <c r="AM166" s="122"/>
      <c r="AN166" s="142" t="e">
        <f ca="1">GetCtData("PKAMOUNT","AMOUNT",$AN$11:$AN$18,$B166:$D166,AN$19:AN$20,"#2")</f>
        <v>#NAME?</v>
      </c>
      <c r="AO166" s="142" t="e">
        <f ca="1">GetCtData("PKAMOUNT","AMOUNT",$AO$11:$AO$18,$B166:$D166,AO$19:AO$20,"#16")</f>
        <v>#NAME?</v>
      </c>
      <c r="AP166" s="122"/>
      <c r="AQ166" s="142" t="e">
        <f ca="1">GetCtData("PKAMOUNT","AMOUNT",$AQ$11:$AQ$18,$B166:$D166,AQ$19:AQ$20,"#19")</f>
        <v>#NAME?</v>
      </c>
      <c r="AR166" s="142" t="e">
        <f t="shared" ca="1" si="159"/>
        <v>#NAME?</v>
      </c>
      <c r="AS166" s="142"/>
      <c r="AT166" s="142" t="e">
        <f ca="1">GetCtData("PKAMOUNT","AMOUNT",AT$11:AT$18,$B166:$D166,AT$19:AT$20,"#17")</f>
        <v>#NAME?</v>
      </c>
      <c r="AU166" s="142"/>
      <c r="AV166" s="72"/>
      <c r="AW166" s="72" t="e">
        <f t="shared" ca="1" si="160"/>
        <v>#NAME?</v>
      </c>
      <c r="AX166" s="72"/>
      <c r="AY166" s="72"/>
      <c r="AZ166" s="72"/>
      <c r="BA166" s="72"/>
      <c r="BB166" s="72"/>
      <c r="BC166" s="72"/>
      <c r="BD166" s="72"/>
      <c r="BE166" s="72"/>
      <c r="BF166" s="72"/>
      <c r="BG166" s="72"/>
      <c r="BH166" s="72"/>
      <c r="BI166" s="72"/>
      <c r="BJ166" s="72"/>
      <c r="BK166" s="72"/>
      <c r="BL166" s="72"/>
      <c r="BM166" s="72"/>
      <c r="BN166" s="72"/>
      <c r="BO166" s="72"/>
      <c r="BP166" s="72"/>
      <c r="BQ166" s="72"/>
      <c r="BR166" s="72"/>
      <c r="BS166" s="72"/>
    </row>
    <row r="167" spans="1:71" x14ac:dyDescent="0.2">
      <c r="A167" s="82" t="s">
        <v>243</v>
      </c>
      <c r="B167" s="82" t="s">
        <v>367</v>
      </c>
      <c r="D167" s="82" t="s">
        <v>196</v>
      </c>
      <c r="E167" s="153" t="e">
        <f ca="1">GetCtLabel(B167,"CURINIT(AC)!LDESC","#Software/hardware expenses")</f>
        <v>#NAME?</v>
      </c>
      <c r="F167" s="190">
        <v>17</v>
      </c>
      <c r="G167" s="131"/>
      <c r="H167" s="130"/>
      <c r="I167" s="72"/>
      <c r="J167" s="72"/>
      <c r="K167" s="191">
        <v>-2</v>
      </c>
      <c r="L167" s="72"/>
      <c r="M167" s="72"/>
      <c r="N167" s="130"/>
      <c r="O167" s="188">
        <f t="shared" si="161"/>
        <v>15</v>
      </c>
      <c r="P167" s="141">
        <f t="shared" si="158"/>
        <v>2</v>
      </c>
      <c r="Q167" s="141">
        <f t="shared" si="158"/>
        <v>0</v>
      </c>
      <c r="R167" s="133" t="e">
        <f t="shared" ca="1" si="184"/>
        <v>#NAME?</v>
      </c>
      <c r="S167" s="133" t="e">
        <f t="shared" ca="1" si="185"/>
        <v>#NAME?</v>
      </c>
      <c r="T167" s="134" t="e">
        <f t="shared" ca="1" si="186"/>
        <v>#NAME?</v>
      </c>
      <c r="U167" s="134" t="e">
        <f t="shared" ca="1" si="164"/>
        <v>#NAME?</v>
      </c>
      <c r="V167" s="144"/>
      <c r="W167" s="142"/>
      <c r="X167" s="142"/>
      <c r="Y167" s="122"/>
      <c r="Z167" s="135">
        <f>10+2</f>
        <v>12</v>
      </c>
      <c r="AA167" s="135"/>
      <c r="AB167" s="135">
        <f t="shared" si="136"/>
        <v>12</v>
      </c>
      <c r="AC167" s="135">
        <f>+O167-AB167</f>
        <v>3</v>
      </c>
      <c r="AD167" s="122"/>
      <c r="AE167" s="142" t="e">
        <f ca="1">GetCtData("PKAMOUNT","AMOUNT",$AE$11:$AE$18,$B167:$D167,AE$19:AE$20,"#15")</f>
        <v>#NAME?</v>
      </c>
      <c r="AF167" s="142"/>
      <c r="AG167" s="142" t="e">
        <f t="shared" ca="1" si="135"/>
        <v>#NAME?</v>
      </c>
      <c r="AH167" s="143" t="e">
        <f t="shared" ca="1" si="134"/>
        <v>#NAME?</v>
      </c>
      <c r="AI167" s="128"/>
      <c r="AJ167" s="142" t="e">
        <f t="shared" ca="1" si="165"/>
        <v>#NAME?</v>
      </c>
      <c r="AK167" s="142" t="e">
        <f ca="1">GetCtData("PKAMOUNT","AMOUNT",$AK$11:$AK$18,$B167:$D167,AK$19:AK$20,"#3")</f>
        <v>#NAME?</v>
      </c>
      <c r="AL167" s="143" t="e">
        <f ca="1">(O167-AO167)-AK167</f>
        <v>#NAME?</v>
      </c>
      <c r="AM167" s="122"/>
      <c r="AN167" s="142" t="e">
        <f ca="1">GetCtData("PKAMOUNT","AMOUNT",$AN$11:$AN$18,$B167:$D167,AN$19:AN$20,"#0")</f>
        <v>#NAME?</v>
      </c>
      <c r="AO167" s="142" t="e">
        <f ca="1">GetCtData("PKAMOUNT","AMOUNT",$AO$11:$AO$18,$B167:$D167,AO$19:AO$20,"#12")</f>
        <v>#NAME?</v>
      </c>
      <c r="AP167" s="122"/>
      <c r="AQ167" s="142" t="e">
        <f ca="1">GetCtData("PKAMOUNT","AMOUNT",$AQ$11:$AQ$18,$B167:$D167,AQ$19:AQ$20,"#17")</f>
        <v>#NAME?</v>
      </c>
      <c r="AR167" s="142" t="e">
        <f t="shared" ca="1" si="159"/>
        <v>#NAME?</v>
      </c>
      <c r="AS167" s="142"/>
      <c r="AT167" s="142" t="e">
        <f ca="1">GetCtData("PKAMOUNT","AMOUNT",AT$11:AT$18,$B167:$D167,AT$19:AT$20,"#19")</f>
        <v>#NAME?</v>
      </c>
      <c r="AU167" s="142" t="e">
        <f ca="1">O167-AT167</f>
        <v>#NAME?</v>
      </c>
      <c r="AV167" s="72"/>
      <c r="AW167" s="72" t="e">
        <f t="shared" ca="1" si="160"/>
        <v>#NAME?</v>
      </c>
      <c r="AX167" s="72" t="e">
        <f ca="1">O167-AW167</f>
        <v>#NAME?</v>
      </c>
      <c r="AY167" s="72"/>
      <c r="AZ167" s="72" t="e">
        <f ca="1">GetCtData("COAMOUNT","AMOUNT",$AZ$11:$AZ$17,$B167,AZ$19,AZ$20,"#")</f>
        <v>#NAME?</v>
      </c>
      <c r="BA167" s="72" t="e">
        <f ca="1">O167-AZ167</f>
        <v>#NAME?</v>
      </c>
      <c r="BB167" s="72"/>
      <c r="BC167" s="72" t="e">
        <f ca="1">GetCtData("COAMOUNT","AMOUNT",$BF$11:$BF$17,$B167,BC$19,BC$20,"#")</f>
        <v>#NAME?</v>
      </c>
      <c r="BD167" s="72" t="e">
        <f ca="1">K167-BC167</f>
        <v>#NAME?</v>
      </c>
      <c r="BE167" s="72"/>
      <c r="BF167" s="72" t="e">
        <f ca="1">GetCtData("COAMOUNT","AMOUNT",$BF$11:$BF$17,$B167,BF$19,BF$20,"#")</f>
        <v>#NAME?</v>
      </c>
      <c r="BG167" s="72" t="e">
        <f ca="1">O167-BF167</f>
        <v>#NAME?</v>
      </c>
      <c r="BH167" s="72"/>
      <c r="BI167" s="72" t="e">
        <f ca="1">GetCtData("COAMOUNT","AMOUNT",$AO$11:$AO$17,$B167,BI$19,BI$20,"#")</f>
        <v>#NAME?</v>
      </c>
      <c r="BJ167" s="72" t="e">
        <f ca="1">O167-BI167</f>
        <v>#NAME?</v>
      </c>
      <c r="BK167" s="72"/>
      <c r="BL167" s="72" t="e">
        <f ca="1">GetCtData("COAMOUNT","AMOUNT",$BO$11:$BO$17,$B167,BL$19,BL$20,"#")</f>
        <v>#NAME?</v>
      </c>
      <c r="BM167" s="72" t="e">
        <f ca="1">O167-BL167</f>
        <v>#NAME?</v>
      </c>
      <c r="BN167" s="72"/>
      <c r="BO167" s="72" t="e">
        <f ca="1">GetCtData("COAMOUNT","AMOUNT",$BO$11:$BO$17,$B167,BO$19,BO$20,"#")</f>
        <v>#NAME?</v>
      </c>
      <c r="BP167" s="72" t="e">
        <f ca="1">O167-BO167</f>
        <v>#NAME?</v>
      </c>
      <c r="BQ167" s="72"/>
      <c r="BR167" s="72" t="e">
        <f ca="1">GetCtData("COAMOUNT","AMOUNT",$BO$11:$BO$17,$B167,BR$19,BR$20,"#")</f>
        <v>#NAME?</v>
      </c>
      <c r="BS167" s="72" t="e">
        <f ca="1">#REF!-BR167</f>
        <v>#REF!</v>
      </c>
    </row>
    <row r="168" spans="1:71" x14ac:dyDescent="0.2">
      <c r="A168" s="82" t="s">
        <v>243</v>
      </c>
      <c r="B168" s="82" t="s">
        <v>368</v>
      </c>
      <c r="D168" s="82" t="s">
        <v>196</v>
      </c>
      <c r="E168" s="153" t="e">
        <f ca="1">GetCtLabel(B168,"CURINIT(AC)!LDESC","#Computer hardware depreciation")</f>
        <v>#NAME?</v>
      </c>
      <c r="F168" s="130">
        <v>26</v>
      </c>
      <c r="G168" s="131"/>
      <c r="H168" s="130"/>
      <c r="I168" s="72"/>
      <c r="J168" s="72"/>
      <c r="K168" s="72"/>
      <c r="L168" s="72"/>
      <c r="M168" s="72"/>
      <c r="N168" s="130"/>
      <c r="O168" s="140">
        <f t="shared" si="161"/>
        <v>26</v>
      </c>
      <c r="P168" s="141">
        <f t="shared" si="158"/>
        <v>0</v>
      </c>
      <c r="Q168" s="141">
        <f t="shared" si="158"/>
        <v>0</v>
      </c>
      <c r="R168" s="133" t="e">
        <f t="shared" ca="1" si="184"/>
        <v>#NAME?</v>
      </c>
      <c r="S168" s="133" t="e">
        <f t="shared" ca="1" si="185"/>
        <v>#NAME?</v>
      </c>
      <c r="T168" s="134" t="e">
        <f t="shared" ca="1" si="186"/>
        <v>#NAME?</v>
      </c>
      <c r="U168" s="134" t="e">
        <f t="shared" ca="1" si="164"/>
        <v>#NAME?</v>
      </c>
      <c r="V168" s="144"/>
      <c r="W168" s="142"/>
      <c r="X168" s="142"/>
      <c r="Y168" s="122"/>
      <c r="Z168" s="135">
        <f>16+5</f>
        <v>21</v>
      </c>
      <c r="AA168" s="135"/>
      <c r="AB168" s="135">
        <f t="shared" si="136"/>
        <v>21</v>
      </c>
      <c r="AC168" s="135">
        <f>+O168-AB168</f>
        <v>5</v>
      </c>
      <c r="AD168" s="122"/>
      <c r="AE168" s="142" t="e">
        <f ca="1">GetCtData("PKAMOUNT","AMOUNT",$AE$11:$AE$18,$B168:$D168,AE$19:AE$20,"#26")</f>
        <v>#NAME?</v>
      </c>
      <c r="AF168" s="142"/>
      <c r="AG168" s="142" t="e">
        <f t="shared" ca="1" si="135"/>
        <v>#NAME?</v>
      </c>
      <c r="AH168" s="143" t="e">
        <f t="shared" ca="1" si="134"/>
        <v>#NAME?</v>
      </c>
      <c r="AI168" s="128"/>
      <c r="AJ168" s="142" t="e">
        <f t="shared" ca="1" si="165"/>
        <v>#NAME?</v>
      </c>
      <c r="AK168" s="142" t="e">
        <f ca="1">GetCtData("PKAMOUNT","AMOUNT",$AK$11:$AK$18,$B168:$D168,AK$19:AK$20,"#4")</f>
        <v>#NAME?</v>
      </c>
      <c r="AL168" s="143" t="e">
        <f ca="1">(O168-AO168)-AK168</f>
        <v>#NAME?</v>
      </c>
      <c r="AM168" s="122"/>
      <c r="AN168" s="142" t="e">
        <f ca="1">GetCtData("PKAMOUNT","AMOUNT",$AN$11:$AN$18,$B168:$D168,AN$19:AN$20,"#4")</f>
        <v>#NAME?</v>
      </c>
      <c r="AO168" s="142" t="e">
        <f ca="1">GetCtData("PKAMOUNT","AMOUNT",$AO$11:$AO$18,$B168:$D168,AO$19:AO$20,"#22")</f>
        <v>#NAME?</v>
      </c>
      <c r="AP168" s="122"/>
      <c r="AQ168" s="142" t="e">
        <f ca="1">GetCtData("PKAMOUNT","AMOUNT",$AQ$11:$AQ$18,$B168:$D168,AQ$19:AQ$20,"#27")</f>
        <v>#NAME?</v>
      </c>
      <c r="AR168" s="142" t="e">
        <f t="shared" ca="1" si="159"/>
        <v>#NAME?</v>
      </c>
      <c r="AS168" s="142"/>
      <c r="AT168" s="142" t="e">
        <f ca="1">GetCtData("PKAMOUNT","AMOUNT",AT$11:AT$18,$B168:$D168,AT$19:AT$20,"#28")</f>
        <v>#NAME?</v>
      </c>
      <c r="AU168" s="142" t="e">
        <f ca="1">O168-AT168</f>
        <v>#NAME?</v>
      </c>
      <c r="AV168" s="72"/>
      <c r="AW168" s="72" t="e">
        <f t="shared" ca="1" si="160"/>
        <v>#NAME?</v>
      </c>
      <c r="AX168" s="72" t="e">
        <f ca="1">O168-AW168</f>
        <v>#NAME?</v>
      </c>
      <c r="AY168" s="72"/>
      <c r="AZ168" s="72" t="e">
        <f ca="1">GetCtData("COAMOUNT","AMOUNT",$AZ$11:$AZ$17,$B168,AZ$19,AZ$20,"#")</f>
        <v>#NAME?</v>
      </c>
      <c r="BA168" s="72" t="e">
        <f ca="1">O168-AZ168</f>
        <v>#NAME?</v>
      </c>
      <c r="BB168" s="72"/>
      <c r="BC168" s="72" t="e">
        <f ca="1">GetCtData("COAMOUNT","AMOUNT",$BF$11:$BF$17,$B168,BC$19,BC$20,"#")</f>
        <v>#NAME?</v>
      </c>
      <c r="BD168" s="72" t="e">
        <f ca="1">K168-BC168</f>
        <v>#NAME?</v>
      </c>
      <c r="BE168" s="72"/>
      <c r="BF168" s="72" t="e">
        <f ca="1">GetCtData("COAMOUNT","AMOUNT",$BF$11:$BF$17,$B168,BF$19,BF$20,"#")</f>
        <v>#NAME?</v>
      </c>
      <c r="BG168" s="72" t="e">
        <f ca="1">O168-BF168</f>
        <v>#NAME?</v>
      </c>
      <c r="BH168" s="72"/>
      <c r="BI168" s="72" t="e">
        <f ca="1">GetCtData("COAMOUNT","AMOUNT",$AO$11:$AO$17,$B168,BI$19,BI$20,"#")</f>
        <v>#NAME?</v>
      </c>
      <c r="BJ168" s="72" t="e">
        <f ca="1">O168-BI168</f>
        <v>#NAME?</v>
      </c>
      <c r="BK168" s="72"/>
      <c r="BL168" s="72" t="e">
        <f ca="1">GetCtData("COAMOUNT","AMOUNT",$BO$11:$BO$17,$B168,BL$19,BL$20,"#")</f>
        <v>#NAME?</v>
      </c>
      <c r="BM168" s="72" t="e">
        <f ca="1">O168-BL168</f>
        <v>#NAME?</v>
      </c>
      <c r="BN168" s="72"/>
      <c r="BO168" s="72" t="e">
        <f ca="1">GetCtData("COAMOUNT","AMOUNT",$BO$11:$BO$17,$B168,BO$19,BO$20,"#")</f>
        <v>#NAME?</v>
      </c>
      <c r="BP168" s="72" t="e">
        <f ca="1">O168-BO168</f>
        <v>#NAME?</v>
      </c>
      <c r="BQ168" s="72"/>
      <c r="BR168" s="72" t="e">
        <f ca="1">GetCtData("COAMOUNT","AMOUNT",$BO$11:$BO$17,$B168,BR$19,BR$20,"#")</f>
        <v>#NAME?</v>
      </c>
      <c r="BS168" s="72" t="e">
        <f ca="1">#REF!-BR168</f>
        <v>#REF!</v>
      </c>
    </row>
    <row r="169" spans="1:71" x14ac:dyDescent="0.2">
      <c r="A169" s="82" t="s">
        <v>243</v>
      </c>
      <c r="B169" s="82" t="s">
        <v>369</v>
      </c>
      <c r="D169" s="82" t="s">
        <v>172</v>
      </c>
      <c r="E169" s="74" t="e">
        <f ca="1">GetCtLabel(B169,"CURINIT(AC)!LDESC","#Computer software amortisation")</f>
        <v>#NAME?</v>
      </c>
      <c r="F169" s="137"/>
      <c r="G169" s="138"/>
      <c r="H169" s="137"/>
      <c r="I169" s="139"/>
      <c r="J169" s="139"/>
      <c r="K169" s="139"/>
      <c r="L169" s="139"/>
      <c r="M169" s="139"/>
      <c r="N169" s="130"/>
      <c r="O169" s="140">
        <f t="shared" si="161"/>
        <v>0</v>
      </c>
      <c r="P169" s="141">
        <f t="shared" si="158"/>
        <v>0</v>
      </c>
      <c r="Q169" s="141">
        <f t="shared" si="158"/>
        <v>0</v>
      </c>
      <c r="R169" s="133" t="e">
        <f t="shared" ca="1" si="184"/>
        <v>#NAME?</v>
      </c>
      <c r="S169" s="133" t="e">
        <f t="shared" ca="1" si="185"/>
        <v>#NAME?</v>
      </c>
      <c r="T169" s="134" t="e">
        <f t="shared" ca="1" si="186"/>
        <v>#NAME?</v>
      </c>
      <c r="U169" s="134" t="e">
        <f t="shared" ca="1" si="164"/>
        <v>#NAME?</v>
      </c>
      <c r="V169" s="144"/>
      <c r="W169" s="142"/>
      <c r="X169" s="142"/>
      <c r="Y169" s="122"/>
      <c r="Z169" s="135"/>
      <c r="AA169" s="135"/>
      <c r="AB169" s="135">
        <f t="shared" si="136"/>
        <v>0</v>
      </c>
      <c r="AC169" s="135">
        <f>+O169-AB169</f>
        <v>0</v>
      </c>
      <c r="AD169" s="122"/>
      <c r="AE169" s="142" t="e">
        <f ca="1">GetCtData("PKAMOUNT","AMOUNT",$AE$11:$AE$18,$B169:$D169,AE$19:AE$20,"#0")</f>
        <v>#NAME?</v>
      </c>
      <c r="AF169" s="142"/>
      <c r="AG169" s="142" t="e">
        <f t="shared" ca="1" si="135"/>
        <v>#NAME?</v>
      </c>
      <c r="AH169" s="143" t="e">
        <f t="shared" ca="1" si="134"/>
        <v>#NAME?</v>
      </c>
      <c r="AI169" s="128"/>
      <c r="AJ169" s="142" t="e">
        <f t="shared" ca="1" si="165"/>
        <v>#NAME?</v>
      </c>
      <c r="AK169" s="142" t="e">
        <f ca="1">GetCtData("PKAMOUNT","AMOUNT",$AK$11:$AK$18,$B169:$D169,AK$19:AK$20,"#")</f>
        <v>#NAME?</v>
      </c>
      <c r="AL169" s="143" t="e">
        <f ca="1">(O169-AO169)-AK169</f>
        <v>#NAME?</v>
      </c>
      <c r="AM169" s="122"/>
      <c r="AN169" s="142" t="e">
        <f ca="1">GetCtData("PKAMOUNT","AMOUNT",$AN$11:$AN$18,$B169:$D169,AN$19:AN$20,"#0")</f>
        <v>#NAME?</v>
      </c>
      <c r="AO169" s="142" t="e">
        <f ca="1">GetCtData("PKAMOUNT","AMOUNT",$AO$11:$AO$18,$B169:$D169,AO$19:AO$20,"#0")</f>
        <v>#NAME?</v>
      </c>
      <c r="AP169" s="122"/>
      <c r="AQ169" s="142" t="e">
        <f ca="1">GetCtData("PKAMOUNT","AMOUNT",$AQ$11:$AQ$18,$B169:$D169,AQ$19:AQ$20,"#")</f>
        <v>#NAME?</v>
      </c>
      <c r="AR169" s="142" t="e">
        <f t="shared" ca="1" si="159"/>
        <v>#NAME?</v>
      </c>
      <c r="AS169" s="142"/>
      <c r="AT169" s="142" t="e">
        <f ca="1">GetCtData("PKAMOUNT","AMOUNT",AT$11:AT$18,$B169:$D169,AT$19:AT$20,"#0")</f>
        <v>#NAME?</v>
      </c>
      <c r="AU169" s="142" t="e">
        <f ca="1">O169-AT169</f>
        <v>#NAME?</v>
      </c>
      <c r="AV169" s="72"/>
      <c r="AW169" s="72" t="e">
        <f t="shared" ca="1" si="160"/>
        <v>#NAME?</v>
      </c>
      <c r="AX169" s="72" t="e">
        <f ca="1">O169-AW169</f>
        <v>#NAME?</v>
      </c>
      <c r="AY169" s="72"/>
      <c r="AZ169" s="72" t="e">
        <f ca="1">GetCtData("COAMOUNT","AMOUNT",$AZ$11:$AZ$17,$B169,AZ$19,AZ$20,"#")</f>
        <v>#NAME?</v>
      </c>
      <c r="BA169" s="72" t="e">
        <f ca="1">O169-AZ169</f>
        <v>#NAME?</v>
      </c>
      <c r="BB169" s="72"/>
      <c r="BC169" s="72" t="e">
        <f ca="1">GetCtData("COAMOUNT","AMOUNT",$BF$11:$BF$17,$B169,BC$19,BC$20,"#")</f>
        <v>#NAME?</v>
      </c>
      <c r="BD169" s="72" t="e">
        <f ca="1">K169-BC169</f>
        <v>#NAME?</v>
      </c>
      <c r="BE169" s="72"/>
      <c r="BF169" s="72" t="e">
        <f ca="1">GetCtData("COAMOUNT","AMOUNT",$BF$11:$BF$17,$B169,BF$19,BF$20,"#")</f>
        <v>#NAME?</v>
      </c>
      <c r="BG169" s="72" t="e">
        <f ca="1">O169-BF169</f>
        <v>#NAME?</v>
      </c>
      <c r="BH169" s="72"/>
      <c r="BI169" s="72" t="e">
        <f ca="1">GetCtData("COAMOUNT","AMOUNT",$AO$11:$AO$17,$B169,BI$19,BI$20,"#")</f>
        <v>#NAME?</v>
      </c>
      <c r="BJ169" s="72" t="e">
        <f ca="1">O169-BI169</f>
        <v>#NAME?</v>
      </c>
      <c r="BK169" s="72"/>
      <c r="BL169" s="72" t="e">
        <f ca="1">GetCtData("COAMOUNT","AMOUNT",$BO$11:$BO$17,$B169,BL$19,BL$20,"#")</f>
        <v>#NAME?</v>
      </c>
      <c r="BM169" s="72" t="e">
        <f ca="1">O169-BL169</f>
        <v>#NAME?</v>
      </c>
      <c r="BN169" s="72"/>
      <c r="BO169" s="72" t="e">
        <f ca="1">GetCtData("COAMOUNT","AMOUNT",$BO$11:$BO$17,$B169,BO$19,BO$20,"#")</f>
        <v>#NAME?</v>
      </c>
      <c r="BP169" s="72" t="e">
        <f ca="1">O169-BO169</f>
        <v>#NAME?</v>
      </c>
      <c r="BQ169" s="72"/>
      <c r="BR169" s="72" t="e">
        <f ca="1">GetCtData("COAMOUNT","AMOUNT",$BO$11:$BO$17,$B169,BR$19,BR$20,"#")</f>
        <v>#NAME?</v>
      </c>
      <c r="BS169" s="72" t="e">
        <f ca="1">#REF!-BR169</f>
        <v>#REF!</v>
      </c>
    </row>
    <row r="170" spans="1:71" x14ac:dyDescent="0.2">
      <c r="A170" s="82" t="s">
        <v>243</v>
      </c>
      <c r="B170" s="82" t="s">
        <v>370</v>
      </c>
      <c r="D170" s="82" t="s">
        <v>172</v>
      </c>
      <c r="E170" s="74" t="e">
        <f ca="1">GetCtLabel(B170,"CURINIT(AC)!LDESC","#Computer equipment lease")</f>
        <v>#NAME?</v>
      </c>
      <c r="F170" s="137"/>
      <c r="G170" s="138"/>
      <c r="H170" s="137"/>
      <c r="I170" s="139"/>
      <c r="J170" s="139"/>
      <c r="K170" s="139"/>
      <c r="L170" s="139"/>
      <c r="M170" s="139"/>
      <c r="N170" s="130"/>
      <c r="O170" s="140">
        <f t="shared" si="161"/>
        <v>0</v>
      </c>
      <c r="P170" s="141">
        <f t="shared" si="158"/>
        <v>0</v>
      </c>
      <c r="Q170" s="141">
        <f t="shared" si="158"/>
        <v>0</v>
      </c>
      <c r="R170" s="133" t="e">
        <f t="shared" ca="1" si="184"/>
        <v>#NAME?</v>
      </c>
      <c r="S170" s="133" t="e">
        <f t="shared" ca="1" si="185"/>
        <v>#NAME?</v>
      </c>
      <c r="T170" s="134" t="e">
        <f t="shared" ca="1" si="186"/>
        <v>#NAME?</v>
      </c>
      <c r="U170" s="134" t="e">
        <f t="shared" ca="1" si="164"/>
        <v>#NAME?</v>
      </c>
      <c r="V170" s="144"/>
      <c r="W170" s="142"/>
      <c r="X170" s="142"/>
      <c r="Y170" s="122"/>
      <c r="Z170" s="135"/>
      <c r="AA170" s="135"/>
      <c r="AB170" s="135">
        <f t="shared" si="136"/>
        <v>0</v>
      </c>
      <c r="AC170" s="135">
        <f>+O170-AB170</f>
        <v>0</v>
      </c>
      <c r="AD170" s="122"/>
      <c r="AE170" s="142" t="e">
        <f ca="1">GetCtData("PKAMOUNT","AMOUNT",$AE$11:$AE$18,$B170:$D170,AE$19:AE$20,"#0")</f>
        <v>#NAME?</v>
      </c>
      <c r="AF170" s="142"/>
      <c r="AG170" s="142" t="e">
        <f t="shared" ca="1" si="135"/>
        <v>#NAME?</v>
      </c>
      <c r="AH170" s="143" t="e">
        <f t="shared" ca="1" si="134"/>
        <v>#NAME?</v>
      </c>
      <c r="AI170" s="128"/>
      <c r="AJ170" s="142" t="e">
        <f t="shared" ca="1" si="165"/>
        <v>#NAME?</v>
      </c>
      <c r="AK170" s="142" t="e">
        <f ca="1">GetCtData("PKAMOUNT","AMOUNT",$AK$11:$AK$18,$B170:$D170,AK$19:AK$20,"#")</f>
        <v>#NAME?</v>
      </c>
      <c r="AL170" s="143" t="e">
        <f ca="1">(O170-AO170)-AK170</f>
        <v>#NAME?</v>
      </c>
      <c r="AM170" s="122"/>
      <c r="AN170" s="142" t="e">
        <f ca="1">GetCtData("PKAMOUNT","AMOUNT",$AN$11:$AN$18,$B170:$D170,AN$19:AN$20,"#0")</f>
        <v>#NAME?</v>
      </c>
      <c r="AO170" s="142" t="e">
        <f ca="1">GetCtData("PKAMOUNT","AMOUNT",$AO$11:$AO$18,$B170:$D170,AO$19:AO$20,"#0")</f>
        <v>#NAME?</v>
      </c>
      <c r="AP170" s="122"/>
      <c r="AQ170" s="142" t="e">
        <f ca="1">GetCtData("PKAMOUNT","AMOUNT",$AQ$11:$AQ$18,$B170:$D170,AQ$19:AQ$20,"#")</f>
        <v>#NAME?</v>
      </c>
      <c r="AR170" s="142" t="e">
        <f t="shared" ca="1" si="159"/>
        <v>#NAME?</v>
      </c>
      <c r="AS170" s="142"/>
      <c r="AT170" s="142" t="e">
        <f ca="1">GetCtData("PKAMOUNT","AMOUNT",AT$11:AT$18,$B170:$D170,AT$19:AT$20,"#0")</f>
        <v>#NAME?</v>
      </c>
      <c r="AU170" s="142" t="e">
        <f ca="1">O170-AT170</f>
        <v>#NAME?</v>
      </c>
      <c r="AV170" s="72"/>
      <c r="AW170" s="72" t="e">
        <f t="shared" ca="1" si="160"/>
        <v>#NAME?</v>
      </c>
      <c r="AX170" s="72" t="e">
        <f ca="1">O170-AW170</f>
        <v>#NAME?</v>
      </c>
      <c r="AY170" s="72"/>
      <c r="AZ170" s="72" t="e">
        <f ca="1">GetCtData("COAMOUNT","AMOUNT",$AZ$11:$AZ$17,$B170,AZ$19,AZ$20,"#")</f>
        <v>#NAME?</v>
      </c>
      <c r="BA170" s="72" t="e">
        <f ca="1">O170-AZ170</f>
        <v>#NAME?</v>
      </c>
      <c r="BB170" s="72"/>
      <c r="BC170" s="72" t="e">
        <f ca="1">GetCtData("COAMOUNT","AMOUNT",$BF$11:$BF$17,$B170,BC$19,BC$20,"#")</f>
        <v>#NAME?</v>
      </c>
      <c r="BD170" s="72" t="e">
        <f ca="1">K170-BC170</f>
        <v>#NAME?</v>
      </c>
      <c r="BE170" s="72"/>
      <c r="BF170" s="72" t="e">
        <f ca="1">GetCtData("COAMOUNT","AMOUNT",$BF$11:$BF$17,$B170,BF$19,BF$20,"#")</f>
        <v>#NAME?</v>
      </c>
      <c r="BG170" s="72" t="e">
        <f ca="1">O170-BF170</f>
        <v>#NAME?</v>
      </c>
      <c r="BH170" s="72"/>
      <c r="BI170" s="72" t="e">
        <f ca="1">GetCtData("COAMOUNT","AMOUNT",$AO$11:$AO$17,$B170,BI$19,BI$20,"#")</f>
        <v>#NAME?</v>
      </c>
      <c r="BJ170" s="72" t="e">
        <f ca="1">O170-BI170</f>
        <v>#NAME?</v>
      </c>
      <c r="BK170" s="72"/>
      <c r="BL170" s="72" t="e">
        <f ca="1">GetCtData("COAMOUNT","AMOUNT",$BO$11:$BO$17,$B170,BL$19,BL$20,"#")</f>
        <v>#NAME?</v>
      </c>
      <c r="BM170" s="72" t="e">
        <f ca="1">O170-BL170</f>
        <v>#NAME?</v>
      </c>
      <c r="BN170" s="72"/>
      <c r="BO170" s="72" t="e">
        <f ca="1">GetCtData("COAMOUNT","AMOUNT",$BO$11:$BO$17,$B170,BO$19,BO$20,"#")</f>
        <v>#NAME?</v>
      </c>
      <c r="BP170" s="72" t="e">
        <f ca="1">O170-BO170</f>
        <v>#NAME?</v>
      </c>
      <c r="BQ170" s="72"/>
      <c r="BR170" s="72" t="e">
        <f ca="1">GetCtData("COAMOUNT","AMOUNT",$BO$11:$BO$17,$B170,BR$19,BR$20,"#")</f>
        <v>#NAME?</v>
      </c>
      <c r="BS170" s="72" t="e">
        <f ca="1">#REF!-BR170</f>
        <v>#REF!</v>
      </c>
    </row>
    <row r="171" spans="1:71" x14ac:dyDescent="0.2">
      <c r="A171" s="82" t="s">
        <v>293</v>
      </c>
      <c r="B171" s="82" t="s">
        <v>371</v>
      </c>
      <c r="D171" s="82" t="s">
        <v>250</v>
      </c>
      <c r="E171" s="74" t="e">
        <f ca="1">GetCtLabel(B171,"CURINIT(AC)!LDESC","#Computer equipment maintenance/service")</f>
        <v>#NAME?</v>
      </c>
      <c r="F171" s="178">
        <f>SUM(F172:F173)</f>
        <v>30</v>
      </c>
      <c r="G171" s="179">
        <f t="shared" ref="G171:O171" si="187">SUM(G172:G173)</f>
        <v>0</v>
      </c>
      <c r="H171" s="179"/>
      <c r="I171" s="178">
        <f t="shared" si="187"/>
        <v>0</v>
      </c>
      <c r="J171" s="178">
        <f t="shared" si="187"/>
        <v>0</v>
      </c>
      <c r="K171" s="178">
        <f t="shared" si="187"/>
        <v>0</v>
      </c>
      <c r="L171" s="179">
        <f t="shared" si="187"/>
        <v>0</v>
      </c>
      <c r="M171" s="179">
        <f t="shared" si="187"/>
        <v>0</v>
      </c>
      <c r="N171" s="130"/>
      <c r="O171" s="188">
        <f t="shared" si="187"/>
        <v>30</v>
      </c>
      <c r="P171" s="141">
        <f t="shared" si="158"/>
        <v>0</v>
      </c>
      <c r="Q171" s="141">
        <f t="shared" si="158"/>
        <v>0</v>
      </c>
      <c r="R171" s="179"/>
      <c r="S171" s="179"/>
      <c r="T171" s="179"/>
      <c r="U171" s="179"/>
      <c r="V171" s="144"/>
      <c r="W171" s="142"/>
      <c r="X171" s="142"/>
      <c r="Y171" s="122"/>
      <c r="Z171" s="135"/>
      <c r="AA171" s="135"/>
      <c r="AB171" s="135">
        <f>Z171+AA171</f>
        <v>0</v>
      </c>
      <c r="AC171" s="135">
        <f>G171-AB171</f>
        <v>0</v>
      </c>
      <c r="AD171" s="122"/>
      <c r="AE171" s="142" t="e">
        <f ca="1">GetCtData("PKAMOUNT","AMOUNT",$AE$11:$AE$18,$B171:$D171,AE$19:AE$20,"#27")</f>
        <v>#NAME?</v>
      </c>
      <c r="AF171" s="142"/>
      <c r="AG171" s="142" t="e">
        <f t="shared" ca="1" si="135"/>
        <v>#NAME?</v>
      </c>
      <c r="AH171" s="175" t="e">
        <f t="shared" ca="1" si="134"/>
        <v>#NAME?</v>
      </c>
      <c r="AI171" s="192"/>
      <c r="AJ171" s="142" t="e">
        <f t="shared" ca="1" si="165"/>
        <v>#NAME?</v>
      </c>
      <c r="AK171" s="142" t="e">
        <f ca="1">GetCtData("PKAMOUNT","AMOUNT",$AK$11:$AK$18,$B171:$D171,AK$19:AK$20,"#2")</f>
        <v>#NAME?</v>
      </c>
      <c r="AL171" s="143" t="e">
        <f ca="1">(O171-AO171)-AK171</f>
        <v>#NAME?</v>
      </c>
      <c r="AM171" s="122"/>
      <c r="AN171" s="142" t="e">
        <f ca="1">GetCtData("PKAMOUNT","AMOUNT",$AN$11:$AN$18,$B171:$D171,AN$19:AN$20,"#4")</f>
        <v>#NAME?</v>
      </c>
      <c r="AO171" s="142" t="e">
        <f ca="1">GetCtData("PKAMOUNT","AMOUNT",$AO$11:$AO$18,$B171:$D171,AO$19:AO$20,"#25")</f>
        <v>#NAME?</v>
      </c>
      <c r="AP171" s="122"/>
      <c r="AQ171" s="142" t="e">
        <f ca="1">GetCtData("PKAMOUNT","AMOUNT",$AQ$11:$AQ$18,$B171:$D171,AQ$19:AQ$20,"#23")</f>
        <v>#NAME?</v>
      </c>
      <c r="AR171" s="142" t="e">
        <f t="shared" ca="1" si="159"/>
        <v>#NAME?</v>
      </c>
      <c r="AS171" s="142"/>
      <c r="AT171" s="142" t="e">
        <f ca="1">GetCtData("PKAMOUNT","AMOUNT",AT$11:AT$18,$B171:$D171,AT$19:AT$20,"#35.8")</f>
        <v>#NAME?</v>
      </c>
      <c r="AU171" s="142" t="e">
        <f ca="1">O171-AT171</f>
        <v>#NAME?</v>
      </c>
      <c r="AV171" s="72"/>
      <c r="AW171" s="72" t="e">
        <f t="shared" ca="1" si="160"/>
        <v>#NAME?</v>
      </c>
      <c r="AX171" s="72" t="e">
        <f ca="1">O171-AW171</f>
        <v>#NAME?</v>
      </c>
      <c r="AY171" s="72"/>
      <c r="AZ171" s="72" t="e">
        <f ca="1">GetCtData("COAMOUNT","AMOUNT",$AZ$11:$AZ$17,$B171,AZ$19,AZ$20,"#")</f>
        <v>#NAME?</v>
      </c>
      <c r="BA171" s="72" t="e">
        <f ca="1">AD171-AZ171</f>
        <v>#NAME?</v>
      </c>
      <c r="BB171" s="72"/>
      <c r="BC171" s="72" t="e">
        <f ca="1">GetCtData("COAMOUNT","AMOUNT",$BF$11:$BF$17,$B171,BC$19,BC$20,"#")</f>
        <v>#NAME?</v>
      </c>
      <c r="BD171" s="72" t="e">
        <f ca="1">K171-BC171</f>
        <v>#NAME?</v>
      </c>
      <c r="BE171" s="72"/>
      <c r="BF171" s="72" t="e">
        <f ca="1">GetCtData("COAMOUNT","AMOUNT",$BF$11:$BF$17,$B171,BF$19,BF$20,"#")</f>
        <v>#NAME?</v>
      </c>
      <c r="BG171" s="72" t="e">
        <f ca="1">O171-BF171</f>
        <v>#NAME?</v>
      </c>
      <c r="BH171" s="72"/>
      <c r="BI171" s="72" t="e">
        <f ca="1">GetCtData("COAMOUNT","AMOUNT",$AO$11:$AO$17,$B171,BI$19,BI$20,"#")</f>
        <v>#NAME?</v>
      </c>
      <c r="BJ171" s="72" t="e">
        <f ca="1">O171-BI171</f>
        <v>#NAME?</v>
      </c>
      <c r="BK171" s="72"/>
      <c r="BL171" s="72" t="e">
        <f ca="1">GetCtData("COAMOUNT","AMOUNT",$BO$11:$BO$17,$B171,BL$19,BL$20,"#")</f>
        <v>#NAME?</v>
      </c>
      <c r="BM171" s="72" t="e">
        <f ca="1">O171-BL171</f>
        <v>#NAME?</v>
      </c>
      <c r="BN171" s="72"/>
      <c r="BO171" s="72" t="e">
        <f ca="1">GetCtData("COAMOUNT","AMOUNT",$BO$11:$BO$17,$B171,BO$19,BO$20,"#")</f>
        <v>#NAME?</v>
      </c>
      <c r="BP171" s="72" t="e">
        <f ca="1">O171-BO171</f>
        <v>#NAME?</v>
      </c>
      <c r="BQ171" s="72"/>
      <c r="BR171" s="72" t="e">
        <f ca="1">GetCtData("COAMOUNT","AMOUNT",$BO$11:$BO$17,$B171,BR$19,BR$20,"#")</f>
        <v>#NAME?</v>
      </c>
      <c r="BS171" s="72" t="e">
        <f ca="1">#REF!-BR171</f>
        <v>#REF!</v>
      </c>
    </row>
    <row r="172" spans="1:71" outlineLevel="1" x14ac:dyDescent="0.2">
      <c r="A172" s="82" t="s">
        <v>243</v>
      </c>
      <c r="B172" s="82" t="s">
        <v>371</v>
      </c>
      <c r="D172" s="82" t="s">
        <v>196</v>
      </c>
      <c r="E172" s="153" t="e">
        <f ca="1">GetCtLabel(B172,"CURINIT(AC)!LDESC","#Computer equipment maintenance/service")&amp;" "&amp;D172</f>
        <v>#NAME?</v>
      </c>
      <c r="F172" s="137">
        <v>26</v>
      </c>
      <c r="G172" s="138"/>
      <c r="H172" s="137"/>
      <c r="I172" s="139"/>
      <c r="J172" s="139"/>
      <c r="K172" s="139"/>
      <c r="L172" s="139"/>
      <c r="M172" s="139"/>
      <c r="N172" s="130"/>
      <c r="O172" s="140">
        <f t="shared" si="161"/>
        <v>26</v>
      </c>
      <c r="P172" s="141"/>
      <c r="Q172" s="141">
        <f t="shared" si="158"/>
        <v>0</v>
      </c>
      <c r="R172" s="133" t="e">
        <f ca="1">PutCtData("PKAMOUNT","AMOUNT",R$11:R$14,$B172:$D172,R$17:R$18,$O172)</f>
        <v>#NAME?</v>
      </c>
      <c r="S172" s="133" t="e">
        <f ca="1">PutCtData("PKAMOUNT","AMOUNT",S$11:S$14,$B172:$D172,S$17,$M172)</f>
        <v>#NAME?</v>
      </c>
      <c r="T172" s="134" t="e">
        <f ca="1">PutCtData("PKAMOUNT","AMOUNT",T$11:T$14,$B172:$D172,T$17:T$18,$P172)</f>
        <v>#NAME?</v>
      </c>
      <c r="U172" s="134" t="e">
        <f t="shared" ref="U172:U183" ca="1" si="188">PutCtData("PKAMOUNT","AMOUNT",$U$11:$U$14,$B172:$D172,U$17:U$18,Q172)</f>
        <v>#NAME?</v>
      </c>
      <c r="V172" s="144"/>
      <c r="W172" s="142"/>
      <c r="X172" s="142"/>
      <c r="Y172" s="122"/>
      <c r="Z172" s="135"/>
      <c r="AA172" s="135"/>
      <c r="AB172" s="135"/>
      <c r="AC172" s="135"/>
      <c r="AD172" s="122"/>
      <c r="AE172" s="142" t="e">
        <f ca="1">GetCtData("PKAMOUNT","AMOUNT",$AE$11:$AE$18,$B172:$D172,AE$19:AE$20,"#23")</f>
        <v>#NAME?</v>
      </c>
      <c r="AF172" s="142"/>
      <c r="AG172" s="142" t="e">
        <f t="shared" ca="1" si="135"/>
        <v>#NAME?</v>
      </c>
      <c r="AH172" s="143" t="e">
        <f t="shared" ca="1" si="134"/>
        <v>#NAME?</v>
      </c>
      <c r="AI172" s="128"/>
      <c r="AJ172" s="142" t="e">
        <f t="shared" ca="1" si="165"/>
        <v>#NAME?</v>
      </c>
      <c r="AK172" s="142" t="e">
        <f ca="1">GetCtData("PKAMOUNT","AMOUNT",$AK$11:$AK$18,$B172:$D172,AK$19:AK$20,"#2")</f>
        <v>#NAME?</v>
      </c>
      <c r="AL172" s="143"/>
      <c r="AM172" s="122"/>
      <c r="AN172" s="142" t="e">
        <f ca="1">GetCtData("PKAMOUNT","AMOUNT",$AN$11:$AN$18,$B172:$D172,AN$19:AN$20,"#4")</f>
        <v>#NAME?</v>
      </c>
      <c r="AO172" s="142" t="e">
        <f ca="1">GetCtData("PKAMOUNT","AMOUNT",$AO$11:$AO$18,$B172:$D172,AO$19:AO$20,"#21")</f>
        <v>#NAME?</v>
      </c>
      <c r="AP172" s="122"/>
      <c r="AQ172" s="142" t="e">
        <f ca="1">GetCtData("PKAMOUNT","AMOUNT",$AQ$11:$AQ$18,$B172:$D172,AQ$19:AQ$20,"#19")</f>
        <v>#NAME?</v>
      </c>
      <c r="AR172" s="142" t="e">
        <f t="shared" ca="1" si="159"/>
        <v>#NAME?</v>
      </c>
      <c r="AS172" s="142"/>
      <c r="AT172" s="142" t="e">
        <f ca="1">GetCtData("PKAMOUNT","AMOUNT",AT$11:AT$18,$B172:$D172,AT$19:AT$20,"#32")</f>
        <v>#NAME?</v>
      </c>
      <c r="AU172" s="142"/>
      <c r="AV172" s="72"/>
      <c r="AW172" s="72" t="e">
        <f t="shared" ca="1" si="160"/>
        <v>#NAME?</v>
      </c>
      <c r="AX172" s="72"/>
      <c r="AY172" s="72"/>
      <c r="AZ172" s="72"/>
      <c r="BA172" s="72"/>
      <c r="BB172" s="72"/>
      <c r="BC172" s="72"/>
      <c r="BD172" s="72"/>
      <c r="BE172" s="72"/>
      <c r="BF172" s="72"/>
      <c r="BG172" s="72"/>
      <c r="BH172" s="72"/>
      <c r="BI172" s="72"/>
      <c r="BJ172" s="72"/>
      <c r="BK172" s="72"/>
      <c r="BL172" s="72"/>
      <c r="BM172" s="72"/>
      <c r="BN172" s="72"/>
      <c r="BO172" s="72"/>
      <c r="BP172" s="72"/>
      <c r="BQ172" s="72"/>
      <c r="BR172" s="72"/>
      <c r="BS172" s="72"/>
    </row>
    <row r="173" spans="1:71" outlineLevel="1" x14ac:dyDescent="0.2">
      <c r="A173" s="82" t="s">
        <v>243</v>
      </c>
      <c r="B173" s="82" t="s">
        <v>371</v>
      </c>
      <c r="D173" s="82" t="s">
        <v>296</v>
      </c>
      <c r="E173" s="153" t="e">
        <f ca="1">GetCtLabel(B173,"CURINIT(AC)!LDESC","#Computer equipment maintenance/service")&amp;" "&amp;D173</f>
        <v>#NAME?</v>
      </c>
      <c r="F173" s="137">
        <v>4</v>
      </c>
      <c r="G173" s="138"/>
      <c r="H173" s="137"/>
      <c r="I173" s="139"/>
      <c r="J173" s="139"/>
      <c r="K173" s="139"/>
      <c r="L173" s="139"/>
      <c r="M173" s="139"/>
      <c r="N173" s="130"/>
      <c r="O173" s="140">
        <f t="shared" si="161"/>
        <v>4</v>
      </c>
      <c r="P173" s="141"/>
      <c r="Q173" s="141">
        <f t="shared" ref="Q173:Q186" si="189">-L173</f>
        <v>0</v>
      </c>
      <c r="R173" s="133" t="e">
        <f ca="1">PutCtData("PKAMOUNT","AMOUNT",R$11:R$14,$B173:$D173,R$17:R$18,$O173)</f>
        <v>#NAME?</v>
      </c>
      <c r="S173" s="133" t="e">
        <f ca="1">PutCtData("PKAMOUNT","AMOUNT",S$11:S$14,$B173:$D173,S$17,$M173)</f>
        <v>#NAME?</v>
      </c>
      <c r="T173" s="134" t="e">
        <f ca="1">PutCtData("PKAMOUNT","AMOUNT",T$11:T$14,$B173:$D173,T$17:T$18,$P173)</f>
        <v>#NAME?</v>
      </c>
      <c r="U173" s="134" t="e">
        <f t="shared" ca="1" si="188"/>
        <v>#NAME?</v>
      </c>
      <c r="V173" s="144"/>
      <c r="W173" s="142"/>
      <c r="X173" s="142"/>
      <c r="Y173" s="122"/>
      <c r="Z173" s="135"/>
      <c r="AA173" s="135"/>
      <c r="AB173" s="135"/>
      <c r="AC173" s="135"/>
      <c r="AD173" s="122"/>
      <c r="AE173" s="142" t="e">
        <f ca="1">GetCtData("PKAMOUNT","AMOUNT",$AE$11:$AE$18,$B173:$D173,AE$19:AE$20,"#4")</f>
        <v>#NAME?</v>
      </c>
      <c r="AF173" s="142"/>
      <c r="AG173" s="142" t="e">
        <f t="shared" ca="1" si="135"/>
        <v>#NAME?</v>
      </c>
      <c r="AH173" s="143" t="e">
        <f t="shared" ca="1" si="134"/>
        <v>#NAME?</v>
      </c>
      <c r="AI173" s="128"/>
      <c r="AJ173" s="142" t="e">
        <f t="shared" ca="1" si="165"/>
        <v>#NAME?</v>
      </c>
      <c r="AK173" s="142" t="e">
        <f ca="1">GetCtData("PKAMOUNT","AMOUNT",$AK$11:$AK$18,$B173:$D173,AK$19:AK$20,"#")</f>
        <v>#NAME?</v>
      </c>
      <c r="AL173" s="143"/>
      <c r="AM173" s="122"/>
      <c r="AN173" s="142" t="e">
        <f ca="1">GetCtData("PKAMOUNT","AMOUNT",$AN$11:$AN$18,$B173:$D173,AN$19:AN$20,"#0")</f>
        <v>#NAME?</v>
      </c>
      <c r="AO173" s="142" t="e">
        <f ca="1">GetCtData("PKAMOUNT","AMOUNT",$AO$11:$AO$18,$B173:$D173,AO$19:AO$20,"#4")</f>
        <v>#NAME?</v>
      </c>
      <c r="AP173" s="122"/>
      <c r="AQ173" s="142" t="e">
        <f ca="1">GetCtData("PKAMOUNT","AMOUNT",$AQ$11:$AQ$18,$B173:$D173,AQ$19:AQ$20,"#4")</f>
        <v>#NAME?</v>
      </c>
      <c r="AR173" s="142" t="e">
        <f t="shared" ca="1" si="159"/>
        <v>#NAME?</v>
      </c>
      <c r="AS173" s="142"/>
      <c r="AT173" s="142" t="e">
        <f ca="1">GetCtData("PKAMOUNT","AMOUNT",AT$11:AT$18,$B173:$D173,AT$19:AT$20,"#4")</f>
        <v>#NAME?</v>
      </c>
      <c r="AU173" s="142"/>
      <c r="AV173" s="72"/>
      <c r="AW173" s="72" t="e">
        <f t="shared" ca="1" si="160"/>
        <v>#NAME?</v>
      </c>
      <c r="AX173" s="72"/>
      <c r="AY173" s="72"/>
      <c r="AZ173" s="72"/>
      <c r="BA173" s="72"/>
      <c r="BB173" s="72"/>
      <c r="BC173" s="72"/>
      <c r="BD173" s="72"/>
      <c r="BE173" s="72"/>
      <c r="BF173" s="72"/>
      <c r="BG173" s="72"/>
      <c r="BH173" s="72"/>
      <c r="BI173" s="72"/>
      <c r="BJ173" s="72"/>
      <c r="BK173" s="72"/>
      <c r="BL173" s="72"/>
      <c r="BM173" s="72"/>
      <c r="BN173" s="72"/>
      <c r="BO173" s="72"/>
      <c r="BP173" s="72"/>
      <c r="BQ173" s="72"/>
      <c r="BR173" s="72"/>
      <c r="BS173" s="72"/>
    </row>
    <row r="174" spans="1:71" x14ac:dyDescent="0.2">
      <c r="A174" s="82" t="s">
        <v>243</v>
      </c>
      <c r="B174" s="82" t="s">
        <v>372</v>
      </c>
      <c r="D174" s="82" t="s">
        <v>196</v>
      </c>
      <c r="E174" s="153" t="e">
        <f ca="1">GetCtLabel(B174,"CURINIT(AC)!LDESC","#Voice/fax communication costs")</f>
        <v>#NAME?</v>
      </c>
      <c r="F174" s="190">
        <v>39</v>
      </c>
      <c r="G174" s="131"/>
      <c r="H174" s="130"/>
      <c r="I174" s="72"/>
      <c r="J174" s="72"/>
      <c r="K174" s="72">
        <f>-2-4</f>
        <v>-6</v>
      </c>
      <c r="L174" s="72"/>
      <c r="M174" s="72"/>
      <c r="N174" s="130"/>
      <c r="O174" s="140">
        <f t="shared" si="161"/>
        <v>33</v>
      </c>
      <c r="P174" s="141">
        <f t="shared" ref="P174:P183" si="190">-K174</f>
        <v>6</v>
      </c>
      <c r="Q174" s="141">
        <f t="shared" si="189"/>
        <v>0</v>
      </c>
      <c r="R174" s="133" t="e">
        <f ca="1">PutCtData("PKAMOUNT","AMOUNT",R$11:R$14,$B174:$D174,R$17:R$18,$O174)</f>
        <v>#NAME?</v>
      </c>
      <c r="S174" s="133" t="e">
        <f ca="1">PutCtData("PKAMOUNT","AMOUNT",S$11:S$14,$B174:$D174,S$17,$M174)</f>
        <v>#NAME?</v>
      </c>
      <c r="T174" s="134" t="e">
        <f ca="1">PutCtData("PKAMOUNT","AMOUNT",T$11:T$14,$B174:$D174,T$17:T$18,$P174)</f>
        <v>#NAME?</v>
      </c>
      <c r="U174" s="134" t="e">
        <f t="shared" ca="1" si="188"/>
        <v>#NAME?</v>
      </c>
      <c r="V174" s="144"/>
      <c r="W174" s="142"/>
      <c r="X174" s="142"/>
      <c r="Y174" s="122"/>
      <c r="Z174" s="135">
        <f>16+4</f>
        <v>20</v>
      </c>
      <c r="AA174" s="135"/>
      <c r="AB174" s="135">
        <f t="shared" si="136"/>
        <v>20</v>
      </c>
      <c r="AC174" s="135">
        <f>+O174-AB174</f>
        <v>13</v>
      </c>
      <c r="AD174" s="122"/>
      <c r="AE174" s="142" t="e">
        <f ca="1">GetCtData("PKAMOUNT","AMOUNT",$AE$11:$AE$18,$B174:$D174,AE$19:AE$20,"#31")</f>
        <v>#NAME?</v>
      </c>
      <c r="AF174" s="142"/>
      <c r="AG174" s="142" t="e">
        <f t="shared" ca="1" si="135"/>
        <v>#NAME?</v>
      </c>
      <c r="AH174" s="143" t="e">
        <f t="shared" ca="1" si="134"/>
        <v>#NAME?</v>
      </c>
      <c r="AI174" s="128"/>
      <c r="AJ174" s="142" t="e">
        <f t="shared" ca="1" si="165"/>
        <v>#NAME?</v>
      </c>
      <c r="AK174" s="142" t="e">
        <f ca="1">GetCtData("PKAMOUNT","AMOUNT",$AK$11:$AK$18,$B174:$D174,AK$19:AK$20,"#5")</f>
        <v>#NAME?</v>
      </c>
      <c r="AL174" s="143" t="e">
        <f t="shared" ref="AL174:AL187" ca="1" si="191">(O174-AO174)-AK174</f>
        <v>#NAME?</v>
      </c>
      <c r="AM174" s="122"/>
      <c r="AN174" s="142" t="e">
        <f ca="1">GetCtData("PKAMOUNT","AMOUNT",$AN$11:$AN$18,$B174:$D174,AN$19:AN$20,"#4")</f>
        <v>#NAME?</v>
      </c>
      <c r="AO174" s="142" t="e">
        <f ca="1">GetCtData("PKAMOUNT","AMOUNT",$AO$11:$AO$18,$B174:$D174,AO$19:AO$20,"#26")</f>
        <v>#NAME?</v>
      </c>
      <c r="AP174" s="122"/>
      <c r="AQ174" s="142" t="e">
        <f ca="1">GetCtData("PKAMOUNT","AMOUNT",$AQ$11:$AQ$18,$B174:$D174,AQ$19:AQ$20,"#29")</f>
        <v>#NAME?</v>
      </c>
      <c r="AR174" s="142" t="e">
        <f t="shared" ca="1" si="159"/>
        <v>#NAME?</v>
      </c>
      <c r="AS174" s="142"/>
      <c r="AT174" s="142" t="e">
        <f ca="1">GetCtData("PKAMOUNT","AMOUNT",AT$11:AT$18,$B174:$D174,AT$19:AT$20,"#31")</f>
        <v>#NAME?</v>
      </c>
      <c r="AU174" s="142" t="e">
        <f t="shared" ref="AU174:AU187" ca="1" si="192">O174-AT174</f>
        <v>#NAME?</v>
      </c>
      <c r="AV174" s="72"/>
      <c r="AW174" s="72" t="e">
        <f t="shared" ca="1" si="160"/>
        <v>#NAME?</v>
      </c>
      <c r="AX174" s="72" t="e">
        <f t="shared" ref="AX174:AX187" ca="1" si="193">O174-AW174</f>
        <v>#NAME?</v>
      </c>
      <c r="AY174" s="72"/>
      <c r="AZ174" s="72" t="e">
        <f t="shared" ref="AZ174:AZ187" ca="1" si="194">GetCtData("COAMOUNT","AMOUNT",$AZ$11:$AZ$17,$B174,AZ$19,AZ$20,"#")</f>
        <v>#NAME?</v>
      </c>
      <c r="BA174" s="72" t="e">
        <f ca="1">O174-AZ174</f>
        <v>#NAME?</v>
      </c>
      <c r="BB174" s="72"/>
      <c r="BC174" s="72" t="e">
        <f t="shared" ref="BC174:BC187" ca="1" si="195">GetCtData("COAMOUNT","AMOUNT",$BF$11:$BF$17,$B174,BC$19,BC$20,"#")</f>
        <v>#NAME?</v>
      </c>
      <c r="BD174" s="72" t="e">
        <f t="shared" ref="BD174:BD205" ca="1" si="196">K174-BC174</f>
        <v>#NAME?</v>
      </c>
      <c r="BE174" s="72"/>
      <c r="BF174" s="72" t="e">
        <f t="shared" ref="BF174:BF187" ca="1" si="197">GetCtData("COAMOUNT","AMOUNT",$BF$11:$BF$17,$B174,BF$19,BF$20,"#")</f>
        <v>#NAME?</v>
      </c>
      <c r="BG174" s="72" t="e">
        <f t="shared" ref="BG174:BG205" ca="1" si="198">O174-BF174</f>
        <v>#NAME?</v>
      </c>
      <c r="BH174" s="72"/>
      <c r="BI174" s="72" t="e">
        <f t="shared" ref="BI174:BI187" ca="1" si="199">GetCtData("COAMOUNT","AMOUNT",$AO$11:$AO$17,$B174,BI$19,BI$20,"#")</f>
        <v>#NAME?</v>
      </c>
      <c r="BJ174" s="72" t="e">
        <f t="shared" ref="BJ174:BJ205" ca="1" si="200">O174-BI174</f>
        <v>#NAME?</v>
      </c>
      <c r="BK174" s="72"/>
      <c r="BL174" s="72" t="e">
        <f t="shared" ref="BL174:BL187" ca="1" si="201">GetCtData("COAMOUNT","AMOUNT",$BO$11:$BO$17,$B174,BL$19,BL$20,"#")</f>
        <v>#NAME?</v>
      </c>
      <c r="BM174" s="72" t="e">
        <f t="shared" ref="BM174:BM187" ca="1" si="202">O174-BL174</f>
        <v>#NAME?</v>
      </c>
      <c r="BN174" s="72"/>
      <c r="BO174" s="72" t="e">
        <f t="shared" ref="BO174:BO187" ca="1" si="203">GetCtData("COAMOUNT","AMOUNT",$BO$11:$BO$17,$B174,BO$19,BO$20,"#")</f>
        <v>#NAME?</v>
      </c>
      <c r="BP174" s="72" t="e">
        <f t="shared" ref="BP174:BP205" ca="1" si="204">O174-BO174</f>
        <v>#NAME?</v>
      </c>
      <c r="BQ174" s="72"/>
      <c r="BR174" s="72" t="e">
        <f t="shared" ref="BR174:BR187" ca="1" si="205">GetCtData("COAMOUNT","AMOUNT",$BO$11:$BO$17,$B174,BR$19,BR$20,"#")</f>
        <v>#NAME?</v>
      </c>
      <c r="BS174" s="72" t="e">
        <f ca="1">#REF!-BR174</f>
        <v>#REF!</v>
      </c>
    </row>
    <row r="175" spans="1:71" x14ac:dyDescent="0.2">
      <c r="A175" s="82" t="s">
        <v>293</v>
      </c>
      <c r="B175" s="82" t="s">
        <v>373</v>
      </c>
      <c r="D175" s="82" t="s">
        <v>250</v>
      </c>
      <c r="E175" s="74" t="e">
        <f ca="1">GetCtLabel(B175,"CURINIT(AC)!LDESC","#Data communication costs")</f>
        <v>#NAME?</v>
      </c>
      <c r="F175" s="178">
        <f>SUM(F176:F177)</f>
        <v>28</v>
      </c>
      <c r="G175" s="179">
        <f t="shared" ref="G175:N175" si="206">SUM(G176:G177)</f>
        <v>0</v>
      </c>
      <c r="H175" s="179">
        <f t="shared" si="206"/>
        <v>0</v>
      </c>
      <c r="I175" s="178">
        <f t="shared" si="206"/>
        <v>0</v>
      </c>
      <c r="J175" s="178">
        <f t="shared" si="206"/>
        <v>0</v>
      </c>
      <c r="K175" s="178">
        <f t="shared" si="206"/>
        <v>0</v>
      </c>
      <c r="L175" s="179">
        <f t="shared" si="206"/>
        <v>0</v>
      </c>
      <c r="M175" s="179">
        <f t="shared" si="206"/>
        <v>0</v>
      </c>
      <c r="N175" s="130">
        <f t="shared" si="206"/>
        <v>0</v>
      </c>
      <c r="O175" s="140">
        <f>SUM(O176:O177)</f>
        <v>28</v>
      </c>
      <c r="P175" s="141">
        <f t="shared" si="190"/>
        <v>0</v>
      </c>
      <c r="Q175" s="141">
        <f t="shared" si="189"/>
        <v>0</v>
      </c>
      <c r="R175" s="161"/>
      <c r="S175" s="161"/>
      <c r="T175" s="189"/>
      <c r="U175" s="189" t="e">
        <f t="shared" ca="1" si="188"/>
        <v>#NAME?</v>
      </c>
      <c r="V175" s="144"/>
      <c r="W175" s="142"/>
      <c r="X175" s="142"/>
      <c r="Y175" s="122"/>
      <c r="Z175" s="135"/>
      <c r="AA175" s="135"/>
      <c r="AB175" s="135">
        <f>Z175+AA175</f>
        <v>0</v>
      </c>
      <c r="AC175" s="135">
        <f>G175-AB175</f>
        <v>0</v>
      </c>
      <c r="AD175" s="122"/>
      <c r="AE175" s="142" t="e">
        <f ca="1">GetCtData("PKAMOUNT","AMOUNT",$AE$11:$AE$18,$B175:$D175,AE$19:AE$20,"#28")</f>
        <v>#NAME?</v>
      </c>
      <c r="AF175" s="142"/>
      <c r="AG175" s="142" t="e">
        <f t="shared" ca="1" si="135"/>
        <v>#NAME?</v>
      </c>
      <c r="AH175" s="143" t="e">
        <f t="shared" ca="1" si="134"/>
        <v>#NAME?</v>
      </c>
      <c r="AI175" s="128"/>
      <c r="AJ175" s="142" t="e">
        <f t="shared" ca="1" si="165"/>
        <v>#NAME?</v>
      </c>
      <c r="AK175" s="142" t="e">
        <f ca="1">GetCtData("PKAMOUNT","AMOUNT",$AK$11:$AK$18,$B175:$D175,AK$19:AK$20,"#4")</f>
        <v>#NAME?</v>
      </c>
      <c r="AL175" s="143" t="e">
        <f t="shared" ca="1" si="191"/>
        <v>#NAME?</v>
      </c>
      <c r="AM175" s="122"/>
      <c r="AN175" s="142" t="e">
        <f ca="1">GetCtData("PKAMOUNT","AMOUNT",$AN$11:$AN$18,$B175:$D175,AN$19:AN$20,"#4")</f>
        <v>#NAME?</v>
      </c>
      <c r="AO175" s="142" t="e">
        <f ca="1">GetCtData("PKAMOUNT","AMOUNT",$AO$11:$AO$18,$B175:$D175,AO$19:AO$20,"#24")</f>
        <v>#NAME?</v>
      </c>
      <c r="AP175" s="122"/>
      <c r="AQ175" s="142" t="e">
        <f ca="1">GetCtData("PKAMOUNT","AMOUNT",$AQ$11:$AQ$18,$B175:$D175,AQ$19:AQ$20,"#30")</f>
        <v>#NAME?</v>
      </c>
      <c r="AR175" s="142" t="e">
        <f t="shared" ca="1" si="159"/>
        <v>#NAME?</v>
      </c>
      <c r="AS175" s="142"/>
      <c r="AT175" s="142" t="e">
        <f ca="1">GetCtData("PKAMOUNT","AMOUNT",AT$11:AT$18,$B175:$D175,AT$19:AT$20,"#43.8")</f>
        <v>#NAME?</v>
      </c>
      <c r="AU175" s="142" t="e">
        <f t="shared" ca="1" si="192"/>
        <v>#NAME?</v>
      </c>
      <c r="AV175" s="72"/>
      <c r="AW175" s="72" t="e">
        <f t="shared" ca="1" si="160"/>
        <v>#NAME?</v>
      </c>
      <c r="AX175" s="72" t="e">
        <f t="shared" ca="1" si="193"/>
        <v>#NAME?</v>
      </c>
      <c r="AY175" s="72"/>
      <c r="AZ175" s="72" t="e">
        <f t="shared" ca="1" si="194"/>
        <v>#NAME?</v>
      </c>
      <c r="BA175" s="72" t="e">
        <f ca="1">AD175-AZ175</f>
        <v>#NAME?</v>
      </c>
      <c r="BB175" s="72"/>
      <c r="BC175" s="72" t="e">
        <f t="shared" ca="1" si="195"/>
        <v>#NAME?</v>
      </c>
      <c r="BD175" s="72" t="e">
        <f t="shared" ca="1" si="196"/>
        <v>#NAME?</v>
      </c>
      <c r="BE175" s="72"/>
      <c r="BF175" s="72" t="e">
        <f t="shared" ca="1" si="197"/>
        <v>#NAME?</v>
      </c>
      <c r="BG175" s="72" t="e">
        <f t="shared" ca="1" si="198"/>
        <v>#NAME?</v>
      </c>
      <c r="BH175" s="72"/>
      <c r="BI175" s="72" t="e">
        <f t="shared" ca="1" si="199"/>
        <v>#NAME?</v>
      </c>
      <c r="BJ175" s="72" t="e">
        <f t="shared" ca="1" si="200"/>
        <v>#NAME?</v>
      </c>
      <c r="BK175" s="72"/>
      <c r="BL175" s="72" t="e">
        <f t="shared" ca="1" si="201"/>
        <v>#NAME?</v>
      </c>
      <c r="BM175" s="72" t="e">
        <f t="shared" ca="1" si="202"/>
        <v>#NAME?</v>
      </c>
      <c r="BN175" s="72"/>
      <c r="BO175" s="72" t="e">
        <f t="shared" ca="1" si="203"/>
        <v>#NAME?</v>
      </c>
      <c r="BP175" s="72" t="e">
        <f t="shared" ca="1" si="204"/>
        <v>#NAME?</v>
      </c>
      <c r="BQ175" s="72"/>
      <c r="BR175" s="72" t="e">
        <f t="shared" ca="1" si="205"/>
        <v>#NAME?</v>
      </c>
      <c r="BS175" s="72" t="e">
        <f ca="1">#REF!-BR175</f>
        <v>#REF!</v>
      </c>
    </row>
    <row r="176" spans="1:71" outlineLevel="1" x14ac:dyDescent="0.2">
      <c r="A176" s="82" t="s">
        <v>243</v>
      </c>
      <c r="B176" s="82" t="s">
        <v>373</v>
      </c>
      <c r="D176" s="82" t="s">
        <v>196</v>
      </c>
      <c r="E176" s="153" t="e">
        <f ca="1">GetCtLabel(B176,"CURINIT(AC)!LDESC","#Data communication costs")&amp;" "&amp;D176</f>
        <v>#NAME?</v>
      </c>
      <c r="F176" s="137">
        <f>49-23</f>
        <v>26</v>
      </c>
      <c r="G176" s="138"/>
      <c r="H176" s="137"/>
      <c r="I176" s="139"/>
      <c r="J176" s="139"/>
      <c r="K176" s="139"/>
      <c r="L176" s="139"/>
      <c r="M176" s="139"/>
      <c r="N176" s="130"/>
      <c r="O176" s="140">
        <f t="shared" si="161"/>
        <v>26</v>
      </c>
      <c r="P176" s="141">
        <f t="shared" si="190"/>
        <v>0</v>
      </c>
      <c r="Q176" s="141">
        <f t="shared" si="189"/>
        <v>0</v>
      </c>
      <c r="R176" s="133" t="e">
        <f ca="1">PutCtData("PKAMOUNT","AMOUNT",R$11:R$14,$B176:$D176,R$17:R$18,$O176)</f>
        <v>#NAME?</v>
      </c>
      <c r="S176" s="133" t="e">
        <f ca="1">PutCtData("PKAMOUNT","AMOUNT",S$11:S$14,$B176:$D176,S$17,$M176)</f>
        <v>#NAME?</v>
      </c>
      <c r="T176" s="134" t="e">
        <f ca="1">PutCtData("PKAMOUNT","AMOUNT",T$11:T$15,$B176:$C176,T$17:T$18,$P176)</f>
        <v>#NAME?</v>
      </c>
      <c r="U176" s="134" t="e">
        <f t="shared" ca="1" si="188"/>
        <v>#NAME?</v>
      </c>
      <c r="V176" s="144"/>
      <c r="W176" s="142"/>
      <c r="X176" s="142"/>
      <c r="Y176" s="122"/>
      <c r="Z176" s="135">
        <f>24+2</f>
        <v>26</v>
      </c>
      <c r="AA176" s="135"/>
      <c r="AB176" s="135">
        <f t="shared" si="136"/>
        <v>26</v>
      </c>
      <c r="AC176" s="135">
        <f>+O176-AB176</f>
        <v>0</v>
      </c>
      <c r="AD176" s="122"/>
      <c r="AE176" s="142" t="e">
        <f ca="1">GetCtData("PKAMOUNT","AMOUNT",$AE$11:$AE$18,$B176:$D176,AE$19:AE$20,"#26")</f>
        <v>#NAME?</v>
      </c>
      <c r="AF176" s="142"/>
      <c r="AG176" s="142" t="e">
        <f t="shared" ca="1" si="135"/>
        <v>#NAME?</v>
      </c>
      <c r="AH176" s="143" t="e">
        <f t="shared" ca="1" si="134"/>
        <v>#NAME?</v>
      </c>
      <c r="AI176" s="128"/>
      <c r="AJ176" s="142" t="e">
        <f t="shared" ca="1" si="165"/>
        <v>#NAME?</v>
      </c>
      <c r="AK176" s="142" t="e">
        <f ca="1">GetCtData("PKAMOUNT","AMOUNT",$AK$11:$AK$18,$B176:$D176,AK$19:AK$20,"#4")</f>
        <v>#NAME?</v>
      </c>
      <c r="AL176" s="143" t="e">
        <f t="shared" ca="1" si="191"/>
        <v>#NAME?</v>
      </c>
      <c r="AM176" s="122"/>
      <c r="AN176" s="142" t="e">
        <f ca="1">GetCtData("PKAMOUNT","AMOUNT",$AN$11:$AN$18,$B176:$D176,AN$19:AN$20,"#4")</f>
        <v>#NAME?</v>
      </c>
      <c r="AO176" s="142" t="e">
        <f ca="1">GetCtData("PKAMOUNT","AMOUNT",$AO$11:$AO$18,$B176:$D176,AO$19:AO$20,"#22")</f>
        <v>#NAME?</v>
      </c>
      <c r="AP176" s="122"/>
      <c r="AQ176" s="142" t="e">
        <f ca="1">GetCtData("PKAMOUNT","AMOUNT",$AQ$11:$AQ$18,$B176:$D176,AQ$19:AQ$20,"#28")</f>
        <v>#NAME?</v>
      </c>
      <c r="AR176" s="142" t="e">
        <f t="shared" ca="1" si="159"/>
        <v>#NAME?</v>
      </c>
      <c r="AS176" s="142"/>
      <c r="AT176" s="142" t="e">
        <f ca="1">GetCtData("PKAMOUNT","AMOUNT",AT$11:AT$18,$B176:$D176,AT$19:AT$20,"#39")</f>
        <v>#NAME?</v>
      </c>
      <c r="AU176" s="142" t="e">
        <f t="shared" ca="1" si="192"/>
        <v>#NAME?</v>
      </c>
      <c r="AV176" s="72"/>
      <c r="AW176" s="72" t="e">
        <f t="shared" ca="1" si="160"/>
        <v>#NAME?</v>
      </c>
      <c r="AX176" s="72" t="e">
        <f t="shared" ca="1" si="193"/>
        <v>#NAME?</v>
      </c>
      <c r="AY176" s="72"/>
      <c r="AZ176" s="72" t="e">
        <f t="shared" ca="1" si="194"/>
        <v>#NAME?</v>
      </c>
      <c r="BA176" s="72" t="e">
        <f ca="1">O176-AZ176</f>
        <v>#NAME?</v>
      </c>
      <c r="BB176" s="72"/>
      <c r="BC176" s="72" t="e">
        <f t="shared" ca="1" si="195"/>
        <v>#NAME?</v>
      </c>
      <c r="BD176" s="72" t="e">
        <f t="shared" ca="1" si="196"/>
        <v>#NAME?</v>
      </c>
      <c r="BE176" s="72"/>
      <c r="BF176" s="72" t="e">
        <f t="shared" ca="1" si="197"/>
        <v>#NAME?</v>
      </c>
      <c r="BG176" s="72" t="e">
        <f t="shared" ca="1" si="198"/>
        <v>#NAME?</v>
      </c>
      <c r="BH176" s="72"/>
      <c r="BI176" s="72" t="e">
        <f t="shared" ca="1" si="199"/>
        <v>#NAME?</v>
      </c>
      <c r="BJ176" s="72" t="e">
        <f t="shared" ca="1" si="200"/>
        <v>#NAME?</v>
      </c>
      <c r="BK176" s="72"/>
      <c r="BL176" s="72" t="e">
        <f t="shared" ca="1" si="201"/>
        <v>#NAME?</v>
      </c>
      <c r="BM176" s="72" t="e">
        <f t="shared" ca="1" si="202"/>
        <v>#NAME?</v>
      </c>
      <c r="BN176" s="72"/>
      <c r="BO176" s="72" t="e">
        <f t="shared" ca="1" si="203"/>
        <v>#NAME?</v>
      </c>
      <c r="BP176" s="72" t="e">
        <f t="shared" ca="1" si="204"/>
        <v>#NAME?</v>
      </c>
      <c r="BQ176" s="72"/>
      <c r="BR176" s="72" t="e">
        <f t="shared" ca="1" si="205"/>
        <v>#NAME?</v>
      </c>
      <c r="BS176" s="72" t="e">
        <f ca="1">#REF!-BR176</f>
        <v>#REF!</v>
      </c>
    </row>
    <row r="177" spans="1:71" outlineLevel="1" x14ac:dyDescent="0.2">
      <c r="A177" s="82" t="s">
        <v>243</v>
      </c>
      <c r="B177" s="82" t="s">
        <v>373</v>
      </c>
      <c r="D177" s="82" t="s">
        <v>296</v>
      </c>
      <c r="E177" s="153" t="e">
        <f ca="1">GetCtLabel(B177,"CURINIT(AC)!LDESC","#Data communication costs")&amp;" "&amp;D177</f>
        <v>#NAME?</v>
      </c>
      <c r="F177" s="137">
        <v>2</v>
      </c>
      <c r="G177" s="138"/>
      <c r="H177" s="137"/>
      <c r="I177" s="139"/>
      <c r="J177" s="139"/>
      <c r="K177" s="139"/>
      <c r="L177" s="139"/>
      <c r="M177" s="139"/>
      <c r="N177" s="130"/>
      <c r="O177" s="140">
        <f>SUM(F177:M177)</f>
        <v>2</v>
      </c>
      <c r="P177" s="141">
        <f t="shared" si="190"/>
        <v>0</v>
      </c>
      <c r="Q177" s="141">
        <f t="shared" si="189"/>
        <v>0</v>
      </c>
      <c r="R177" s="133" t="e">
        <f ca="1">PutCtData("PKAMOUNT","AMOUNT",R$11:R$14,$B177:$D177,R$17:R$18,$O177)</f>
        <v>#NAME?</v>
      </c>
      <c r="S177" s="133" t="e">
        <f ca="1">PutCtData("PKAMOUNT","AMOUNT",S$11:S$14,$B177:$D177,S$17,$M177)</f>
        <v>#NAME?</v>
      </c>
      <c r="T177" s="134" t="e">
        <f ca="1">PutCtData("PKAMOUNT","AMOUNT",T$11:T$14,$B177:$D177,T$17:T$18,$P177)</f>
        <v>#NAME?</v>
      </c>
      <c r="U177" s="134" t="e">
        <f t="shared" ca="1" si="188"/>
        <v>#NAME?</v>
      </c>
      <c r="V177" s="144"/>
      <c r="W177" s="142"/>
      <c r="X177" s="142"/>
      <c r="Y177" s="122"/>
      <c r="Z177" s="135">
        <f>24+2</f>
        <v>26</v>
      </c>
      <c r="AA177" s="135"/>
      <c r="AB177" s="135">
        <f>Z177+AA177</f>
        <v>26</v>
      </c>
      <c r="AC177" s="135">
        <f>+O177-AB177</f>
        <v>-24</v>
      </c>
      <c r="AD177" s="122"/>
      <c r="AE177" s="142" t="e">
        <f ca="1">GetCtData("PKAMOUNT","AMOUNT",$AE$11:$AE$18,$B177:$D177,AE$19:AE$20,"#2")</f>
        <v>#NAME?</v>
      </c>
      <c r="AF177" s="142"/>
      <c r="AG177" s="142" t="e">
        <f t="shared" ca="1" si="135"/>
        <v>#NAME?</v>
      </c>
      <c r="AH177" s="143" t="e">
        <f t="shared" ca="1" si="134"/>
        <v>#NAME?</v>
      </c>
      <c r="AI177" s="128"/>
      <c r="AJ177" s="142" t="e">
        <f t="shared" ca="1" si="165"/>
        <v>#NAME?</v>
      </c>
      <c r="AK177" s="142" t="e">
        <f ca="1">GetCtData("PKAMOUNT","AMOUNT",$AK$11:$AK$18,$B177:$D177,AK$19:AK$20,"#")</f>
        <v>#NAME?</v>
      </c>
      <c r="AL177" s="143" t="e">
        <f t="shared" ca="1" si="191"/>
        <v>#NAME?</v>
      </c>
      <c r="AM177" s="122"/>
      <c r="AN177" s="142" t="e">
        <f ca="1">GetCtData("PKAMOUNT","AMOUNT",$AN$11:$AN$18,$B177:$D177,AN$19:AN$20,"#0")</f>
        <v>#NAME?</v>
      </c>
      <c r="AO177" s="142" t="e">
        <f ca="1">GetCtData("PKAMOUNT","AMOUNT",$AO$11:$AO$18,$B177:$D177,AO$19:AO$20,"#2")</f>
        <v>#NAME?</v>
      </c>
      <c r="AP177" s="122"/>
      <c r="AQ177" s="142" t="e">
        <f ca="1">GetCtData("PKAMOUNT","AMOUNT",$AQ$11:$AQ$18,$B177:$D177,AQ$19:AQ$20,"#2")</f>
        <v>#NAME?</v>
      </c>
      <c r="AR177" s="142" t="e">
        <f t="shared" ca="1" si="159"/>
        <v>#NAME?</v>
      </c>
      <c r="AS177" s="142"/>
      <c r="AT177" s="142" t="e">
        <f ca="1">GetCtData("PKAMOUNT","AMOUNT",AT$11:AT$18,$B177:$D177,AT$19:AT$20,"#2")</f>
        <v>#NAME?</v>
      </c>
      <c r="AU177" s="142" t="e">
        <f t="shared" ca="1" si="192"/>
        <v>#NAME?</v>
      </c>
      <c r="AV177" s="72"/>
      <c r="AW177" s="72" t="e">
        <f t="shared" ca="1" si="160"/>
        <v>#NAME?</v>
      </c>
      <c r="AX177" s="72" t="e">
        <f t="shared" ca="1" si="193"/>
        <v>#NAME?</v>
      </c>
      <c r="AY177" s="72"/>
      <c r="AZ177" s="72" t="e">
        <f t="shared" ca="1" si="194"/>
        <v>#NAME?</v>
      </c>
      <c r="BA177" s="72" t="e">
        <f ca="1">O177-AZ177</f>
        <v>#NAME?</v>
      </c>
      <c r="BB177" s="72"/>
      <c r="BC177" s="72" t="e">
        <f t="shared" ca="1" si="195"/>
        <v>#NAME?</v>
      </c>
      <c r="BD177" s="72" t="e">
        <f t="shared" ca="1" si="196"/>
        <v>#NAME?</v>
      </c>
      <c r="BE177" s="72"/>
      <c r="BF177" s="72" t="e">
        <f t="shared" ca="1" si="197"/>
        <v>#NAME?</v>
      </c>
      <c r="BG177" s="72" t="e">
        <f t="shared" ca="1" si="198"/>
        <v>#NAME?</v>
      </c>
      <c r="BH177" s="72"/>
      <c r="BI177" s="72" t="e">
        <f t="shared" ca="1" si="199"/>
        <v>#NAME?</v>
      </c>
      <c r="BJ177" s="72" t="e">
        <f t="shared" ca="1" si="200"/>
        <v>#NAME?</v>
      </c>
      <c r="BK177" s="72"/>
      <c r="BL177" s="72" t="e">
        <f t="shared" ca="1" si="201"/>
        <v>#NAME?</v>
      </c>
      <c r="BM177" s="72" t="e">
        <f t="shared" ca="1" si="202"/>
        <v>#NAME?</v>
      </c>
      <c r="BN177" s="72"/>
      <c r="BO177" s="72" t="e">
        <f t="shared" ca="1" si="203"/>
        <v>#NAME?</v>
      </c>
      <c r="BP177" s="72" t="e">
        <f t="shared" ca="1" si="204"/>
        <v>#NAME?</v>
      </c>
      <c r="BQ177" s="72"/>
      <c r="BR177" s="72" t="e">
        <f t="shared" ca="1" si="205"/>
        <v>#NAME?</v>
      </c>
      <c r="BS177" s="72" t="e">
        <f ca="1">#REF!-BR177</f>
        <v>#REF!</v>
      </c>
    </row>
    <row r="178" spans="1:71" x14ac:dyDescent="0.2">
      <c r="A178" s="82" t="s">
        <v>293</v>
      </c>
      <c r="B178" s="82" t="s">
        <v>374</v>
      </c>
      <c r="D178" s="82" t="s">
        <v>250</v>
      </c>
      <c r="E178" s="74" t="e">
        <f ca="1">GetCtLabel(B178,"CURINIT(AC)!LDESC","#Outsourced business systems")</f>
        <v>#NAME?</v>
      </c>
      <c r="F178" s="178">
        <f>SUM(F179:F180)</f>
        <v>122</v>
      </c>
      <c r="G178" s="179">
        <f t="shared" ref="G178:O178" si="207">SUM(G179:G180)</f>
        <v>0</v>
      </c>
      <c r="H178" s="179"/>
      <c r="I178" s="178">
        <f t="shared" si="207"/>
        <v>0</v>
      </c>
      <c r="J178" s="178">
        <f t="shared" si="207"/>
        <v>0</v>
      </c>
      <c r="K178" s="178">
        <f t="shared" si="207"/>
        <v>-35</v>
      </c>
      <c r="L178" s="179">
        <f t="shared" si="207"/>
        <v>0</v>
      </c>
      <c r="M178" s="179">
        <f t="shared" si="207"/>
        <v>0</v>
      </c>
      <c r="N178" s="130"/>
      <c r="O178" s="140">
        <f t="shared" si="207"/>
        <v>87</v>
      </c>
      <c r="P178" s="141">
        <f t="shared" si="190"/>
        <v>35</v>
      </c>
      <c r="Q178" s="141">
        <f t="shared" si="189"/>
        <v>0</v>
      </c>
      <c r="R178" s="161"/>
      <c r="S178" s="161"/>
      <c r="T178" s="189"/>
      <c r="U178" s="189" t="e">
        <f t="shared" ca="1" si="188"/>
        <v>#NAME?</v>
      </c>
      <c r="V178" s="144"/>
      <c r="W178" s="142"/>
      <c r="X178" s="142"/>
      <c r="Y178" s="122"/>
      <c r="Z178" s="135"/>
      <c r="AA178" s="135"/>
      <c r="AB178" s="135">
        <f>Z178+AA178</f>
        <v>0</v>
      </c>
      <c r="AC178" s="135">
        <f>G178-AB178</f>
        <v>0</v>
      </c>
      <c r="AD178" s="122"/>
      <c r="AE178" s="142" t="e">
        <f ca="1">GetCtData("PKAMOUNT","AMOUNT",$AE$11:$AE$18,$B178:$D178,AE$19:AE$20,"#90")</f>
        <v>#NAME?</v>
      </c>
      <c r="AF178" s="142"/>
      <c r="AG178" s="142" t="e">
        <f t="shared" ca="1" si="135"/>
        <v>#NAME?</v>
      </c>
      <c r="AH178" s="143" t="e">
        <f t="shared" ca="1" si="134"/>
        <v>#NAME?</v>
      </c>
      <c r="AI178" s="128"/>
      <c r="AJ178" s="142" t="e">
        <f t="shared" ca="1" si="165"/>
        <v>#NAME?</v>
      </c>
      <c r="AK178" s="142" t="e">
        <f ca="1">GetCtData("PKAMOUNT","AMOUNT",$AK$11:$AK$18,$B178:$D178,AK$19:AK$20,"#13")</f>
        <v>#NAME?</v>
      </c>
      <c r="AL178" s="143" t="e">
        <f t="shared" ca="1" si="191"/>
        <v>#NAME?</v>
      </c>
      <c r="AM178" s="122"/>
      <c r="AN178" s="142" t="e">
        <f ca="1">GetCtData("PKAMOUNT","AMOUNT",$AN$11:$AN$18,$B178:$D178,AN$19:AN$20,"#13")</f>
        <v>#NAME?</v>
      </c>
      <c r="AO178" s="142" t="e">
        <f ca="1">GetCtData("PKAMOUNT","AMOUNT",$AO$11:$AO$18,$B178:$D178,AO$19:AO$20,"#77")</f>
        <v>#NAME?</v>
      </c>
      <c r="AP178" s="122"/>
      <c r="AQ178" s="142" t="e">
        <f ca="1">GetCtData("PKAMOUNT","AMOUNT",$AQ$11:$AQ$18,$B178:$D178,AQ$19:AQ$20,"#90")</f>
        <v>#NAME?</v>
      </c>
      <c r="AR178" s="142" t="e">
        <f t="shared" ca="1" si="159"/>
        <v>#NAME?</v>
      </c>
      <c r="AS178" s="142"/>
      <c r="AT178" s="142" t="e">
        <f ca="1">GetCtData("PKAMOUNT","AMOUNT",AT$11:AT$18,$B178:$D178,AT$19:AT$20,"#102")</f>
        <v>#NAME?</v>
      </c>
      <c r="AU178" s="142" t="e">
        <f t="shared" ca="1" si="192"/>
        <v>#NAME?</v>
      </c>
      <c r="AV178" s="72"/>
      <c r="AW178" s="72" t="e">
        <f t="shared" ca="1" si="160"/>
        <v>#NAME?</v>
      </c>
      <c r="AX178" s="72" t="e">
        <f t="shared" ca="1" si="193"/>
        <v>#NAME?</v>
      </c>
      <c r="AY178" s="72"/>
      <c r="AZ178" s="72" t="e">
        <f t="shared" ca="1" si="194"/>
        <v>#NAME?</v>
      </c>
      <c r="BA178" s="72" t="e">
        <f ca="1">AD178-AZ178</f>
        <v>#NAME?</v>
      </c>
      <c r="BB178" s="72"/>
      <c r="BC178" s="72" t="e">
        <f t="shared" ca="1" si="195"/>
        <v>#NAME?</v>
      </c>
      <c r="BD178" s="72" t="e">
        <f t="shared" ca="1" si="196"/>
        <v>#NAME?</v>
      </c>
      <c r="BE178" s="72"/>
      <c r="BF178" s="72" t="e">
        <f t="shared" ca="1" si="197"/>
        <v>#NAME?</v>
      </c>
      <c r="BG178" s="72" t="e">
        <f t="shared" ca="1" si="198"/>
        <v>#NAME?</v>
      </c>
      <c r="BH178" s="72"/>
      <c r="BI178" s="72" t="e">
        <f t="shared" ca="1" si="199"/>
        <v>#NAME?</v>
      </c>
      <c r="BJ178" s="72" t="e">
        <f t="shared" ca="1" si="200"/>
        <v>#NAME?</v>
      </c>
      <c r="BK178" s="72"/>
      <c r="BL178" s="72" t="e">
        <f t="shared" ca="1" si="201"/>
        <v>#NAME?</v>
      </c>
      <c r="BM178" s="72" t="e">
        <f t="shared" ca="1" si="202"/>
        <v>#NAME?</v>
      </c>
      <c r="BN178" s="72"/>
      <c r="BO178" s="72" t="e">
        <f t="shared" ca="1" si="203"/>
        <v>#NAME?</v>
      </c>
      <c r="BP178" s="72" t="e">
        <f t="shared" ca="1" si="204"/>
        <v>#NAME?</v>
      </c>
      <c r="BQ178" s="72"/>
      <c r="BR178" s="72" t="e">
        <f t="shared" ca="1" si="205"/>
        <v>#NAME?</v>
      </c>
      <c r="BS178" s="72" t="e">
        <f ca="1">#REF!-BR178</f>
        <v>#REF!</v>
      </c>
    </row>
    <row r="179" spans="1:71" outlineLevel="1" x14ac:dyDescent="0.2">
      <c r="A179" s="82" t="s">
        <v>243</v>
      </c>
      <c r="B179" s="82" t="s">
        <v>374</v>
      </c>
      <c r="D179" s="82" t="s">
        <v>196</v>
      </c>
      <c r="E179" s="153" t="e">
        <f ca="1">GetCtLabel(B179,"CURINIT(AC)!LDESC","#Outsourced business systems")&amp;" "&amp;D179</f>
        <v>#NAME?</v>
      </c>
      <c r="F179" s="137">
        <v>120</v>
      </c>
      <c r="G179" s="138"/>
      <c r="H179" s="137"/>
      <c r="I179" s="139"/>
      <c r="J179" s="139"/>
      <c r="K179" s="139">
        <f>-9-3-17-4-2</f>
        <v>-35</v>
      </c>
      <c r="L179" s="139"/>
      <c r="M179" s="139"/>
      <c r="N179" s="130"/>
      <c r="O179" s="140">
        <f t="shared" si="161"/>
        <v>85</v>
      </c>
      <c r="P179" s="141">
        <f t="shared" si="190"/>
        <v>35</v>
      </c>
      <c r="Q179" s="141">
        <f t="shared" si="189"/>
        <v>0</v>
      </c>
      <c r="R179" s="133" t="e">
        <f t="shared" ref="R179:R187" ca="1" si="208">PutCtData("PKAMOUNT","AMOUNT",R$11:R$14,$B179:$D179,R$17:R$18,$O179)</f>
        <v>#NAME?</v>
      </c>
      <c r="S179" s="133" t="e">
        <f ca="1">PutCtData("PKAMOUNT","AMOUNT",S$11:S$14,$B179:$D179,S$17,$M179)</f>
        <v>#NAME?</v>
      </c>
      <c r="T179" s="134" t="e">
        <f ca="1">PutCtData("PKAMOUNT","AMOUNT",T$11:T$15,$B179:$C179,T$17:T$18,$P179)</f>
        <v>#NAME?</v>
      </c>
      <c r="U179" s="134" t="e">
        <f t="shared" ca="1" si="188"/>
        <v>#NAME?</v>
      </c>
      <c r="V179" s="144"/>
      <c r="W179" s="142"/>
      <c r="X179" s="142"/>
      <c r="Y179" s="122"/>
      <c r="Z179" s="135">
        <f>60+15</f>
        <v>75</v>
      </c>
      <c r="AA179" s="135"/>
      <c r="AB179" s="135">
        <f t="shared" si="136"/>
        <v>75</v>
      </c>
      <c r="AC179" s="135">
        <f>+O179-AB179</f>
        <v>10</v>
      </c>
      <c r="AD179" s="122"/>
      <c r="AE179" s="142" t="e">
        <f ca="1">GetCtData("PKAMOUNT","AMOUNT",$AE$11:$AE$18,$B179:$D179,AE$19:AE$20,"#88")</f>
        <v>#NAME?</v>
      </c>
      <c r="AF179" s="142"/>
      <c r="AG179" s="142" t="e">
        <f t="shared" ca="1" si="135"/>
        <v>#NAME?</v>
      </c>
      <c r="AH179" s="143" t="e">
        <f t="shared" ca="1" si="134"/>
        <v>#NAME?</v>
      </c>
      <c r="AI179" s="128"/>
      <c r="AJ179" s="142" t="e">
        <f t="shared" ca="1" si="165"/>
        <v>#NAME?</v>
      </c>
      <c r="AK179" s="142" t="e">
        <f ca="1">GetCtData("PKAMOUNT","AMOUNT",$AK$11:$AK$18,$B179:$D179,AK$19:AK$20,"#13")</f>
        <v>#NAME?</v>
      </c>
      <c r="AL179" s="143" t="e">
        <f t="shared" ca="1" si="191"/>
        <v>#NAME?</v>
      </c>
      <c r="AM179" s="122"/>
      <c r="AN179" s="142" t="e">
        <f ca="1">GetCtData("PKAMOUNT","AMOUNT",$AN$11:$AN$18,$B179:$D179,AN$19:AN$20,"#13")</f>
        <v>#NAME?</v>
      </c>
      <c r="AO179" s="142" t="e">
        <f ca="1">GetCtData("PKAMOUNT","AMOUNT",$AO$11:$AO$18,$B179:$D179,AO$19:AO$20,"#75")</f>
        <v>#NAME?</v>
      </c>
      <c r="AP179" s="122"/>
      <c r="AQ179" s="142" t="e">
        <f ca="1">GetCtData("PKAMOUNT","AMOUNT",$AQ$11:$AQ$18,$B179:$D179,AQ$19:AQ$20,"#88")</f>
        <v>#NAME?</v>
      </c>
      <c r="AR179" s="142" t="e">
        <f t="shared" ca="1" si="159"/>
        <v>#NAME?</v>
      </c>
      <c r="AS179" s="142"/>
      <c r="AT179" s="142" t="e">
        <f ca="1">GetCtData("PKAMOUNT","AMOUNT",AT$11:AT$18,$B179:$D179,AT$19:AT$20,"#101")</f>
        <v>#NAME?</v>
      </c>
      <c r="AU179" s="142" t="e">
        <f t="shared" ca="1" si="192"/>
        <v>#NAME?</v>
      </c>
      <c r="AV179" s="72"/>
      <c r="AW179" s="72" t="e">
        <f t="shared" ca="1" si="160"/>
        <v>#NAME?</v>
      </c>
      <c r="AX179" s="72" t="e">
        <f t="shared" ca="1" si="193"/>
        <v>#NAME?</v>
      </c>
      <c r="AY179" s="72"/>
      <c r="AZ179" s="72" t="e">
        <f t="shared" ca="1" si="194"/>
        <v>#NAME?</v>
      </c>
      <c r="BA179" s="72" t="e">
        <f ca="1">O179-AZ179</f>
        <v>#NAME?</v>
      </c>
      <c r="BB179" s="72"/>
      <c r="BC179" s="72" t="e">
        <f t="shared" ca="1" si="195"/>
        <v>#NAME?</v>
      </c>
      <c r="BD179" s="72" t="e">
        <f t="shared" ca="1" si="196"/>
        <v>#NAME?</v>
      </c>
      <c r="BE179" s="72"/>
      <c r="BF179" s="72" t="e">
        <f t="shared" ca="1" si="197"/>
        <v>#NAME?</v>
      </c>
      <c r="BG179" s="72" t="e">
        <f t="shared" ca="1" si="198"/>
        <v>#NAME?</v>
      </c>
      <c r="BH179" s="72"/>
      <c r="BI179" s="72" t="e">
        <f t="shared" ca="1" si="199"/>
        <v>#NAME?</v>
      </c>
      <c r="BJ179" s="72" t="e">
        <f t="shared" ca="1" si="200"/>
        <v>#NAME?</v>
      </c>
      <c r="BK179" s="72"/>
      <c r="BL179" s="72" t="e">
        <f t="shared" ca="1" si="201"/>
        <v>#NAME?</v>
      </c>
      <c r="BM179" s="72" t="e">
        <f t="shared" ca="1" si="202"/>
        <v>#NAME?</v>
      </c>
      <c r="BN179" s="72"/>
      <c r="BO179" s="72" t="e">
        <f t="shared" ca="1" si="203"/>
        <v>#NAME?</v>
      </c>
      <c r="BP179" s="72" t="e">
        <f t="shared" ca="1" si="204"/>
        <v>#NAME?</v>
      </c>
      <c r="BQ179" s="72"/>
      <c r="BR179" s="72" t="e">
        <f t="shared" ca="1" si="205"/>
        <v>#NAME?</v>
      </c>
      <c r="BS179" s="72" t="e">
        <f ca="1">#REF!-BR179</f>
        <v>#REF!</v>
      </c>
    </row>
    <row r="180" spans="1:71" outlineLevel="1" x14ac:dyDescent="0.2">
      <c r="A180" s="82" t="s">
        <v>243</v>
      </c>
      <c r="B180" s="82" t="s">
        <v>374</v>
      </c>
      <c r="D180" s="82" t="s">
        <v>296</v>
      </c>
      <c r="E180" s="153" t="e">
        <f ca="1">GetCtLabel(B180,"CURINIT(AC)!LDESC","#Outsourced business systems")&amp;" "&amp;D180</f>
        <v>#NAME?</v>
      </c>
      <c r="F180" s="137">
        <v>2</v>
      </c>
      <c r="G180" s="138"/>
      <c r="H180" s="137"/>
      <c r="I180" s="139"/>
      <c r="J180" s="139"/>
      <c r="K180" s="139"/>
      <c r="L180" s="139"/>
      <c r="M180" s="139"/>
      <c r="N180" s="130"/>
      <c r="O180" s="140">
        <f>SUM(F180:M180)</f>
        <v>2</v>
      </c>
      <c r="P180" s="141">
        <f t="shared" si="190"/>
        <v>0</v>
      </c>
      <c r="Q180" s="141">
        <f t="shared" si="189"/>
        <v>0</v>
      </c>
      <c r="R180" s="133" t="e">
        <f t="shared" ca="1" si="208"/>
        <v>#NAME?</v>
      </c>
      <c r="S180" s="133" t="e">
        <f ca="1">PutCtData("PKAMOUNT","AMOUNT",S$11:S$14,$B180:$D180,S$17,$M180)</f>
        <v>#NAME?</v>
      </c>
      <c r="T180" s="134" t="e">
        <f ca="1">PutCtData("PKAMOUNT","AMOUNT",T$11:T$14,$B180:$D180,T$17:T$18,$P180)</f>
        <v>#NAME?</v>
      </c>
      <c r="U180" s="134" t="e">
        <f t="shared" ca="1" si="188"/>
        <v>#NAME?</v>
      </c>
      <c r="V180" s="144"/>
      <c r="W180" s="142"/>
      <c r="X180" s="142"/>
      <c r="Y180" s="122"/>
      <c r="Z180" s="135">
        <f>60+15</f>
        <v>75</v>
      </c>
      <c r="AA180" s="135"/>
      <c r="AB180" s="135">
        <f>Z180+AA180</f>
        <v>75</v>
      </c>
      <c r="AC180" s="135">
        <f>+O180-AB180</f>
        <v>-73</v>
      </c>
      <c r="AD180" s="122"/>
      <c r="AE180" s="142" t="e">
        <f ca="1">GetCtData("PKAMOUNT","AMOUNT",$AE$11:$AE$18,$B180:$D180,AE$19:AE$20,"#2")</f>
        <v>#NAME?</v>
      </c>
      <c r="AF180" s="142"/>
      <c r="AG180" s="142" t="e">
        <f t="shared" ca="1" si="135"/>
        <v>#NAME?</v>
      </c>
      <c r="AH180" s="143" t="e">
        <f t="shared" ca="1" si="134"/>
        <v>#NAME?</v>
      </c>
      <c r="AI180" s="128"/>
      <c r="AJ180" s="142" t="e">
        <f t="shared" ca="1" si="165"/>
        <v>#NAME?</v>
      </c>
      <c r="AK180" s="142" t="e">
        <f ca="1">GetCtData("PKAMOUNT","AMOUNT",$AK$11:$AK$18,$B180:$D180,AK$19:AK$20,"#")</f>
        <v>#NAME?</v>
      </c>
      <c r="AL180" s="143" t="e">
        <f t="shared" ca="1" si="191"/>
        <v>#NAME?</v>
      </c>
      <c r="AM180" s="122"/>
      <c r="AN180" s="142" t="e">
        <f ca="1">GetCtData("PKAMOUNT","AMOUNT",$AN$11:$AN$18,$B180:$D180,AN$19:AN$20,"#0")</f>
        <v>#NAME?</v>
      </c>
      <c r="AO180" s="142" t="e">
        <f ca="1">GetCtData("PKAMOUNT","AMOUNT",$AO$11:$AO$18,$B180:$D180,AO$19:AO$20,"#2")</f>
        <v>#NAME?</v>
      </c>
      <c r="AP180" s="122"/>
      <c r="AQ180" s="142" t="e">
        <f ca="1">GetCtData("PKAMOUNT","AMOUNT",$AQ$11:$AQ$18,$B180:$D180,AQ$19:AQ$20,"#2")</f>
        <v>#NAME?</v>
      </c>
      <c r="AR180" s="142" t="e">
        <f t="shared" ca="1" si="159"/>
        <v>#NAME?</v>
      </c>
      <c r="AS180" s="142"/>
      <c r="AT180" s="142" t="e">
        <f ca="1">GetCtData("PKAMOUNT","AMOUNT",AT$11:AT$18,$B180:$D180,AT$19:AT$20,"#2")</f>
        <v>#NAME?</v>
      </c>
      <c r="AU180" s="142" t="e">
        <f t="shared" ca="1" si="192"/>
        <v>#NAME?</v>
      </c>
      <c r="AV180" s="72"/>
      <c r="AW180" s="72" t="e">
        <f t="shared" ca="1" si="160"/>
        <v>#NAME?</v>
      </c>
      <c r="AX180" s="72" t="e">
        <f t="shared" ca="1" si="193"/>
        <v>#NAME?</v>
      </c>
      <c r="AY180" s="72"/>
      <c r="AZ180" s="72" t="e">
        <f t="shared" ca="1" si="194"/>
        <v>#NAME?</v>
      </c>
      <c r="BA180" s="72" t="e">
        <f ca="1">O180-AZ180</f>
        <v>#NAME?</v>
      </c>
      <c r="BB180" s="72"/>
      <c r="BC180" s="72" t="e">
        <f t="shared" ca="1" si="195"/>
        <v>#NAME?</v>
      </c>
      <c r="BD180" s="72" t="e">
        <f t="shared" ca="1" si="196"/>
        <v>#NAME?</v>
      </c>
      <c r="BE180" s="72"/>
      <c r="BF180" s="72" t="e">
        <f t="shared" ca="1" si="197"/>
        <v>#NAME?</v>
      </c>
      <c r="BG180" s="72" t="e">
        <f t="shared" ca="1" si="198"/>
        <v>#NAME?</v>
      </c>
      <c r="BH180" s="72"/>
      <c r="BI180" s="72" t="e">
        <f t="shared" ca="1" si="199"/>
        <v>#NAME?</v>
      </c>
      <c r="BJ180" s="72" t="e">
        <f t="shared" ca="1" si="200"/>
        <v>#NAME?</v>
      </c>
      <c r="BK180" s="72"/>
      <c r="BL180" s="72" t="e">
        <f t="shared" ca="1" si="201"/>
        <v>#NAME?</v>
      </c>
      <c r="BM180" s="72" t="e">
        <f t="shared" ca="1" si="202"/>
        <v>#NAME?</v>
      </c>
      <c r="BN180" s="72"/>
      <c r="BO180" s="72" t="e">
        <f t="shared" ca="1" si="203"/>
        <v>#NAME?</v>
      </c>
      <c r="BP180" s="72" t="e">
        <f t="shared" ca="1" si="204"/>
        <v>#NAME?</v>
      </c>
      <c r="BQ180" s="72"/>
      <c r="BR180" s="72" t="e">
        <f t="shared" ca="1" si="205"/>
        <v>#NAME?</v>
      </c>
      <c r="BS180" s="72" t="e">
        <f ca="1">#REF!-BR180</f>
        <v>#REF!</v>
      </c>
    </row>
    <row r="181" spans="1:71" outlineLevel="1" x14ac:dyDescent="0.2">
      <c r="A181" s="82" t="s">
        <v>243</v>
      </c>
      <c r="B181" s="82" t="s">
        <v>375</v>
      </c>
      <c r="D181" s="82" t="s">
        <v>172</v>
      </c>
      <c r="E181" s="74" t="e">
        <f ca="1">GetCtLabel(B181,"CURINIT(AC)!LDESC","#Outsourced IT services")</f>
        <v>#NAME?</v>
      </c>
      <c r="F181" s="137"/>
      <c r="G181" s="138"/>
      <c r="H181" s="137"/>
      <c r="I181" s="139"/>
      <c r="J181" s="139"/>
      <c r="K181" s="139"/>
      <c r="L181" s="139"/>
      <c r="M181" s="139"/>
      <c r="N181" s="130"/>
      <c r="O181" s="140">
        <f t="shared" si="161"/>
        <v>0</v>
      </c>
      <c r="P181" s="141">
        <f t="shared" si="190"/>
        <v>0</v>
      </c>
      <c r="Q181" s="141">
        <f t="shared" si="189"/>
        <v>0</v>
      </c>
      <c r="R181" s="133" t="e">
        <f t="shared" ca="1" si="208"/>
        <v>#NAME?</v>
      </c>
      <c r="S181" s="133" t="e">
        <f ca="1">PutCtData("PKAMOUNT","AMOUNT",S$11:S$14,$B181:$D181,S$17,$M181)</f>
        <v>#NAME?</v>
      </c>
      <c r="T181" s="134" t="e">
        <f ca="1">PutCtData("PKAMOUNT","AMOUNT",T$11:T$14,$B181:$D181,T$17:T$18,$P181)</f>
        <v>#NAME?</v>
      </c>
      <c r="U181" s="134" t="e">
        <f t="shared" ca="1" si="188"/>
        <v>#NAME?</v>
      </c>
      <c r="V181" s="144"/>
      <c r="W181" s="142"/>
      <c r="X181" s="142"/>
      <c r="Y181" s="122"/>
      <c r="Z181" s="135"/>
      <c r="AA181" s="135"/>
      <c r="AB181" s="135">
        <f t="shared" si="136"/>
        <v>0</v>
      </c>
      <c r="AC181" s="135">
        <f t="shared" ref="AC181:AC186" si="209">G181-AB181</f>
        <v>0</v>
      </c>
      <c r="AD181" s="122"/>
      <c r="AE181" s="142" t="e">
        <f ca="1">GetCtData("PKAMOUNT","AMOUNT",$AE$11:$AE$18,$B181:$D181,AE$19:AE$20,"#0")</f>
        <v>#NAME?</v>
      </c>
      <c r="AF181" s="142"/>
      <c r="AG181" s="142" t="e">
        <f t="shared" ca="1" si="135"/>
        <v>#NAME?</v>
      </c>
      <c r="AH181" s="143" t="e">
        <f t="shared" ca="1" si="134"/>
        <v>#NAME?</v>
      </c>
      <c r="AI181" s="128"/>
      <c r="AJ181" s="142" t="e">
        <f t="shared" ca="1" si="165"/>
        <v>#NAME?</v>
      </c>
      <c r="AK181" s="142" t="e">
        <f ca="1">GetCtData("PKAMOUNT","AMOUNT",$AK$11:$AK$18,$B181:$D181,AK$19:AK$20,"#")</f>
        <v>#NAME?</v>
      </c>
      <c r="AL181" s="143" t="e">
        <f t="shared" ca="1" si="191"/>
        <v>#NAME?</v>
      </c>
      <c r="AM181" s="122"/>
      <c r="AN181" s="142" t="e">
        <f ca="1">GetCtData("PKAMOUNT","AMOUNT",$AN$11:$AN$18,$B181:$D181,AN$19:AN$20,"#0")</f>
        <v>#NAME?</v>
      </c>
      <c r="AO181" s="142" t="e">
        <f ca="1">GetCtData("PKAMOUNT","AMOUNT",$AO$11:$AO$18,$B181:$D181,AO$19:AO$20,"#0")</f>
        <v>#NAME?</v>
      </c>
      <c r="AP181" s="122"/>
      <c r="AQ181" s="142" t="e">
        <f ca="1">GetCtData("PKAMOUNT","AMOUNT",$AQ$11:$AQ$18,$B181:$D181,AQ$19:AQ$20,"#")</f>
        <v>#NAME?</v>
      </c>
      <c r="AR181" s="142" t="e">
        <f t="shared" ca="1" si="159"/>
        <v>#NAME?</v>
      </c>
      <c r="AS181" s="142"/>
      <c r="AT181" s="142" t="e">
        <f ca="1">GetCtData("PKAMOUNT","AMOUNT",AT$11:AT$18,$B181:$D181,AT$19:AT$20,"#0")</f>
        <v>#NAME?</v>
      </c>
      <c r="AU181" s="142" t="e">
        <f t="shared" ca="1" si="192"/>
        <v>#NAME?</v>
      </c>
      <c r="AV181" s="72"/>
      <c r="AW181" s="72" t="e">
        <f t="shared" ca="1" si="160"/>
        <v>#NAME?</v>
      </c>
      <c r="AX181" s="72" t="e">
        <f t="shared" ca="1" si="193"/>
        <v>#NAME?</v>
      </c>
      <c r="AY181" s="72"/>
      <c r="AZ181" s="72" t="e">
        <f t="shared" ca="1" si="194"/>
        <v>#NAME?</v>
      </c>
      <c r="BA181" s="72" t="e">
        <f t="shared" ref="BA181:BA186" ca="1" si="210">AD181-AZ181</f>
        <v>#NAME?</v>
      </c>
      <c r="BB181" s="72"/>
      <c r="BC181" s="72" t="e">
        <f t="shared" ca="1" si="195"/>
        <v>#NAME?</v>
      </c>
      <c r="BD181" s="72" t="e">
        <f t="shared" ca="1" si="196"/>
        <v>#NAME?</v>
      </c>
      <c r="BE181" s="72"/>
      <c r="BF181" s="72" t="e">
        <f t="shared" ca="1" si="197"/>
        <v>#NAME?</v>
      </c>
      <c r="BG181" s="72" t="e">
        <f t="shared" ca="1" si="198"/>
        <v>#NAME?</v>
      </c>
      <c r="BH181" s="72"/>
      <c r="BI181" s="72" t="e">
        <f t="shared" ca="1" si="199"/>
        <v>#NAME?</v>
      </c>
      <c r="BJ181" s="72" t="e">
        <f t="shared" ca="1" si="200"/>
        <v>#NAME?</v>
      </c>
      <c r="BK181" s="72"/>
      <c r="BL181" s="72" t="e">
        <f t="shared" ca="1" si="201"/>
        <v>#NAME?</v>
      </c>
      <c r="BM181" s="72" t="e">
        <f t="shared" ca="1" si="202"/>
        <v>#NAME?</v>
      </c>
      <c r="BN181" s="72"/>
      <c r="BO181" s="72" t="e">
        <f t="shared" ca="1" si="203"/>
        <v>#NAME?</v>
      </c>
      <c r="BP181" s="72" t="e">
        <f t="shared" ca="1" si="204"/>
        <v>#NAME?</v>
      </c>
      <c r="BQ181" s="72"/>
      <c r="BR181" s="72" t="e">
        <f t="shared" ca="1" si="205"/>
        <v>#NAME?</v>
      </c>
      <c r="BS181" s="72" t="e">
        <f ca="1">#REF!-BR181</f>
        <v>#REF!</v>
      </c>
    </row>
    <row r="182" spans="1:71" outlineLevel="1" x14ac:dyDescent="0.2">
      <c r="A182" s="82" t="s">
        <v>243</v>
      </c>
      <c r="B182" s="82" t="s">
        <v>376</v>
      </c>
      <c r="D182" s="82" t="s">
        <v>172</v>
      </c>
      <c r="E182" s="74" t="e">
        <f ca="1">GetCtLabel(B182,"CURINIT(AC)!LDESC","#External IT Recharges")</f>
        <v>#NAME?</v>
      </c>
      <c r="F182" s="137"/>
      <c r="G182" s="138"/>
      <c r="H182" s="137"/>
      <c r="I182" s="139"/>
      <c r="J182" s="139"/>
      <c r="K182" s="139"/>
      <c r="L182" s="139"/>
      <c r="M182" s="139"/>
      <c r="N182" s="130"/>
      <c r="O182" s="140">
        <f t="shared" si="161"/>
        <v>0</v>
      </c>
      <c r="P182" s="141">
        <f t="shared" si="190"/>
        <v>0</v>
      </c>
      <c r="Q182" s="141">
        <f t="shared" si="189"/>
        <v>0</v>
      </c>
      <c r="R182" s="133" t="e">
        <f t="shared" ca="1" si="208"/>
        <v>#NAME?</v>
      </c>
      <c r="S182" s="133" t="e">
        <f ca="1">PutCtData("PKAMOUNT","AMOUNT",S$11:S$14,$B182:$D182,S$17,$M182)</f>
        <v>#NAME?</v>
      </c>
      <c r="T182" s="134" t="e">
        <f ca="1">PutCtData("PKAMOUNT","AMOUNT",T$11:T$14,$B182:$D182,T$17:T$18,$P182)</f>
        <v>#NAME?</v>
      </c>
      <c r="U182" s="134" t="e">
        <f t="shared" ca="1" si="188"/>
        <v>#NAME?</v>
      </c>
      <c r="V182" s="144"/>
      <c r="W182" s="142"/>
      <c r="X182" s="142"/>
      <c r="Y182" s="122"/>
      <c r="Z182" s="135"/>
      <c r="AA182" s="135"/>
      <c r="AB182" s="135">
        <f t="shared" si="136"/>
        <v>0</v>
      </c>
      <c r="AC182" s="135">
        <f t="shared" si="209"/>
        <v>0</v>
      </c>
      <c r="AD182" s="122"/>
      <c r="AE182" s="142" t="e">
        <f ca="1">GetCtData("PKAMOUNT","AMOUNT",$AE$11:$AE$18,$B182:$D182,AE$19:AE$20,"#0")</f>
        <v>#NAME?</v>
      </c>
      <c r="AF182" s="142"/>
      <c r="AG182" s="142" t="e">
        <f t="shared" ca="1" si="135"/>
        <v>#NAME?</v>
      </c>
      <c r="AH182" s="143" t="e">
        <f t="shared" ca="1" si="134"/>
        <v>#NAME?</v>
      </c>
      <c r="AI182" s="128"/>
      <c r="AJ182" s="142" t="e">
        <f t="shared" ca="1" si="165"/>
        <v>#NAME?</v>
      </c>
      <c r="AK182" s="142" t="e">
        <f ca="1">GetCtData("PKAMOUNT","AMOUNT",$AK$11:$AK$18,$B182:$D182,AK$19:AK$20,"#")</f>
        <v>#NAME?</v>
      </c>
      <c r="AL182" s="143" t="e">
        <f t="shared" ca="1" si="191"/>
        <v>#NAME?</v>
      </c>
      <c r="AM182" s="122"/>
      <c r="AN182" s="142" t="e">
        <f ca="1">GetCtData("PKAMOUNT","AMOUNT",$AN$11:$AN$18,$B182:$D182,AN$19:AN$20,"#0")</f>
        <v>#NAME?</v>
      </c>
      <c r="AO182" s="142" t="e">
        <f ca="1">GetCtData("PKAMOUNT","AMOUNT",$AO$11:$AO$18,$B182:$D182,AO$19:AO$20,"#0")</f>
        <v>#NAME?</v>
      </c>
      <c r="AP182" s="122"/>
      <c r="AQ182" s="142" t="e">
        <f ca="1">GetCtData("PKAMOUNT","AMOUNT",$AQ$11:$AQ$18,$B182:$D182,AQ$19:AQ$20,"#")</f>
        <v>#NAME?</v>
      </c>
      <c r="AR182" s="142" t="e">
        <f t="shared" ca="1" si="159"/>
        <v>#NAME?</v>
      </c>
      <c r="AS182" s="142"/>
      <c r="AT182" s="142" t="e">
        <f ca="1">GetCtData("PKAMOUNT","AMOUNT",AT$11:AT$18,$B182:$D182,AT$19:AT$20,"#0")</f>
        <v>#NAME?</v>
      </c>
      <c r="AU182" s="142" t="e">
        <f t="shared" ca="1" si="192"/>
        <v>#NAME?</v>
      </c>
      <c r="AV182" s="72"/>
      <c r="AW182" s="72" t="e">
        <f t="shared" ca="1" si="160"/>
        <v>#NAME?</v>
      </c>
      <c r="AX182" s="72" t="e">
        <f t="shared" ca="1" si="193"/>
        <v>#NAME?</v>
      </c>
      <c r="AY182" s="72"/>
      <c r="AZ182" s="72" t="e">
        <f t="shared" ca="1" si="194"/>
        <v>#NAME?</v>
      </c>
      <c r="BA182" s="72" t="e">
        <f t="shared" ca="1" si="210"/>
        <v>#NAME?</v>
      </c>
      <c r="BB182" s="72"/>
      <c r="BC182" s="72" t="e">
        <f t="shared" ca="1" si="195"/>
        <v>#NAME?</v>
      </c>
      <c r="BD182" s="72" t="e">
        <f t="shared" ca="1" si="196"/>
        <v>#NAME?</v>
      </c>
      <c r="BE182" s="72"/>
      <c r="BF182" s="72" t="e">
        <f t="shared" ca="1" si="197"/>
        <v>#NAME?</v>
      </c>
      <c r="BG182" s="72" t="e">
        <f t="shared" ca="1" si="198"/>
        <v>#NAME?</v>
      </c>
      <c r="BH182" s="72"/>
      <c r="BI182" s="72" t="e">
        <f t="shared" ca="1" si="199"/>
        <v>#NAME?</v>
      </c>
      <c r="BJ182" s="72" t="e">
        <f t="shared" ca="1" si="200"/>
        <v>#NAME?</v>
      </c>
      <c r="BK182" s="72"/>
      <c r="BL182" s="72" t="e">
        <f t="shared" ca="1" si="201"/>
        <v>#NAME?</v>
      </c>
      <c r="BM182" s="72" t="e">
        <f t="shared" ca="1" si="202"/>
        <v>#NAME?</v>
      </c>
      <c r="BN182" s="72"/>
      <c r="BO182" s="72" t="e">
        <f t="shared" ca="1" si="203"/>
        <v>#NAME?</v>
      </c>
      <c r="BP182" s="72" t="e">
        <f t="shared" ca="1" si="204"/>
        <v>#NAME?</v>
      </c>
      <c r="BQ182" s="72"/>
      <c r="BR182" s="72" t="e">
        <f t="shared" ca="1" si="205"/>
        <v>#NAME?</v>
      </c>
      <c r="BS182" s="72" t="e">
        <f ca="1">#REF!-BR182</f>
        <v>#REF!</v>
      </c>
    </row>
    <row r="183" spans="1:71" outlineLevel="1" x14ac:dyDescent="0.2">
      <c r="A183" s="82" t="s">
        <v>243</v>
      </c>
      <c r="B183" s="82" t="s">
        <v>377</v>
      </c>
      <c r="D183" s="82" t="s">
        <v>172</v>
      </c>
      <c r="E183" s="74" t="e">
        <f ca="1">GetCtLabel(B183,"CURINIT(AC)!LDESC","#Group Finance System costs (old)")</f>
        <v>#NAME?</v>
      </c>
      <c r="F183" s="137"/>
      <c r="G183" s="138"/>
      <c r="H183" s="137"/>
      <c r="I183" s="139"/>
      <c r="J183" s="139"/>
      <c r="K183" s="139"/>
      <c r="L183" s="139"/>
      <c r="M183" s="139"/>
      <c r="N183" s="130"/>
      <c r="O183" s="140">
        <f t="shared" si="161"/>
        <v>0</v>
      </c>
      <c r="P183" s="141">
        <f t="shared" si="190"/>
        <v>0</v>
      </c>
      <c r="Q183" s="141">
        <f t="shared" si="189"/>
        <v>0</v>
      </c>
      <c r="R183" s="133" t="e">
        <f t="shared" ca="1" si="208"/>
        <v>#NAME?</v>
      </c>
      <c r="S183" s="133" t="e">
        <f ca="1">PutCtData("PKAMOUNT","AMOUNT",S$11:S$14,$B183:$D183,S$17,$M183)</f>
        <v>#NAME?</v>
      </c>
      <c r="T183" s="134" t="e">
        <f ca="1">PutCtData("PKAMOUNT","AMOUNT",T$11:T$14,$B183:$D183,T$17:T$18,$P183)</f>
        <v>#NAME?</v>
      </c>
      <c r="U183" s="134" t="e">
        <f t="shared" ca="1" si="188"/>
        <v>#NAME?</v>
      </c>
      <c r="V183" s="144"/>
      <c r="W183" s="142"/>
      <c r="X183" s="142"/>
      <c r="Y183" s="122"/>
      <c r="Z183" s="135"/>
      <c r="AA183" s="135"/>
      <c r="AB183" s="135">
        <f t="shared" si="136"/>
        <v>0</v>
      </c>
      <c r="AC183" s="135">
        <f t="shared" si="209"/>
        <v>0</v>
      </c>
      <c r="AD183" s="122"/>
      <c r="AE183" s="142" t="e">
        <f ca="1">GetCtData("PKAMOUNT","AMOUNT",$AE$11:$AE$18,$B183:$D183,AE$19:AE$20,"#0")</f>
        <v>#NAME?</v>
      </c>
      <c r="AF183" s="142"/>
      <c r="AG183" s="142" t="e">
        <f t="shared" ca="1" si="135"/>
        <v>#NAME?</v>
      </c>
      <c r="AH183" s="143" t="e">
        <f t="shared" ref="AH183:AH249" ca="1" si="211">+O183-AG183</f>
        <v>#NAME?</v>
      </c>
      <c r="AI183" s="128"/>
      <c r="AJ183" s="142" t="e">
        <f t="shared" ca="1" si="165"/>
        <v>#NAME?</v>
      </c>
      <c r="AK183" s="142" t="e">
        <f ca="1">GetCtData("PKAMOUNT","AMOUNT",$AK$11:$AK$18,$B183:$D183,AK$19:AK$20,"#0")</f>
        <v>#NAME?</v>
      </c>
      <c r="AL183" s="143" t="e">
        <f t="shared" ca="1" si="191"/>
        <v>#NAME?</v>
      </c>
      <c r="AM183" s="122"/>
      <c r="AN183" s="142" t="e">
        <f ca="1">GetCtData("PKAMOUNT","AMOUNT",$AN$11:$AN$18,$B183:$D183,AN$19:AN$20,"#0")</f>
        <v>#NAME?</v>
      </c>
      <c r="AO183" s="142" t="e">
        <f ca="1">GetCtData("PKAMOUNT","AMOUNT",$AO$11:$AO$18,$B183:$D183,AO$19:AO$20,"#0")</f>
        <v>#NAME?</v>
      </c>
      <c r="AP183" s="122"/>
      <c r="AQ183" s="142" t="e">
        <f ca="1">GetCtData("PKAMOUNT","AMOUNT",$AQ$11:$AQ$18,$B183:$D183,AQ$19:AQ$20,"#0")</f>
        <v>#NAME?</v>
      </c>
      <c r="AR183" s="142" t="e">
        <f t="shared" ca="1" si="159"/>
        <v>#NAME?</v>
      </c>
      <c r="AS183" s="142"/>
      <c r="AT183" s="142" t="e">
        <f ca="1">GetCtData("PKAMOUNT","AMOUNT",AT$11:AT$18,$B183:$D183,AT$19:AT$20,"#0")</f>
        <v>#NAME?</v>
      </c>
      <c r="AU183" s="142" t="e">
        <f t="shared" ca="1" si="192"/>
        <v>#NAME?</v>
      </c>
      <c r="AV183" s="72"/>
      <c r="AW183" s="72" t="e">
        <f t="shared" ca="1" si="160"/>
        <v>#NAME?</v>
      </c>
      <c r="AX183" s="72" t="e">
        <f t="shared" ca="1" si="193"/>
        <v>#NAME?</v>
      </c>
      <c r="AY183" s="72"/>
      <c r="AZ183" s="72" t="e">
        <f t="shared" ca="1" si="194"/>
        <v>#NAME?</v>
      </c>
      <c r="BA183" s="72" t="e">
        <f t="shared" ca="1" si="210"/>
        <v>#NAME?</v>
      </c>
      <c r="BB183" s="72"/>
      <c r="BC183" s="72" t="e">
        <f t="shared" ca="1" si="195"/>
        <v>#NAME?</v>
      </c>
      <c r="BD183" s="72" t="e">
        <f t="shared" ca="1" si="196"/>
        <v>#NAME?</v>
      </c>
      <c r="BE183" s="72"/>
      <c r="BF183" s="72" t="e">
        <f t="shared" ca="1" si="197"/>
        <v>#NAME?</v>
      </c>
      <c r="BG183" s="72" t="e">
        <f t="shared" ca="1" si="198"/>
        <v>#NAME?</v>
      </c>
      <c r="BH183" s="72"/>
      <c r="BI183" s="72" t="e">
        <f t="shared" ca="1" si="199"/>
        <v>#NAME?</v>
      </c>
      <c r="BJ183" s="72" t="e">
        <f t="shared" ca="1" si="200"/>
        <v>#NAME?</v>
      </c>
      <c r="BK183" s="72"/>
      <c r="BL183" s="72" t="e">
        <f t="shared" ca="1" si="201"/>
        <v>#NAME?</v>
      </c>
      <c r="BM183" s="72" t="e">
        <f t="shared" ca="1" si="202"/>
        <v>#NAME?</v>
      </c>
      <c r="BN183" s="72"/>
      <c r="BO183" s="72" t="e">
        <f t="shared" ca="1" si="203"/>
        <v>#NAME?</v>
      </c>
      <c r="BP183" s="72" t="e">
        <f t="shared" ca="1" si="204"/>
        <v>#NAME?</v>
      </c>
      <c r="BQ183" s="72"/>
      <c r="BR183" s="72" t="e">
        <f t="shared" ca="1" si="205"/>
        <v>#NAME?</v>
      </c>
      <c r="BS183" s="72" t="e">
        <f ca="1">#REF!-BR183</f>
        <v>#REF!</v>
      </c>
    </row>
    <row r="184" spans="1:71" x14ac:dyDescent="0.2">
      <c r="A184" s="82" t="s">
        <v>243</v>
      </c>
      <c r="B184" s="82" t="s">
        <v>378</v>
      </c>
      <c r="C184" s="86" t="s">
        <v>379</v>
      </c>
      <c r="D184" s="82" t="s">
        <v>296</v>
      </c>
      <c r="E184" s="153" t="e">
        <f ca="1">GetCtLabel(B184,"CURINIT(AC)!LDESC","#WPP Business Services/IBM cost allocation")</f>
        <v>#NAME?</v>
      </c>
      <c r="F184" s="137"/>
      <c r="G184" s="138"/>
      <c r="H184" s="137"/>
      <c r="I184" s="139"/>
      <c r="J184" s="139"/>
      <c r="K184" s="139"/>
      <c r="L184" s="139"/>
      <c r="M184" s="139">
        <v>64</v>
      </c>
      <c r="N184" s="130"/>
      <c r="O184" s="140">
        <f t="shared" si="161"/>
        <v>64</v>
      </c>
      <c r="P184" s="193">
        <f>-O184</f>
        <v>-64</v>
      </c>
      <c r="Q184" s="141">
        <f t="shared" si="189"/>
        <v>0</v>
      </c>
      <c r="R184" s="176" t="e">
        <f t="shared" ca="1" si="208"/>
        <v>#NAME?</v>
      </c>
      <c r="S184" s="194" t="e">
        <f ca="1">PutCtData("PKAMOUNT","AMOUNT",S$11:S$14,$B184:$D184,S$17,$P184)</f>
        <v>#NAME?</v>
      </c>
      <c r="T184" s="189"/>
      <c r="U184" s="189"/>
      <c r="V184" s="144"/>
      <c r="W184" s="142"/>
      <c r="X184" s="142"/>
      <c r="Y184" s="122"/>
      <c r="Z184" s="135"/>
      <c r="AA184" s="135"/>
      <c r="AB184" s="135">
        <f t="shared" si="136"/>
        <v>0</v>
      </c>
      <c r="AC184" s="135">
        <f t="shared" si="209"/>
        <v>0</v>
      </c>
      <c r="AD184" s="122"/>
      <c r="AE184" s="195" t="e">
        <f ca="1">GetCtData("PKAMOUNT","AMOUNT",$AE$11:$AE$18,$B184,$D184,AE$19:AE$20,"#64")</f>
        <v>#NAME?</v>
      </c>
      <c r="AF184" s="142"/>
      <c r="AG184" s="142" t="e">
        <f t="shared" ca="1" si="135"/>
        <v>#NAME?</v>
      </c>
      <c r="AH184" s="143" t="e">
        <f t="shared" ca="1" si="211"/>
        <v>#NAME?</v>
      </c>
      <c r="AI184" s="128"/>
      <c r="AJ184" s="142" t="e">
        <f t="shared" ca="1" si="165"/>
        <v>#NAME?</v>
      </c>
      <c r="AK184" s="142" t="e">
        <f ca="1">GetCtData("PKAMOUNT","AMOUNT",$AK$11:$AK$18,$B184:$D184,AK$19:AK$20,"#13")</f>
        <v>#NAME?</v>
      </c>
      <c r="AL184" s="143" t="e">
        <f t="shared" ca="1" si="191"/>
        <v>#NAME?</v>
      </c>
      <c r="AM184" s="122"/>
      <c r="AN184" s="142" t="e">
        <f ca="1">GetCtData("PKAMOUNT","AMOUNT",$AN$11:$AN$18,$B184:$D184,AN$19:AN$20,"#13")</f>
        <v>#NAME?</v>
      </c>
      <c r="AO184" s="142" t="e">
        <f ca="1">GetCtData("PKAMOUNT","AMOUNT",$AO$11:$AO$18,$B184:$D184,AO$19:AO$20,"#51")</f>
        <v>#NAME?</v>
      </c>
      <c r="AP184" s="122"/>
      <c r="AQ184" s="142" t="e">
        <f ca="1">GetCtData("PKAMOUNT","AMOUNT",$AQ$11:$AQ$18,$B184:$D184,AQ$19:AQ$20,"#64")</f>
        <v>#NAME?</v>
      </c>
      <c r="AR184" s="142" t="e">
        <f t="shared" ca="1" si="159"/>
        <v>#NAME?</v>
      </c>
      <c r="AS184" s="142"/>
      <c r="AT184" s="142" t="e">
        <f ca="1">GetCtData("PKAMOUNT","AMOUNT",AT$11:AT$18,$B184:$D184,AT$19:AT$20,"#48.5")</f>
        <v>#NAME?</v>
      </c>
      <c r="AU184" s="142" t="e">
        <f t="shared" ca="1" si="192"/>
        <v>#NAME?</v>
      </c>
      <c r="AV184" s="72"/>
      <c r="AW184" s="72" t="e">
        <f t="shared" ca="1" si="160"/>
        <v>#NAME?</v>
      </c>
      <c r="AX184" s="72" t="e">
        <f t="shared" ca="1" si="193"/>
        <v>#NAME?</v>
      </c>
      <c r="AY184" s="72"/>
      <c r="AZ184" s="72" t="e">
        <f t="shared" ca="1" si="194"/>
        <v>#NAME?</v>
      </c>
      <c r="BA184" s="72" t="e">
        <f t="shared" ca="1" si="210"/>
        <v>#NAME?</v>
      </c>
      <c r="BB184" s="72"/>
      <c r="BC184" s="72" t="e">
        <f t="shared" ca="1" si="195"/>
        <v>#NAME?</v>
      </c>
      <c r="BD184" s="72" t="e">
        <f t="shared" ca="1" si="196"/>
        <v>#NAME?</v>
      </c>
      <c r="BE184" s="72"/>
      <c r="BF184" s="72" t="e">
        <f t="shared" ca="1" si="197"/>
        <v>#NAME?</v>
      </c>
      <c r="BG184" s="72" t="e">
        <f t="shared" ca="1" si="198"/>
        <v>#NAME?</v>
      </c>
      <c r="BH184" s="72"/>
      <c r="BI184" s="72" t="e">
        <f t="shared" ca="1" si="199"/>
        <v>#NAME?</v>
      </c>
      <c r="BJ184" s="72" t="e">
        <f t="shared" ca="1" si="200"/>
        <v>#NAME?</v>
      </c>
      <c r="BK184" s="72"/>
      <c r="BL184" s="72" t="e">
        <f t="shared" ca="1" si="201"/>
        <v>#NAME?</v>
      </c>
      <c r="BM184" s="72" t="e">
        <f t="shared" ca="1" si="202"/>
        <v>#NAME?</v>
      </c>
      <c r="BN184" s="72"/>
      <c r="BO184" s="72" t="e">
        <f t="shared" ca="1" si="203"/>
        <v>#NAME?</v>
      </c>
      <c r="BP184" s="72" t="e">
        <f t="shared" ca="1" si="204"/>
        <v>#NAME?</v>
      </c>
      <c r="BQ184" s="72"/>
      <c r="BR184" s="72" t="e">
        <f t="shared" ca="1" si="205"/>
        <v>#NAME?</v>
      </c>
      <c r="BS184" s="72" t="e">
        <f ca="1">#REF!-BR184</f>
        <v>#REF!</v>
      </c>
    </row>
    <row r="185" spans="1:71" outlineLevel="1" x14ac:dyDescent="0.2">
      <c r="A185" s="82" t="s">
        <v>243</v>
      </c>
      <c r="B185" s="82" t="s">
        <v>380</v>
      </c>
      <c r="D185" s="82" t="s">
        <v>172</v>
      </c>
      <c r="E185" s="74" t="e">
        <f ca="1">GetCtLabel(B185,"CURINIT(AC)!LDESC","#WPP Business Services/other inter-company IBM charges")</f>
        <v>#NAME?</v>
      </c>
      <c r="F185" s="137"/>
      <c r="G185" s="138"/>
      <c r="H185" s="137"/>
      <c r="I185" s="139"/>
      <c r="J185" s="139"/>
      <c r="K185" s="139"/>
      <c r="L185" s="139"/>
      <c r="M185" s="139"/>
      <c r="N185" s="130"/>
      <c r="O185" s="140">
        <f>SUM(F185:M185)</f>
        <v>0</v>
      </c>
      <c r="P185" s="141">
        <f>-K185</f>
        <v>0</v>
      </c>
      <c r="Q185" s="141">
        <f t="shared" si="189"/>
        <v>0</v>
      </c>
      <c r="R185" s="133" t="e">
        <f t="shared" ca="1" si="208"/>
        <v>#NAME?</v>
      </c>
      <c r="S185" s="133" t="e">
        <f ca="1">PutCtData("PKAMOUNT","AMOUNT",S$11:S$14,$B185:$D185,S$17,$M185)</f>
        <v>#NAME?</v>
      </c>
      <c r="T185" s="134" t="e">
        <f ca="1">PutCtData("PKAMOUNT","AMOUNT",T$11:T$14,$B185:$D185,T$17:T$18,$P185)</f>
        <v>#NAME?</v>
      </c>
      <c r="U185" s="134" t="e">
        <f ca="1">PutCtData("PKAMOUNT","AMOUNT",$U$11:$U$14,$B185:$D185,U$17:U$18,Q185)</f>
        <v>#NAME?</v>
      </c>
      <c r="V185" s="144"/>
      <c r="W185" s="142"/>
      <c r="X185" s="142"/>
      <c r="Y185" s="122"/>
      <c r="Z185" s="135"/>
      <c r="AA185" s="135"/>
      <c r="AB185" s="135">
        <f>Z185+AA185</f>
        <v>0</v>
      </c>
      <c r="AC185" s="135">
        <f t="shared" si="209"/>
        <v>0</v>
      </c>
      <c r="AD185" s="122"/>
      <c r="AE185" s="142" t="e">
        <f ca="1">GetCtData("PKAMOUNT","AMOUNT",$AE$11:$AE$18,$B185:$D185,AE$19:AE$20,"#")</f>
        <v>#NAME?</v>
      </c>
      <c r="AF185" s="142"/>
      <c r="AG185" s="142" t="e">
        <f t="shared" ca="1" si="135"/>
        <v>#NAME?</v>
      </c>
      <c r="AH185" s="143" t="e">
        <f t="shared" ca="1" si="211"/>
        <v>#NAME?</v>
      </c>
      <c r="AI185" s="128"/>
      <c r="AJ185" s="142" t="e">
        <f t="shared" ca="1" si="165"/>
        <v>#NAME?</v>
      </c>
      <c r="AK185" s="142" t="e">
        <f ca="1">GetCtData("PKAMOUNT","AMOUNT",$AK$11:$AK$18,$B185:$D185,AK$19:AK$20,"#")</f>
        <v>#NAME?</v>
      </c>
      <c r="AL185" s="143" t="e">
        <f t="shared" ca="1" si="191"/>
        <v>#NAME?</v>
      </c>
      <c r="AM185" s="122"/>
      <c r="AN185" s="142" t="e">
        <f ca="1">GetCtData("PKAMOUNT","AMOUNT",$AN$11:$AN$18,$B185:$D185,AN$19:AN$20,"#")</f>
        <v>#NAME?</v>
      </c>
      <c r="AO185" s="142" t="e">
        <f ca="1">GetCtData("PKAMOUNT","AMOUNT",$AO$11:$AO$18,$B185:$D185,AO$19:AO$20,"#")</f>
        <v>#NAME?</v>
      </c>
      <c r="AP185" s="122"/>
      <c r="AQ185" s="142" t="e">
        <f ca="1">GetCtData("PKAMOUNT","AMOUNT",$AQ$11:$AQ$18,$B185:$D185,AQ$19:AQ$20,"#")</f>
        <v>#NAME?</v>
      </c>
      <c r="AR185" s="142" t="e">
        <f t="shared" ca="1" si="159"/>
        <v>#NAME?</v>
      </c>
      <c r="AS185" s="142"/>
      <c r="AT185" s="142" t="e">
        <f ca="1">GetCtData("PKAMOUNT","AMOUNT",AT$11:AT$18,$B185:$D185,AT$19:AT$20,"#")</f>
        <v>#NAME?</v>
      </c>
      <c r="AU185" s="142" t="e">
        <f t="shared" ca="1" si="192"/>
        <v>#NAME?</v>
      </c>
      <c r="AV185" s="72"/>
      <c r="AW185" s="72" t="e">
        <f t="shared" ca="1" si="160"/>
        <v>#NAME?</v>
      </c>
      <c r="AX185" s="72" t="e">
        <f t="shared" ca="1" si="193"/>
        <v>#NAME?</v>
      </c>
      <c r="AY185" s="72"/>
      <c r="AZ185" s="72" t="e">
        <f t="shared" ca="1" si="194"/>
        <v>#NAME?</v>
      </c>
      <c r="BA185" s="72" t="e">
        <f t="shared" ca="1" si="210"/>
        <v>#NAME?</v>
      </c>
      <c r="BB185" s="72"/>
      <c r="BC185" s="72" t="e">
        <f t="shared" ca="1" si="195"/>
        <v>#NAME?</v>
      </c>
      <c r="BD185" s="72" t="e">
        <f t="shared" ca="1" si="196"/>
        <v>#NAME?</v>
      </c>
      <c r="BE185" s="72"/>
      <c r="BF185" s="72" t="e">
        <f t="shared" ca="1" si="197"/>
        <v>#NAME?</v>
      </c>
      <c r="BG185" s="72" t="e">
        <f t="shared" ca="1" si="198"/>
        <v>#NAME?</v>
      </c>
      <c r="BH185" s="72"/>
      <c r="BI185" s="72" t="e">
        <f t="shared" ca="1" si="199"/>
        <v>#NAME?</v>
      </c>
      <c r="BJ185" s="72" t="e">
        <f t="shared" ca="1" si="200"/>
        <v>#NAME?</v>
      </c>
      <c r="BK185" s="72"/>
      <c r="BL185" s="72" t="e">
        <f t="shared" ca="1" si="201"/>
        <v>#NAME?</v>
      </c>
      <c r="BM185" s="72" t="e">
        <f t="shared" ca="1" si="202"/>
        <v>#NAME?</v>
      </c>
      <c r="BN185" s="72"/>
      <c r="BO185" s="72" t="e">
        <f t="shared" ca="1" si="203"/>
        <v>#NAME?</v>
      </c>
      <c r="BP185" s="72" t="e">
        <f t="shared" ca="1" si="204"/>
        <v>#NAME?</v>
      </c>
      <c r="BQ185" s="72"/>
      <c r="BR185" s="72" t="e">
        <f t="shared" ca="1" si="205"/>
        <v>#NAME?</v>
      </c>
      <c r="BS185" s="72" t="e">
        <f ca="1">#REF!-BR185</f>
        <v>#REF!</v>
      </c>
    </row>
    <row r="186" spans="1:71" outlineLevel="1" x14ac:dyDescent="0.2">
      <c r="A186" s="82" t="s">
        <v>243</v>
      </c>
      <c r="B186" s="82" t="s">
        <v>381</v>
      </c>
      <c r="D186" s="82" t="s">
        <v>172</v>
      </c>
      <c r="E186" s="74" t="e">
        <f ca="1">GetCtLabel(B186,"CURINIT(AC)!LDESC","#Other IT and communication costs")</f>
        <v>#NAME?</v>
      </c>
      <c r="F186" s="137"/>
      <c r="G186" s="138"/>
      <c r="H186" s="137"/>
      <c r="I186" s="139"/>
      <c r="J186" s="139"/>
      <c r="K186" s="139"/>
      <c r="L186" s="139"/>
      <c r="M186" s="139"/>
      <c r="N186" s="130"/>
      <c r="O186" s="140">
        <f t="shared" si="161"/>
        <v>0</v>
      </c>
      <c r="P186" s="141">
        <f>-K186</f>
        <v>0</v>
      </c>
      <c r="Q186" s="141">
        <f t="shared" si="189"/>
        <v>0</v>
      </c>
      <c r="R186" s="133" t="e">
        <f t="shared" ca="1" si="208"/>
        <v>#NAME?</v>
      </c>
      <c r="S186" s="133" t="e">
        <f ca="1">PutCtData("PKAMOUNT","AMOUNT",S$11:S$14,$B186:$D186,S$17,$M186)</f>
        <v>#NAME?</v>
      </c>
      <c r="T186" s="134" t="e">
        <f ca="1">PutCtData("PKAMOUNT","AMOUNT",T$11:T$14,$B186:$D186,T$17:T$18,$P186)</f>
        <v>#NAME?</v>
      </c>
      <c r="U186" s="134" t="e">
        <f ca="1">PutCtData("PKAMOUNT","AMOUNT",$U$11:$U$14,$B186:$D186,U$17:U$18,Q186)</f>
        <v>#NAME?</v>
      </c>
      <c r="V186" s="144"/>
      <c r="W186" s="142"/>
      <c r="X186" s="142"/>
      <c r="Y186" s="122"/>
      <c r="Z186" s="135"/>
      <c r="AA186" s="135"/>
      <c r="AB186" s="135">
        <f t="shared" si="136"/>
        <v>0</v>
      </c>
      <c r="AC186" s="135">
        <f t="shared" si="209"/>
        <v>0</v>
      </c>
      <c r="AD186" s="122"/>
      <c r="AE186" s="142" t="e">
        <f ca="1">GetCtData("PKAMOUNT","AMOUNT",$AE$11:$AE$18,$B186:$D186,AE$19:AE$20,"#0")</f>
        <v>#NAME?</v>
      </c>
      <c r="AF186" s="142"/>
      <c r="AG186" s="142" t="e">
        <f t="shared" ca="1" si="135"/>
        <v>#NAME?</v>
      </c>
      <c r="AH186" s="143" t="e">
        <f t="shared" ca="1" si="211"/>
        <v>#NAME?</v>
      </c>
      <c r="AI186" s="128"/>
      <c r="AJ186" s="142" t="e">
        <f t="shared" ca="1" si="165"/>
        <v>#NAME?</v>
      </c>
      <c r="AK186" s="142" t="e">
        <f ca="1">GetCtData("PKAMOUNT","AMOUNT",$AK$11:$AK$18,$B186:$D186,AK$19:AK$20,"#")</f>
        <v>#NAME?</v>
      </c>
      <c r="AL186" s="143" t="e">
        <f t="shared" ca="1" si="191"/>
        <v>#NAME?</v>
      </c>
      <c r="AM186" s="122"/>
      <c r="AN186" s="142" t="e">
        <f ca="1">GetCtData("PKAMOUNT","AMOUNT",$AN$11:$AN$18,$B186:$D186,AN$19:AN$20,"#0")</f>
        <v>#NAME?</v>
      </c>
      <c r="AO186" s="142" t="e">
        <f ca="1">GetCtData("PKAMOUNT","AMOUNT",$AO$11:$AO$18,$B186:$D186,AO$19:AO$20,"#0")</f>
        <v>#NAME?</v>
      </c>
      <c r="AP186" s="122"/>
      <c r="AQ186" s="142" t="e">
        <f ca="1">GetCtData("PKAMOUNT","AMOUNT",$AQ$11:$AQ$18,$B186:$D186,AQ$19:AQ$20,"#")</f>
        <v>#NAME?</v>
      </c>
      <c r="AR186" s="142" t="e">
        <f t="shared" ca="1" si="159"/>
        <v>#NAME?</v>
      </c>
      <c r="AS186" s="142"/>
      <c r="AT186" s="142" t="e">
        <f ca="1">GetCtData("PKAMOUNT","AMOUNT",AT$11:AT$18,$B186:$D186,AT$19:AT$20,"#0")</f>
        <v>#NAME?</v>
      </c>
      <c r="AU186" s="142" t="e">
        <f t="shared" ca="1" si="192"/>
        <v>#NAME?</v>
      </c>
      <c r="AV186" s="72"/>
      <c r="AW186" s="72" t="e">
        <f t="shared" ca="1" si="160"/>
        <v>#NAME?</v>
      </c>
      <c r="AX186" s="72" t="e">
        <f t="shared" ca="1" si="193"/>
        <v>#NAME?</v>
      </c>
      <c r="AY186" s="72"/>
      <c r="AZ186" s="72" t="e">
        <f t="shared" ca="1" si="194"/>
        <v>#NAME?</v>
      </c>
      <c r="BA186" s="72" t="e">
        <f t="shared" ca="1" si="210"/>
        <v>#NAME?</v>
      </c>
      <c r="BB186" s="72"/>
      <c r="BC186" s="72" t="e">
        <f t="shared" ca="1" si="195"/>
        <v>#NAME?</v>
      </c>
      <c r="BD186" s="72" t="e">
        <f t="shared" ca="1" si="196"/>
        <v>#NAME?</v>
      </c>
      <c r="BE186" s="72"/>
      <c r="BF186" s="72" t="e">
        <f t="shared" ca="1" si="197"/>
        <v>#NAME?</v>
      </c>
      <c r="BG186" s="72" t="e">
        <f t="shared" ca="1" si="198"/>
        <v>#NAME?</v>
      </c>
      <c r="BH186" s="72"/>
      <c r="BI186" s="72" t="e">
        <f t="shared" ca="1" si="199"/>
        <v>#NAME?</v>
      </c>
      <c r="BJ186" s="72" t="e">
        <f t="shared" ca="1" si="200"/>
        <v>#NAME?</v>
      </c>
      <c r="BK186" s="72"/>
      <c r="BL186" s="72" t="e">
        <f t="shared" ca="1" si="201"/>
        <v>#NAME?</v>
      </c>
      <c r="BM186" s="72" t="e">
        <f t="shared" ca="1" si="202"/>
        <v>#NAME?</v>
      </c>
      <c r="BN186" s="72"/>
      <c r="BO186" s="72" t="e">
        <f t="shared" ca="1" si="203"/>
        <v>#NAME?</v>
      </c>
      <c r="BP186" s="72" t="e">
        <f t="shared" ca="1" si="204"/>
        <v>#NAME?</v>
      </c>
      <c r="BQ186" s="72"/>
      <c r="BR186" s="72" t="e">
        <f t="shared" ca="1" si="205"/>
        <v>#NAME?</v>
      </c>
      <c r="BS186" s="72" t="e">
        <f ca="1">#REF!-BR186</f>
        <v>#REF!</v>
      </c>
    </row>
    <row r="187" spans="1:71" x14ac:dyDescent="0.2">
      <c r="A187" s="82" t="s">
        <v>243</v>
      </c>
      <c r="B187" s="82" t="s">
        <v>382</v>
      </c>
      <c r="C187" s="86" t="s">
        <v>383</v>
      </c>
      <c r="D187" s="82" t="s">
        <v>196</v>
      </c>
      <c r="E187" s="74" t="e">
        <f ca="1">GetCtLabel(B187,"CURINIT(AC)!LDESC","#Inter-company IT costs recharges")</f>
        <v>#NAME?</v>
      </c>
      <c r="F187" s="137"/>
      <c r="G187" s="138"/>
      <c r="H187" s="137"/>
      <c r="I187" s="139"/>
      <c r="J187" s="139"/>
      <c r="K187" s="139"/>
      <c r="L187" s="139"/>
      <c r="M187" s="139">
        <v>11.744</v>
      </c>
      <c r="N187" s="130"/>
      <c r="O187" s="140">
        <f>SUM(F187:M187)</f>
        <v>11.744</v>
      </c>
      <c r="P187" s="193">
        <f>-O187</f>
        <v>-11.744</v>
      </c>
      <c r="Q187" s="193">
        <f>-L187</f>
        <v>0</v>
      </c>
      <c r="R187" s="133" t="e">
        <f t="shared" ca="1" si="208"/>
        <v>#NAME?</v>
      </c>
      <c r="S187" s="133" t="e">
        <f ca="1">PutCtData("PKAMOUNT","AMOUNT",S$11:S$14,$B187:$D187,S$17,$P187)</f>
        <v>#NAME?</v>
      </c>
      <c r="T187" s="189"/>
      <c r="U187" s="189"/>
      <c r="V187" s="144"/>
      <c r="W187" s="142"/>
      <c r="X187" s="142"/>
      <c r="Y187" s="122"/>
      <c r="Z187" s="135">
        <v>9.5909999999999993</v>
      </c>
      <c r="AA187" s="135"/>
      <c r="AB187" s="135">
        <f>Z187+AA187</f>
        <v>9.5909999999999993</v>
      </c>
      <c r="AC187" s="135">
        <f>+O187-AB187</f>
        <v>2.1530000000000005</v>
      </c>
      <c r="AD187" s="122"/>
      <c r="AE187" s="195" t="e">
        <f ca="1">GetCtData("PKAMOUNT","AMOUNT",$AE$11:$AE$18,$B187,$D187,AE$19:AE$20,"#11.744")</f>
        <v>#NAME?</v>
      </c>
      <c r="AF187" s="142"/>
      <c r="AG187" s="142" t="e">
        <f ca="1">AE187+AF187</f>
        <v>#NAME?</v>
      </c>
      <c r="AH187" s="196" t="e">
        <f t="shared" ca="1" si="211"/>
        <v>#NAME?</v>
      </c>
      <c r="AI187" s="128"/>
      <c r="AJ187" s="142" t="e">
        <f t="shared" ca="1" si="165"/>
        <v>#NAME?</v>
      </c>
      <c r="AK187" s="142" t="e">
        <f ca="1">GetCtData("PKAMOUNT","AMOUNT",$AK$11:$AK$18,$B187:$D187,AK$19:AK$20,"#1.678")</f>
        <v>#NAME?</v>
      </c>
      <c r="AL187" s="143" t="e">
        <f t="shared" ca="1" si="191"/>
        <v>#NAME?</v>
      </c>
      <c r="AM187" s="122"/>
      <c r="AN187" s="142" t="e">
        <f ca="1">GetCtData("PKAMOUNT","AMOUNT",$AN$11:$AN$18,$B187:$D187,AN$19:AN$20,"#1.678")</f>
        <v>#NAME?</v>
      </c>
      <c r="AO187" s="142" t="e">
        <f ca="1">GetCtData("PKAMOUNT","AMOUNT",$AO$11:$AO$18,$B187:$D187,AO$19:AO$20,"#10.066")</f>
        <v>#NAME?</v>
      </c>
      <c r="AP187" s="122"/>
      <c r="AQ187" s="142" t="e">
        <f ca="1">GetCtData("PKAMOUNT","AMOUNT",$AQ$11:$AQ$18,$B187:$D187,AQ$19:AQ$20,"#11.744")</f>
        <v>#NAME?</v>
      </c>
      <c r="AR187" s="142" t="e">
        <f t="shared" ca="1" si="159"/>
        <v>#NAME?</v>
      </c>
      <c r="AS187" s="142"/>
      <c r="AT187" s="142" t="e">
        <f ca="1">GetCtData("PKAMOUNT","AMOUNT",AT$11:AT$18,$B187:$D187,AT$19:AT$20,"#")</f>
        <v>#NAME?</v>
      </c>
      <c r="AU187" s="142" t="e">
        <f t="shared" ca="1" si="192"/>
        <v>#NAME?</v>
      </c>
      <c r="AV187" s="72"/>
      <c r="AW187" s="72" t="e">
        <f t="shared" ca="1" si="160"/>
        <v>#NAME?</v>
      </c>
      <c r="AX187" s="72" t="e">
        <f t="shared" ca="1" si="193"/>
        <v>#NAME?</v>
      </c>
      <c r="AY187" s="72"/>
      <c r="AZ187" s="72" t="e">
        <f t="shared" ca="1" si="194"/>
        <v>#NAME?</v>
      </c>
      <c r="BA187" s="72" t="e">
        <f ca="1">O187-AZ187</f>
        <v>#NAME?</v>
      </c>
      <c r="BB187" s="72"/>
      <c r="BC187" s="72" t="e">
        <f t="shared" ca="1" si="195"/>
        <v>#NAME?</v>
      </c>
      <c r="BD187" s="72" t="e">
        <f t="shared" ca="1" si="196"/>
        <v>#NAME?</v>
      </c>
      <c r="BE187" s="72"/>
      <c r="BF187" s="72" t="e">
        <f t="shared" ca="1" si="197"/>
        <v>#NAME?</v>
      </c>
      <c r="BG187" s="72" t="e">
        <f t="shared" ca="1" si="198"/>
        <v>#NAME?</v>
      </c>
      <c r="BH187" s="72"/>
      <c r="BI187" s="72" t="e">
        <f t="shared" ca="1" si="199"/>
        <v>#NAME?</v>
      </c>
      <c r="BJ187" s="72" t="e">
        <f t="shared" ca="1" si="200"/>
        <v>#NAME?</v>
      </c>
      <c r="BK187" s="72"/>
      <c r="BL187" s="72" t="e">
        <f t="shared" ca="1" si="201"/>
        <v>#NAME?</v>
      </c>
      <c r="BM187" s="72" t="e">
        <f t="shared" ca="1" si="202"/>
        <v>#NAME?</v>
      </c>
      <c r="BN187" s="72"/>
      <c r="BO187" s="72" t="e">
        <f t="shared" ca="1" si="203"/>
        <v>#NAME?</v>
      </c>
      <c r="BP187" s="72" t="e">
        <f t="shared" ca="1" si="204"/>
        <v>#NAME?</v>
      </c>
      <c r="BQ187" s="72"/>
      <c r="BR187" s="72" t="e">
        <f t="shared" ca="1" si="205"/>
        <v>#NAME?</v>
      </c>
      <c r="BS187" s="72" t="e">
        <f ca="1">#REF!-BR187</f>
        <v>#REF!</v>
      </c>
    </row>
    <row r="188" spans="1:71" x14ac:dyDescent="0.2">
      <c r="E188" s="74"/>
      <c r="F188" s="130"/>
      <c r="G188" s="131"/>
      <c r="H188" s="130"/>
      <c r="I188" s="72"/>
      <c r="J188" s="130"/>
      <c r="K188" s="130"/>
      <c r="L188" s="72"/>
      <c r="M188" s="72"/>
      <c r="N188" s="130"/>
      <c r="O188" s="121"/>
      <c r="P188" s="141">
        <f>-K188</f>
        <v>0</v>
      </c>
      <c r="Q188" s="141"/>
      <c r="R188" s="122"/>
      <c r="S188" s="122"/>
      <c r="T188" s="122" t="e">
        <f ca="1">PutCtData("PKAMOUNT","AMOUNT",$T$11:$T$15,$B188,$T$18,$T$17,P188)</f>
        <v>#NAME?</v>
      </c>
      <c r="U188" s="122" t="e">
        <f ca="1">PutCtData("PKAMOUNT","AMOUNT",$U$11:$U$15,$B188,$U$18,$U$17,L188)</f>
        <v>#NAME?</v>
      </c>
      <c r="V188" s="144"/>
      <c r="W188" s="122"/>
      <c r="X188" s="122"/>
      <c r="Y188" s="122"/>
      <c r="Z188" s="135"/>
      <c r="AA188" s="135"/>
      <c r="AB188" s="135">
        <f t="shared" si="136"/>
        <v>0</v>
      </c>
      <c r="AC188" s="135"/>
      <c r="AD188" s="122"/>
      <c r="AE188" s="122"/>
      <c r="AF188" s="122"/>
      <c r="AG188" s="122">
        <f t="shared" ref="AG188:AG254" si="212">AE188+AF188</f>
        <v>0</v>
      </c>
      <c r="AH188" s="136">
        <f t="shared" si="211"/>
        <v>0</v>
      </c>
      <c r="AI188" s="128"/>
      <c r="AJ188" s="122">
        <f t="shared" si="165"/>
        <v>0</v>
      </c>
      <c r="AK188" s="122"/>
      <c r="AL188" s="136"/>
      <c r="AM188" s="122"/>
      <c r="AN188" s="122"/>
      <c r="AO188" s="122"/>
      <c r="AP188" s="122"/>
      <c r="AQ188" s="122"/>
      <c r="AR188" s="122"/>
      <c r="AS188" s="122"/>
      <c r="AT188" s="122"/>
      <c r="AU188" s="122"/>
      <c r="AV188" s="130"/>
      <c r="AW188" s="130"/>
      <c r="AX188" s="130"/>
      <c r="AY188" s="130"/>
      <c r="AZ188" s="130"/>
      <c r="BA188" s="130"/>
      <c r="BB188" s="130"/>
      <c r="BC188" s="130"/>
      <c r="BD188" s="130">
        <f t="shared" si="196"/>
        <v>0</v>
      </c>
      <c r="BE188" s="130"/>
      <c r="BF188" s="130"/>
      <c r="BG188" s="130">
        <f t="shared" si="198"/>
        <v>0</v>
      </c>
      <c r="BH188" s="130"/>
      <c r="BI188" s="130"/>
      <c r="BJ188" s="130">
        <f t="shared" si="200"/>
        <v>0</v>
      </c>
      <c r="BK188" s="130"/>
      <c r="BL188" s="130"/>
      <c r="BM188" s="130">
        <f>J188-BL188</f>
        <v>0</v>
      </c>
      <c r="BN188" s="130"/>
      <c r="BO188" s="130"/>
      <c r="BP188" s="130">
        <f t="shared" si="204"/>
        <v>0</v>
      </c>
      <c r="BQ188" s="130"/>
      <c r="BR188" s="130"/>
      <c r="BS188" s="130" t="e">
        <f>#REF!-BR188</f>
        <v>#REF!</v>
      </c>
    </row>
    <row r="189" spans="1:71" s="163" customFormat="1" x14ac:dyDescent="0.2">
      <c r="A189" s="146"/>
      <c r="B189" s="146" t="s">
        <v>384</v>
      </c>
      <c r="C189" s="146"/>
      <c r="D189" s="146" t="s">
        <v>250</v>
      </c>
      <c r="E189" s="147" t="e">
        <f ca="1">GetCtLabel(B189,"CURINIT(AC)!LDESC","#TOTAL OFFICE COSTS INCLUDING IT")</f>
        <v>#NAME?</v>
      </c>
      <c r="F189" s="148">
        <f ca="1">SUMIF($A155:F187,"yes",F155:F187)</f>
        <v>607</v>
      </c>
      <c r="G189" s="148">
        <f ca="1">SUMIF($A155:G187,"yes",G155:G187)</f>
        <v>0</v>
      </c>
      <c r="H189" s="148">
        <f ca="1">SUMIF($A155:H187,"yes",H155:H187)</f>
        <v>0</v>
      </c>
      <c r="I189" s="148">
        <f ca="1">SUMIF($A155:I187,"yes",I155:I187)</f>
        <v>0</v>
      </c>
      <c r="J189" s="148">
        <f ca="1">SUMIF($A155:J187,"yes",J155:J187)</f>
        <v>0</v>
      </c>
      <c r="K189" s="148">
        <f ca="1">SUMIF($A155:K187,"yes",K155:K187)</f>
        <v>-125</v>
      </c>
      <c r="L189" s="148">
        <f ca="1">SUMIF($A155:L187,"yes",L155:L187)</f>
        <v>3</v>
      </c>
      <c r="M189" s="148">
        <f ca="1">SUMIF($A155:M187,"yes",M155:M187)</f>
        <v>75.744</v>
      </c>
      <c r="N189" s="148"/>
      <c r="O189" s="149">
        <f ca="1">SUMIF($A155:O187,"yes",O155:O187)</f>
        <v>560.74400000000003</v>
      </c>
      <c r="P189" s="123">
        <f ca="1">-K189</f>
        <v>125</v>
      </c>
      <c r="Q189" s="123"/>
      <c r="R189" s="148" t="e">
        <f ca="1">SUMIF($A155:R187,"yes",R155:R187)</f>
        <v>#NAME?</v>
      </c>
      <c r="S189" s="197" t="e">
        <f ca="1">SUMIF($A155:S187,"yes",S155:S187)</f>
        <v>#NAME?</v>
      </c>
      <c r="T189" s="197" t="e">
        <f ca="1">SUMIF($A155:T187,"yes",T155:T187)</f>
        <v>#NAME?</v>
      </c>
      <c r="U189" s="148" t="e">
        <f ca="1">SUMIF($A155:U187,"yes",U155:U187)</f>
        <v>#NAME?</v>
      </c>
      <c r="V189" s="144"/>
      <c r="W189" s="148"/>
      <c r="X189" s="148"/>
      <c r="Y189" s="136"/>
      <c r="Z189" s="150">
        <f>SUM(Z156:Z186)</f>
        <v>442</v>
      </c>
      <c r="AA189" s="150">
        <f>SUM(AA156:AA186)</f>
        <v>0</v>
      </c>
      <c r="AB189" s="150">
        <f t="shared" si="136"/>
        <v>442</v>
      </c>
      <c r="AC189" s="150">
        <f>SUM(AC156:AC186)</f>
        <v>168</v>
      </c>
      <c r="AD189" s="136"/>
      <c r="AE189" s="148" t="e">
        <f ca="1">GetCtData("PKAMOUNT","AMOUNT",$AE$11:$AE$18,$B189:$D189,AE$19:AE$20,"#560.744")</f>
        <v>#NAME?</v>
      </c>
      <c r="AF189" s="148">
        <f>SUM(AF156:AF186)</f>
        <v>0</v>
      </c>
      <c r="AG189" s="148" t="e">
        <f t="shared" ca="1" si="212"/>
        <v>#NAME?</v>
      </c>
      <c r="AH189" s="148" t="e">
        <f t="shared" ca="1" si="211"/>
        <v>#NAME?</v>
      </c>
      <c r="AI189" s="128"/>
      <c r="AJ189" s="148" t="e">
        <f t="shared" ca="1" si="165"/>
        <v>#NAME?</v>
      </c>
      <c r="AK189" s="148" t="e">
        <f ca="1">GetCtData("PKAMOUNT","AMOUNT",$AK$11:$AK$18,$B189:$D189,AK$19:AK$20,"#90.678")</f>
        <v>#NAME?</v>
      </c>
      <c r="AL189" s="148" t="e">
        <f ca="1">(O189-AO189)-AK189</f>
        <v>#NAME?</v>
      </c>
      <c r="AM189" s="136"/>
      <c r="AN189" s="148" t="e">
        <f ca="1">GetCtData("PKAMOUNT","AMOUNT",$AN$11:$AN$18,$B189:$D189,AN$19:AN$20,"#79.678")</f>
        <v>#NAME?</v>
      </c>
      <c r="AO189" s="148" t="e">
        <f ca="1">GetCtData("PKAMOUNT","AMOUNT",$AO$11:$AO$18,$B189:$D189,AO$19:AO$20,"#470.066")</f>
        <v>#NAME?</v>
      </c>
      <c r="AP189" s="136"/>
      <c r="AQ189" s="148" t="e">
        <f ca="1">GetCtData("PKAMOUNT","AMOUNT",$AQ$11:$AQ$18,$B189:$D189,AQ$19:AQ$20,"#556.744")-AQ187</f>
        <v>#NAME?</v>
      </c>
      <c r="AR189" s="148" t="e">
        <f ca="1">O189-AQ189</f>
        <v>#NAME?</v>
      </c>
      <c r="AS189" s="148"/>
      <c r="AT189" s="148" t="e">
        <f ca="1">GetCtData("PKAMOUNT","AMOUNT",AT$11:AT$18,$B189:$D189,AT$19:AT$20,"#568.528")</f>
        <v>#NAME?</v>
      </c>
      <c r="AU189" s="148" t="e">
        <f ca="1">O189-AT189</f>
        <v>#NAME?</v>
      </c>
      <c r="AV189" s="148"/>
      <c r="AW189" s="148" t="e">
        <f ca="1">GetCtData("PKAMOUNT","AMOUNT",AW$11:AW$18,$B189:$D189,AW$19:AW$20,"#")</f>
        <v>#NAME?</v>
      </c>
      <c r="AX189" s="148" t="e">
        <f ca="1">O189-AW189</f>
        <v>#NAME?</v>
      </c>
      <c r="AY189" s="148"/>
      <c r="AZ189" s="148" t="e">
        <f ca="1">SUM(AZ156:AZ186)</f>
        <v>#NAME?</v>
      </c>
      <c r="BA189" s="148" t="e">
        <f ca="1">SUM(BA156:BA186)</f>
        <v>#NAME?</v>
      </c>
      <c r="BB189" s="148"/>
      <c r="BC189" s="148" t="e">
        <f ca="1">SUM(BC156:BC186)</f>
        <v>#NAME?</v>
      </c>
      <c r="BD189" s="148" t="e">
        <f t="shared" ca="1" si="196"/>
        <v>#NAME?</v>
      </c>
      <c r="BE189" s="148"/>
      <c r="BF189" s="148" t="e">
        <f ca="1">SUM(BF156:BF186)</f>
        <v>#NAME?</v>
      </c>
      <c r="BG189" s="148" t="e">
        <f t="shared" ca="1" si="198"/>
        <v>#NAME?</v>
      </c>
      <c r="BH189" s="148"/>
      <c r="BI189" s="148" t="e">
        <f ca="1">SUM(BI156:BI186)</f>
        <v>#NAME?</v>
      </c>
      <c r="BJ189" s="148" t="e">
        <f t="shared" ca="1" si="200"/>
        <v>#NAME?</v>
      </c>
      <c r="BK189" s="148"/>
      <c r="BL189" s="148" t="e">
        <f ca="1">SUM(BL156:BL186)</f>
        <v>#NAME?</v>
      </c>
      <c r="BM189" s="148" t="e">
        <f ca="1">O189-BL189</f>
        <v>#NAME?</v>
      </c>
      <c r="BN189" s="148"/>
      <c r="BO189" s="148" t="e">
        <f ca="1">SUM(BO156:BO186)</f>
        <v>#NAME?</v>
      </c>
      <c r="BP189" s="148" t="e">
        <f t="shared" ca="1" si="204"/>
        <v>#NAME?</v>
      </c>
      <c r="BQ189" s="148"/>
      <c r="BR189" s="148" t="e">
        <f ca="1">SUM(BR156:BR186)</f>
        <v>#NAME?</v>
      </c>
      <c r="BS189" s="148" t="e">
        <f ca="1">#REF!-BR189</f>
        <v>#REF!</v>
      </c>
    </row>
    <row r="190" spans="1:71" x14ac:dyDescent="0.2">
      <c r="E190" s="74"/>
      <c r="F190" s="130"/>
      <c r="G190" s="131"/>
      <c r="H190" s="130"/>
      <c r="I190" s="72"/>
      <c r="J190" s="72"/>
      <c r="K190" s="72"/>
      <c r="L190" s="72"/>
      <c r="M190" s="72"/>
      <c r="N190" s="130"/>
      <c r="O190" s="121"/>
      <c r="P190" s="141">
        <f>-K190</f>
        <v>0</v>
      </c>
      <c r="Q190" s="141"/>
      <c r="R190" s="122"/>
      <c r="S190" s="122"/>
      <c r="T190" s="122" t="e">
        <f ca="1">PutCtData("PKAMOUNT","AMOUNT",$T$11:$T$15,$B190,$T$18,$T$17,P190)</f>
        <v>#NAME?</v>
      </c>
      <c r="U190" s="122" t="e">
        <f ca="1">PutCtData("PKAMOUNT","AMOUNT",$U$11:$U$15,$B190,$U$18,$U$17,L190)</f>
        <v>#NAME?</v>
      </c>
      <c r="V190" s="144"/>
      <c r="W190" s="122"/>
      <c r="X190" s="122"/>
      <c r="Y190" s="122"/>
      <c r="Z190" s="135"/>
      <c r="AA190" s="135"/>
      <c r="AB190" s="135">
        <f t="shared" si="136"/>
        <v>0</v>
      </c>
      <c r="AC190" s="135"/>
      <c r="AD190" s="122"/>
      <c r="AE190" s="164" t="e">
        <f ca="1">AE189-SUMIF($A155:AE187,"yes",AE155:AE187)</f>
        <v>#NAME?</v>
      </c>
      <c r="AF190" s="164"/>
      <c r="AG190" s="164" t="e">
        <f t="shared" ca="1" si="212"/>
        <v>#NAME?</v>
      </c>
      <c r="AH190" s="164" t="e">
        <f ca="1">AH189-SUMIF($A155:AH187,"yes",AH155:AH187)</f>
        <v>#NAME?</v>
      </c>
      <c r="AI190" s="128"/>
      <c r="AJ190" s="122">
        <f t="shared" si="165"/>
        <v>0</v>
      </c>
      <c r="AK190" s="122"/>
      <c r="AL190" s="136"/>
      <c r="AM190" s="122"/>
      <c r="AN190" s="122"/>
      <c r="AO190" s="122"/>
      <c r="AP190" s="122"/>
      <c r="AQ190" s="122"/>
      <c r="AR190" s="122"/>
      <c r="AS190" s="122"/>
      <c r="AT190" s="122"/>
      <c r="AU190" s="122"/>
      <c r="AV190" s="130"/>
      <c r="AW190" s="130"/>
      <c r="AX190" s="130"/>
      <c r="AY190" s="130"/>
      <c r="AZ190" s="130"/>
      <c r="BA190" s="130"/>
      <c r="BB190" s="130"/>
      <c r="BC190" s="130"/>
      <c r="BD190" s="130">
        <f t="shared" si="196"/>
        <v>0</v>
      </c>
      <c r="BE190" s="130"/>
      <c r="BF190" s="130"/>
      <c r="BG190" s="130">
        <f t="shared" si="198"/>
        <v>0</v>
      </c>
      <c r="BH190" s="130"/>
      <c r="BI190" s="130"/>
      <c r="BJ190" s="130">
        <f t="shared" si="200"/>
        <v>0</v>
      </c>
      <c r="BK190" s="130"/>
      <c r="BL190" s="130"/>
      <c r="BM190" s="130">
        <f>J190-BL190</f>
        <v>0</v>
      </c>
      <c r="BN190" s="130"/>
      <c r="BO190" s="130"/>
      <c r="BP190" s="130">
        <f t="shared" si="204"/>
        <v>0</v>
      </c>
      <c r="BQ190" s="130"/>
      <c r="BR190" s="130"/>
      <c r="BS190" s="130" t="e">
        <f>#REF!-BR190</f>
        <v>#REF!</v>
      </c>
    </row>
    <row r="191" spans="1:71" x14ac:dyDescent="0.2">
      <c r="A191" s="82" t="s">
        <v>243</v>
      </c>
      <c r="B191" s="82" t="s">
        <v>385</v>
      </c>
      <c r="C191" s="82" t="s">
        <v>386</v>
      </c>
      <c r="D191" s="82" t="s">
        <v>172</v>
      </c>
      <c r="E191" s="74" t="e">
        <f ca="1">GetCtLabel(B191,"CURINIT(AC)!LDESC","#Audit fees")</f>
        <v>#NAME?</v>
      </c>
      <c r="F191" s="130">
        <v>20</v>
      </c>
      <c r="G191" s="131"/>
      <c r="H191" s="130"/>
      <c r="I191" s="72"/>
      <c r="J191" s="72"/>
      <c r="K191" s="72">
        <v>-2</v>
      </c>
      <c r="L191" s="72"/>
      <c r="M191" s="72"/>
      <c r="N191" s="130"/>
      <c r="O191" s="140">
        <f t="shared" ref="O191:O203" si="213">SUM(F191:M191)</f>
        <v>18</v>
      </c>
      <c r="P191" s="141">
        <f>-K191</f>
        <v>2</v>
      </c>
      <c r="Q191" s="141">
        <f>-L191</f>
        <v>0</v>
      </c>
      <c r="R191" s="133" t="e">
        <f ca="1">PutCtData("PKAMOUNT","AMOUNT",R$11:R$14,$B191:$D191,R$17:R$18,$O191)</f>
        <v>#NAME?</v>
      </c>
      <c r="S191" s="133" t="e">
        <f ca="1">PutCtData("PKAMOUNT","AMOUNT",S$11:S$14,$B191:$D191,S$17,$M191)</f>
        <v>#NAME?</v>
      </c>
      <c r="T191" s="134" t="e">
        <f ca="1">PutCtData("PKAMOUNT","AMOUNT",T$11:T$14,$B191,$D191,T$17:T$18,$P191)</f>
        <v>#NAME?</v>
      </c>
      <c r="U191" s="134" t="e">
        <f ca="1">PutCtData("PKAMOUNT","AMOUNT",$U$11:$U$14,$B191:$D191,U$17:U$18,Q191)</f>
        <v>#NAME?</v>
      </c>
      <c r="V191" s="144"/>
      <c r="W191" s="142"/>
      <c r="X191" s="142"/>
      <c r="Y191" s="122"/>
      <c r="Z191" s="135">
        <f>10+3</f>
        <v>13</v>
      </c>
      <c r="AA191" s="135"/>
      <c r="AB191" s="135">
        <f t="shared" si="136"/>
        <v>13</v>
      </c>
      <c r="AC191" s="135">
        <f t="shared" ref="AC191:AC204" si="214">+O191-AB191</f>
        <v>5</v>
      </c>
      <c r="AD191" s="122"/>
      <c r="AE191" s="142" t="e">
        <f ca="1">GetCtData("PKAMOUNT","AMOUNT",$AE$11:$AE$18,$B191:$D191,AE$19:AE$20,"#18")</f>
        <v>#NAME?</v>
      </c>
      <c r="AF191" s="142"/>
      <c r="AG191" s="142" t="e">
        <f t="shared" ca="1" si="212"/>
        <v>#NAME?</v>
      </c>
      <c r="AH191" s="143" t="e">
        <f t="shared" ca="1" si="211"/>
        <v>#NAME?</v>
      </c>
      <c r="AI191" s="128"/>
      <c r="AJ191" s="142" t="e">
        <f t="shared" ca="1" si="165"/>
        <v>#NAME?</v>
      </c>
      <c r="AK191" s="142" t="e">
        <f ca="1">GetCtData("PKAMOUNT","AMOUNT",$AK$11:$AK$18,$B191:$D191,AK$19:AK$20,"#3")</f>
        <v>#NAME?</v>
      </c>
      <c r="AL191" s="143" t="e">
        <f t="shared" ref="AL191:AL203" ca="1" si="215">(O191-AO191)-AK191</f>
        <v>#NAME?</v>
      </c>
      <c r="AM191" s="122"/>
      <c r="AN191" s="142" t="e">
        <f ca="1">GetCtData("PKAMOUNT","AMOUNT",$AN$11:$AN$18,$B191:$D191,AN$19:AN$20,"#2")</f>
        <v>#NAME?</v>
      </c>
      <c r="AO191" s="142" t="e">
        <f ca="1">GetCtData("PKAMOUNT","AMOUNT",$AO$11:$AO$18,$B191:$D191,AO$19:AO$20,"#15")</f>
        <v>#NAME?</v>
      </c>
      <c r="AP191" s="122"/>
      <c r="AQ191" s="142" t="e">
        <f ca="1">GetCtData("PKAMOUNT","AMOUNT",$AQ$11:$AQ$18,$B191:$D191,AQ$19:AQ$20,"#18")</f>
        <v>#NAME?</v>
      </c>
      <c r="AR191" s="142" t="e">
        <f t="shared" ref="AR191:AR204" ca="1" si="216">O191-AQ191</f>
        <v>#NAME?</v>
      </c>
      <c r="AS191" s="142"/>
      <c r="AT191" s="142" t="e">
        <f ca="1">GetCtData("PKAMOUNT","AMOUNT",AT$11:AT$18,$B191:$D191,AT$19:AT$20,"#18")</f>
        <v>#NAME?</v>
      </c>
      <c r="AU191" s="142" t="e">
        <f t="shared" ref="AU191:AU203" ca="1" si="217">O191-AT191</f>
        <v>#NAME?</v>
      </c>
      <c r="AV191" s="72"/>
      <c r="AW191" s="72" t="e">
        <f t="shared" ref="AW191:AW203" ca="1" si="218">GetCtData("PKAMOUNT","AMOUNT",AW$11:AW$18,$B191:$D191,AW$19:AW$20,"#")</f>
        <v>#NAME?</v>
      </c>
      <c r="AX191" s="72" t="e">
        <f t="shared" ref="AX191:AX203" ca="1" si="219">O191-AW191</f>
        <v>#NAME?</v>
      </c>
      <c r="AY191" s="72"/>
      <c r="AZ191" s="72" t="e">
        <f t="shared" ref="AZ191:AZ203" ca="1" si="220">GetCtData("COAMOUNT","AMOUNT",$AZ$11:$AZ$17,$B191,AZ$19,AZ$20,"#")</f>
        <v>#NAME?</v>
      </c>
      <c r="BA191" s="72" t="e">
        <f t="shared" ref="BA191:BA204" ca="1" si="221">O191-AZ191</f>
        <v>#NAME?</v>
      </c>
      <c r="BB191" s="72"/>
      <c r="BC191" s="72" t="e">
        <f t="shared" ref="BC191:BC203" ca="1" si="222">GetCtData("COAMOUNT","AMOUNT",$BF$11:$BF$17,$B191,BC$19,BC$20,"#")</f>
        <v>#NAME?</v>
      </c>
      <c r="BD191" s="72" t="e">
        <f t="shared" ca="1" si="196"/>
        <v>#NAME?</v>
      </c>
      <c r="BE191" s="72"/>
      <c r="BF191" s="72" t="e">
        <f t="shared" ref="BF191:BF203" ca="1" si="223">GetCtData("COAMOUNT","AMOUNT",$BF$11:$BF$17,$B191,BF$19,BF$20,"#")</f>
        <v>#NAME?</v>
      </c>
      <c r="BG191" s="72" t="e">
        <f t="shared" ca="1" si="198"/>
        <v>#NAME?</v>
      </c>
      <c r="BH191" s="72"/>
      <c r="BI191" s="72" t="e">
        <f t="shared" ref="BI191:BI203" ca="1" si="224">GetCtData("COAMOUNT","AMOUNT",$AO$11:$AO$17,$B191,BI$19,BI$20,"#")</f>
        <v>#NAME?</v>
      </c>
      <c r="BJ191" s="72" t="e">
        <f t="shared" ca="1" si="200"/>
        <v>#NAME?</v>
      </c>
      <c r="BK191" s="72"/>
      <c r="BL191" s="72" t="e">
        <f t="shared" ref="BL191:BL203" ca="1" si="225">GetCtData("COAMOUNT","AMOUNT",$BO$11:$BO$17,$B191,BL$19,BL$20,"#")</f>
        <v>#NAME?</v>
      </c>
      <c r="BM191" s="72" t="e">
        <f t="shared" ref="BM191:BM204" ca="1" si="226">O191-BL191</f>
        <v>#NAME?</v>
      </c>
      <c r="BN191" s="72"/>
      <c r="BO191" s="72" t="e">
        <f t="shared" ref="BO191:BO203" ca="1" si="227">GetCtData("COAMOUNT","AMOUNT",$BO$11:$BO$17,$B191,BO$19,BO$20,"#")</f>
        <v>#NAME?</v>
      </c>
      <c r="BP191" s="72" t="e">
        <f t="shared" ca="1" si="204"/>
        <v>#NAME?</v>
      </c>
      <c r="BQ191" s="72"/>
      <c r="BR191" s="72" t="e">
        <f t="shared" ref="BR191:BR203" ca="1" si="228">GetCtData("COAMOUNT","AMOUNT",$BO$11:$BO$17,$B191,BR$19,BR$20,"#")</f>
        <v>#NAME?</v>
      </c>
      <c r="BS191" s="72" t="e">
        <f ca="1">#REF!-BR191</f>
        <v>#REF!</v>
      </c>
    </row>
    <row r="192" spans="1:71" outlineLevel="1" x14ac:dyDescent="0.2">
      <c r="A192" s="82" t="s">
        <v>243</v>
      </c>
      <c r="B192" s="82" t="s">
        <v>387</v>
      </c>
      <c r="D192" s="82" t="s">
        <v>172</v>
      </c>
      <c r="E192" s="74" t="e">
        <f ca="1">GetCtLabel(B192,"CURINIT(AC)!LDESC","#Tax fees")</f>
        <v>#NAME?</v>
      </c>
      <c r="F192" s="130"/>
      <c r="G192" s="131"/>
      <c r="H192" s="130"/>
      <c r="I192" s="72"/>
      <c r="J192" s="72"/>
      <c r="K192" s="72"/>
      <c r="L192" s="72"/>
      <c r="M192" s="72"/>
      <c r="N192" s="130"/>
      <c r="O192" s="140">
        <f t="shared" si="213"/>
        <v>0</v>
      </c>
      <c r="P192" s="141">
        <f t="shared" ref="P192:Q205" si="229">-K192</f>
        <v>0</v>
      </c>
      <c r="Q192" s="141">
        <f t="shared" si="229"/>
        <v>0</v>
      </c>
      <c r="R192" s="133" t="e">
        <f ca="1">PutCtData("PKAMOUNT","AMOUNT",R$11:R$14,$B192:$D192,R$17:R$18,$O192)</f>
        <v>#NAME?</v>
      </c>
      <c r="S192" s="133" t="e">
        <f ca="1">PutCtData("PKAMOUNT","AMOUNT",S$11:S$14,$B192:$D192,S$17,$M192)</f>
        <v>#NAME?</v>
      </c>
      <c r="T192" s="134" t="e">
        <f ca="1">PutCtData("PKAMOUNT","AMOUNT",T$11:T$14,$B192,$D192,T$17:T$18,$P192)</f>
        <v>#NAME?</v>
      </c>
      <c r="U192" s="134" t="e">
        <f ca="1">PutCtData("PKAMOUNT","AMOUNT",$U$11:$U$14,$B192:$D192,U$17:U$18,Q192)</f>
        <v>#NAME?</v>
      </c>
      <c r="V192" s="144"/>
      <c r="W192" s="142"/>
      <c r="X192" s="142"/>
      <c r="Y192" s="122"/>
      <c r="Z192" s="135"/>
      <c r="AA192" s="135"/>
      <c r="AB192" s="135">
        <f t="shared" si="136"/>
        <v>0</v>
      </c>
      <c r="AC192" s="135">
        <f t="shared" si="214"/>
        <v>0</v>
      </c>
      <c r="AD192" s="122"/>
      <c r="AE192" s="142" t="e">
        <f ca="1">GetCtData("PKAMOUNT","AMOUNT",$AE$11:$AE$18,$B192:$D192,AE$19:AE$20,"#")</f>
        <v>#NAME?</v>
      </c>
      <c r="AF192" s="142"/>
      <c r="AG192" s="142" t="e">
        <f t="shared" ca="1" si="212"/>
        <v>#NAME?</v>
      </c>
      <c r="AH192" s="143" t="e">
        <f t="shared" ca="1" si="211"/>
        <v>#NAME?</v>
      </c>
      <c r="AI192" s="128"/>
      <c r="AJ192" s="142" t="e">
        <f t="shared" ca="1" si="165"/>
        <v>#NAME?</v>
      </c>
      <c r="AK192" s="142" t="e">
        <f ca="1">GetCtData("PKAMOUNT","AMOUNT",$AK$11:$AK$18,$B192:$D192,AK$19:AK$20,"#")</f>
        <v>#NAME?</v>
      </c>
      <c r="AL192" s="143" t="e">
        <f t="shared" ca="1" si="215"/>
        <v>#NAME?</v>
      </c>
      <c r="AM192" s="122"/>
      <c r="AN192" s="142" t="e">
        <f ca="1">GetCtData("PKAMOUNT","AMOUNT",$AN$11:$AN$18,$B192:$D192,AN$19:AN$20,"#")</f>
        <v>#NAME?</v>
      </c>
      <c r="AO192" s="142" t="e">
        <f ca="1">GetCtData("PKAMOUNT","AMOUNT",$AO$11:$AO$18,$B192:$D192,AO$19:AO$20,"#")</f>
        <v>#NAME?</v>
      </c>
      <c r="AP192" s="122"/>
      <c r="AQ192" s="142" t="e">
        <f ca="1">GetCtData("PKAMOUNT","AMOUNT",$AQ$11:$AQ$18,$B192:$D192,AQ$19:AQ$20,"#")</f>
        <v>#NAME?</v>
      </c>
      <c r="AR192" s="142" t="e">
        <f t="shared" ca="1" si="216"/>
        <v>#NAME?</v>
      </c>
      <c r="AS192" s="142"/>
      <c r="AT192" s="142" t="e">
        <f ca="1">GetCtData("PKAMOUNT","AMOUNT",AT$11:AT$18,$B192:$D192,AT$19:AT$20,"#")</f>
        <v>#NAME?</v>
      </c>
      <c r="AU192" s="142" t="e">
        <f t="shared" ca="1" si="217"/>
        <v>#NAME?</v>
      </c>
      <c r="AV192" s="72"/>
      <c r="AW192" s="72" t="e">
        <f t="shared" ca="1" si="218"/>
        <v>#NAME?</v>
      </c>
      <c r="AX192" s="72" t="e">
        <f t="shared" ca="1" si="219"/>
        <v>#NAME?</v>
      </c>
      <c r="AY192" s="72"/>
      <c r="AZ192" s="72" t="e">
        <f t="shared" ca="1" si="220"/>
        <v>#NAME?</v>
      </c>
      <c r="BA192" s="72" t="e">
        <f t="shared" ca="1" si="221"/>
        <v>#NAME?</v>
      </c>
      <c r="BB192" s="72"/>
      <c r="BC192" s="72" t="e">
        <f t="shared" ca="1" si="222"/>
        <v>#NAME?</v>
      </c>
      <c r="BD192" s="72" t="e">
        <f t="shared" ca="1" si="196"/>
        <v>#NAME?</v>
      </c>
      <c r="BE192" s="72"/>
      <c r="BF192" s="72" t="e">
        <f t="shared" ca="1" si="223"/>
        <v>#NAME?</v>
      </c>
      <c r="BG192" s="72" t="e">
        <f t="shared" ca="1" si="198"/>
        <v>#NAME?</v>
      </c>
      <c r="BH192" s="72"/>
      <c r="BI192" s="72" t="e">
        <f t="shared" ca="1" si="224"/>
        <v>#NAME?</v>
      </c>
      <c r="BJ192" s="72" t="e">
        <f t="shared" ca="1" si="200"/>
        <v>#NAME?</v>
      </c>
      <c r="BK192" s="72"/>
      <c r="BL192" s="72" t="e">
        <f t="shared" ca="1" si="225"/>
        <v>#NAME?</v>
      </c>
      <c r="BM192" s="72" t="e">
        <f t="shared" ca="1" si="226"/>
        <v>#NAME?</v>
      </c>
      <c r="BN192" s="72"/>
      <c r="BO192" s="72" t="e">
        <f t="shared" ca="1" si="227"/>
        <v>#NAME?</v>
      </c>
      <c r="BP192" s="72" t="e">
        <f t="shared" ca="1" si="204"/>
        <v>#NAME?</v>
      </c>
      <c r="BQ192" s="72"/>
      <c r="BR192" s="72" t="e">
        <f t="shared" ca="1" si="228"/>
        <v>#NAME?</v>
      </c>
      <c r="BS192" s="72" t="e">
        <f ca="1">#REF!-BR192</f>
        <v>#REF!</v>
      </c>
    </row>
    <row r="193" spans="1:71" x14ac:dyDescent="0.2">
      <c r="A193" s="82" t="s">
        <v>243</v>
      </c>
      <c r="B193" s="82" t="s">
        <v>388</v>
      </c>
      <c r="D193" s="82" t="s">
        <v>172</v>
      </c>
      <c r="E193" s="74" t="e">
        <f ca="1">GetCtLabel(B193,"CURINIT(AC)!LDESC","#Accountancy costs")</f>
        <v>#NAME?</v>
      </c>
      <c r="F193" s="130"/>
      <c r="G193" s="131"/>
      <c r="H193" s="130"/>
      <c r="I193" s="72"/>
      <c r="J193" s="72"/>
      <c r="K193" s="72"/>
      <c r="L193" s="72"/>
      <c r="M193" s="72"/>
      <c r="N193" s="130"/>
      <c r="O193" s="140">
        <f t="shared" si="213"/>
        <v>0</v>
      </c>
      <c r="P193" s="141">
        <f t="shared" si="229"/>
        <v>0</v>
      </c>
      <c r="Q193" s="141">
        <f t="shared" si="229"/>
        <v>0</v>
      </c>
      <c r="R193" s="133" t="e">
        <f ca="1">PutCtData("PKAMOUNT","AMOUNT",R$11:R$14,$B193:$D193,R$17:R$18,$O193)</f>
        <v>#NAME?</v>
      </c>
      <c r="S193" s="133" t="e">
        <f ca="1">PutCtData("PKAMOUNT","AMOUNT",S$11:S$14,$B193:$D193,S$17,$M193)</f>
        <v>#NAME?</v>
      </c>
      <c r="T193" s="134" t="e">
        <f ca="1">PutCtData("PKAMOUNT","AMOUNT",T$11:T$14,$B193,$D193,T$17:T$18,$P193)</f>
        <v>#NAME?</v>
      </c>
      <c r="U193" s="134" t="e">
        <f ca="1">PutCtData("PKAMOUNT","AMOUNT",$U$11:$U$14,$B193:$D193,U$17:U$18,Q193)</f>
        <v>#NAME?</v>
      </c>
      <c r="V193" s="144"/>
      <c r="W193" s="142"/>
      <c r="X193" s="142"/>
      <c r="Y193" s="122"/>
      <c r="Z193" s="135"/>
      <c r="AA193" s="135"/>
      <c r="AB193" s="135">
        <f t="shared" si="136"/>
        <v>0</v>
      </c>
      <c r="AC193" s="135">
        <f t="shared" si="214"/>
        <v>0</v>
      </c>
      <c r="AD193" s="122"/>
      <c r="AE193" s="142" t="e">
        <f ca="1">GetCtData("PKAMOUNT","AMOUNT",$AE$11:$AE$18,$B193:$D193,AE$19:AE$20,"#")</f>
        <v>#NAME?</v>
      </c>
      <c r="AF193" s="142"/>
      <c r="AG193" s="142" t="e">
        <f t="shared" ca="1" si="212"/>
        <v>#NAME?</v>
      </c>
      <c r="AH193" s="143" t="e">
        <f t="shared" ca="1" si="211"/>
        <v>#NAME?</v>
      </c>
      <c r="AI193" s="128"/>
      <c r="AJ193" s="142" t="e">
        <f t="shared" ca="1" si="165"/>
        <v>#NAME?</v>
      </c>
      <c r="AK193" s="142" t="e">
        <f ca="1">GetCtData("PKAMOUNT","AMOUNT",$AK$11:$AK$18,$B193:$D193,AK$19:AK$20,"#")</f>
        <v>#NAME?</v>
      </c>
      <c r="AL193" s="143" t="e">
        <f t="shared" ca="1" si="215"/>
        <v>#NAME?</v>
      </c>
      <c r="AM193" s="122"/>
      <c r="AN193" s="142" t="e">
        <f ca="1">GetCtData("PKAMOUNT","AMOUNT",$AN$11:$AN$18,$B193:$D193,AN$19:AN$20,"#")</f>
        <v>#NAME?</v>
      </c>
      <c r="AO193" s="142" t="e">
        <f ca="1">GetCtData("PKAMOUNT","AMOUNT",$AO$11:$AO$18,$B193:$D193,AO$19:AO$20,"#")</f>
        <v>#NAME?</v>
      </c>
      <c r="AP193" s="122"/>
      <c r="AQ193" s="142" t="e">
        <f ca="1">GetCtData("PKAMOUNT","AMOUNT",$AQ$11:$AQ$18,$B193:$D193,AQ$19:AQ$20,"#")</f>
        <v>#NAME?</v>
      </c>
      <c r="AR193" s="142" t="e">
        <f t="shared" ca="1" si="216"/>
        <v>#NAME?</v>
      </c>
      <c r="AS193" s="142"/>
      <c r="AT193" s="142" t="e">
        <f ca="1">GetCtData("PKAMOUNT","AMOUNT",AT$11:AT$18,$B193:$D193,AT$19:AT$20,"#")</f>
        <v>#NAME?</v>
      </c>
      <c r="AU193" s="142" t="e">
        <f t="shared" ca="1" si="217"/>
        <v>#NAME?</v>
      </c>
      <c r="AV193" s="72"/>
      <c r="AW193" s="72" t="e">
        <f t="shared" ca="1" si="218"/>
        <v>#NAME?</v>
      </c>
      <c r="AX193" s="72" t="e">
        <f t="shared" ca="1" si="219"/>
        <v>#NAME?</v>
      </c>
      <c r="AY193" s="72"/>
      <c r="AZ193" s="72" t="e">
        <f t="shared" ca="1" si="220"/>
        <v>#NAME?</v>
      </c>
      <c r="BA193" s="72" t="e">
        <f t="shared" ca="1" si="221"/>
        <v>#NAME?</v>
      </c>
      <c r="BB193" s="72"/>
      <c r="BC193" s="72" t="e">
        <f t="shared" ca="1" si="222"/>
        <v>#NAME?</v>
      </c>
      <c r="BD193" s="72" t="e">
        <f t="shared" ca="1" si="196"/>
        <v>#NAME?</v>
      </c>
      <c r="BE193" s="72"/>
      <c r="BF193" s="72" t="e">
        <f t="shared" ca="1" si="223"/>
        <v>#NAME?</v>
      </c>
      <c r="BG193" s="72" t="e">
        <f t="shared" ca="1" si="198"/>
        <v>#NAME?</v>
      </c>
      <c r="BH193" s="72"/>
      <c r="BI193" s="72" t="e">
        <f t="shared" ca="1" si="224"/>
        <v>#NAME?</v>
      </c>
      <c r="BJ193" s="72" t="e">
        <f t="shared" ca="1" si="200"/>
        <v>#NAME?</v>
      </c>
      <c r="BK193" s="72"/>
      <c r="BL193" s="72" t="e">
        <f t="shared" ca="1" si="225"/>
        <v>#NAME?</v>
      </c>
      <c r="BM193" s="72" t="e">
        <f t="shared" ca="1" si="226"/>
        <v>#NAME?</v>
      </c>
      <c r="BN193" s="72"/>
      <c r="BO193" s="72" t="e">
        <f t="shared" ca="1" si="227"/>
        <v>#NAME?</v>
      </c>
      <c r="BP193" s="72" t="e">
        <f t="shared" ca="1" si="204"/>
        <v>#NAME?</v>
      </c>
      <c r="BQ193" s="72"/>
      <c r="BR193" s="72" t="e">
        <f t="shared" ca="1" si="228"/>
        <v>#NAME?</v>
      </c>
      <c r="BS193" s="72" t="e">
        <f ca="1">#REF!-BR193</f>
        <v>#REF!</v>
      </c>
    </row>
    <row r="194" spans="1:71" x14ac:dyDescent="0.2">
      <c r="A194" s="82" t="s">
        <v>293</v>
      </c>
      <c r="B194" s="82" t="s">
        <v>389</v>
      </c>
      <c r="D194" s="82" t="s">
        <v>172</v>
      </c>
      <c r="E194" s="74" t="e">
        <f ca="1">GetCtLabel(B194,"CURINIT(AC)!LDESC","#Legal &amp; professional")</f>
        <v>#NAME?</v>
      </c>
      <c r="F194" s="178">
        <f>SUM(F195:F196)</f>
        <v>28</v>
      </c>
      <c r="G194" s="179">
        <f t="shared" ref="G194:M194" si="230">SUM(G195:G196)</f>
        <v>-2</v>
      </c>
      <c r="H194" s="179">
        <f t="shared" si="230"/>
        <v>0</v>
      </c>
      <c r="I194" s="178">
        <f t="shared" si="230"/>
        <v>0</v>
      </c>
      <c r="J194" s="178">
        <f t="shared" si="230"/>
        <v>0</v>
      </c>
      <c r="K194" s="178">
        <f t="shared" si="230"/>
        <v>0</v>
      </c>
      <c r="L194" s="179">
        <f t="shared" si="230"/>
        <v>0</v>
      </c>
      <c r="M194" s="179">
        <f t="shared" si="230"/>
        <v>0</v>
      </c>
      <c r="N194" s="130"/>
      <c r="O194" s="140">
        <f t="shared" ref="O194:O195" si="231">SUM(F194:M194)</f>
        <v>26</v>
      </c>
      <c r="P194" s="141">
        <f t="shared" si="229"/>
        <v>0</v>
      </c>
      <c r="Q194" s="141">
        <f t="shared" si="229"/>
        <v>0</v>
      </c>
      <c r="R194" s="161"/>
      <c r="S194" s="161"/>
      <c r="T194" s="161"/>
      <c r="U194" s="161"/>
      <c r="V194" s="144"/>
      <c r="W194" s="142"/>
      <c r="X194" s="142"/>
      <c r="Y194" s="122"/>
      <c r="Z194" s="135">
        <f>16+4</f>
        <v>20</v>
      </c>
      <c r="AA194" s="135"/>
      <c r="AB194" s="135">
        <f t="shared" si="136"/>
        <v>20</v>
      </c>
      <c r="AC194" s="135">
        <f t="shared" si="214"/>
        <v>6</v>
      </c>
      <c r="AD194" s="122"/>
      <c r="AE194" s="142" t="e">
        <f ca="1">GetCtData("PKAMOUNT","AMOUNT",$AE$11:$AE$18,$B194:$D194,AE$19:AE$20,"#26")</f>
        <v>#NAME?</v>
      </c>
      <c r="AF194" s="142"/>
      <c r="AG194" s="142" t="e">
        <f t="shared" ca="1" si="212"/>
        <v>#NAME?</v>
      </c>
      <c r="AH194" s="143" t="e">
        <f t="shared" ca="1" si="211"/>
        <v>#NAME?</v>
      </c>
      <c r="AI194" s="128"/>
      <c r="AJ194" s="142" t="e">
        <f t="shared" ca="1" si="165"/>
        <v>#NAME?</v>
      </c>
      <c r="AK194" s="142" t="e">
        <f ca="1">GetCtData("PKAMOUNT","AMOUNT",$AK$11:$AK$18,$B194:$D194,AK$19:AK$20,"#5")</f>
        <v>#NAME?</v>
      </c>
      <c r="AL194" s="143" t="e">
        <f t="shared" ca="1" si="215"/>
        <v>#NAME?</v>
      </c>
      <c r="AM194" s="122"/>
      <c r="AN194" s="142" t="e">
        <f ca="1">GetCtData("PKAMOUNT","AMOUNT",$AN$11:$AN$18,$B194:$D194,AN$19:AN$20,"#2")</f>
        <v>#NAME?</v>
      </c>
      <c r="AO194" s="142" t="e">
        <f ca="1">GetCtData("PKAMOUNT","AMOUNT",$AO$11:$AO$18,$B194:$D194,AO$19:AO$20,"#21")</f>
        <v>#NAME?</v>
      </c>
      <c r="AP194" s="122"/>
      <c r="AQ194" s="142" t="e">
        <f ca="1">GetCtData("PKAMOUNT","AMOUNT",$AQ$11:$AQ$18,$B194:$D194,AQ$19:AQ$20,"#29")</f>
        <v>#NAME?</v>
      </c>
      <c r="AR194" s="142" t="e">
        <f t="shared" ca="1" si="216"/>
        <v>#NAME?</v>
      </c>
      <c r="AS194" s="142"/>
      <c r="AT194" s="142" t="e">
        <f ca="1">GetCtData("PKAMOUNT","AMOUNT",AT$11:AT$18,$B194:$D194,AT$19:AT$20,"#30")</f>
        <v>#NAME?</v>
      </c>
      <c r="AU194" s="142" t="e">
        <f t="shared" ca="1" si="217"/>
        <v>#NAME?</v>
      </c>
      <c r="AV194" s="72"/>
      <c r="AW194" s="72" t="e">
        <f t="shared" ca="1" si="218"/>
        <v>#NAME?</v>
      </c>
      <c r="AX194" s="72" t="e">
        <f t="shared" ca="1" si="219"/>
        <v>#NAME?</v>
      </c>
      <c r="AY194" s="72"/>
      <c r="AZ194" s="72" t="e">
        <f t="shared" ca="1" si="220"/>
        <v>#NAME?</v>
      </c>
      <c r="BA194" s="72" t="e">
        <f t="shared" ca="1" si="221"/>
        <v>#NAME?</v>
      </c>
      <c r="BB194" s="72"/>
      <c r="BC194" s="72" t="e">
        <f t="shared" ca="1" si="222"/>
        <v>#NAME?</v>
      </c>
      <c r="BD194" s="72" t="e">
        <f t="shared" ca="1" si="196"/>
        <v>#NAME?</v>
      </c>
      <c r="BE194" s="72"/>
      <c r="BF194" s="72" t="e">
        <f t="shared" ca="1" si="223"/>
        <v>#NAME?</v>
      </c>
      <c r="BG194" s="72" t="e">
        <f t="shared" ca="1" si="198"/>
        <v>#NAME?</v>
      </c>
      <c r="BH194" s="72"/>
      <c r="BI194" s="72" t="e">
        <f t="shared" ca="1" si="224"/>
        <v>#NAME?</v>
      </c>
      <c r="BJ194" s="72" t="e">
        <f t="shared" ca="1" si="200"/>
        <v>#NAME?</v>
      </c>
      <c r="BK194" s="72"/>
      <c r="BL194" s="72" t="e">
        <f t="shared" ca="1" si="225"/>
        <v>#NAME?</v>
      </c>
      <c r="BM194" s="72" t="e">
        <f t="shared" ca="1" si="226"/>
        <v>#NAME?</v>
      </c>
      <c r="BN194" s="72"/>
      <c r="BO194" s="72" t="e">
        <f t="shared" ca="1" si="227"/>
        <v>#NAME?</v>
      </c>
      <c r="BP194" s="72" t="e">
        <f t="shared" ca="1" si="204"/>
        <v>#NAME?</v>
      </c>
      <c r="BQ194" s="72"/>
      <c r="BR194" s="72" t="e">
        <f t="shared" ca="1" si="228"/>
        <v>#NAME?</v>
      </c>
      <c r="BS194" s="72" t="e">
        <f ca="1">#REF!-BR194</f>
        <v>#REF!</v>
      </c>
    </row>
    <row r="195" spans="1:71" outlineLevel="1" x14ac:dyDescent="0.2">
      <c r="A195" s="82" t="s">
        <v>243</v>
      </c>
      <c r="B195" s="82" t="s">
        <v>390</v>
      </c>
      <c r="C195" s="82" t="s">
        <v>391</v>
      </c>
      <c r="D195" s="82" t="s">
        <v>172</v>
      </c>
      <c r="E195" s="153" t="e">
        <f ca="1">GetCtLabel(B195,"CURINIT(AC)!LDESC","#Legal &amp; professional")</f>
        <v>#NAME?</v>
      </c>
      <c r="F195" s="130">
        <v>15</v>
      </c>
      <c r="G195" s="131">
        <v>-2</v>
      </c>
      <c r="H195" s="130"/>
      <c r="I195" s="72"/>
      <c r="J195" s="72"/>
      <c r="K195" s="72"/>
      <c r="L195" s="72"/>
      <c r="M195" s="72"/>
      <c r="N195" s="130"/>
      <c r="O195" s="140">
        <f t="shared" si="231"/>
        <v>13</v>
      </c>
      <c r="P195" s="141">
        <f t="shared" si="229"/>
        <v>0</v>
      </c>
      <c r="Q195" s="141">
        <f t="shared" si="229"/>
        <v>0</v>
      </c>
      <c r="R195" s="133" t="e">
        <f t="shared" ref="R195:R204" ca="1" si="232">PutCtData("PKAMOUNT","AMOUNT",R$11:R$14,$B195:$D195,R$17:R$18,$O195)</f>
        <v>#NAME?</v>
      </c>
      <c r="S195" s="133" t="e">
        <f t="shared" ref="S195:S204" ca="1" si="233">PutCtData("PKAMOUNT","AMOUNT",S$11:S$14,$B195:$D195,S$17,$M195)</f>
        <v>#NAME?</v>
      </c>
      <c r="T195" s="134" t="e">
        <f t="shared" ref="T195:T204" ca="1" si="234">PutCtData("PKAMOUNT","AMOUNT",T$11:T$14,$B195,$D195,T$17:T$18,$P195)</f>
        <v>#NAME?</v>
      </c>
      <c r="U195" s="134" t="e">
        <f t="shared" ref="U195:U204" ca="1" si="235">PutCtData("PKAMOUNT","AMOUNT",$U$11:$U$14,$B195:$D195,U$17:U$18,Q195)</f>
        <v>#NAME?</v>
      </c>
      <c r="V195" s="144"/>
      <c r="W195" s="142"/>
      <c r="X195" s="142"/>
      <c r="Y195" s="122"/>
      <c r="Z195" s="135">
        <f>16+4</f>
        <v>20</v>
      </c>
      <c r="AA195" s="135"/>
      <c r="AB195" s="135">
        <f t="shared" si="136"/>
        <v>20</v>
      </c>
      <c r="AC195" s="135">
        <f t="shared" si="214"/>
        <v>-7</v>
      </c>
      <c r="AD195" s="122"/>
      <c r="AE195" s="142" t="e">
        <f ca="1">GetCtData("PKAMOUNT","AMOUNT",$AE$11:$AE$18,$B195:$D195,AE$19:AE$20,"#13")</f>
        <v>#NAME?</v>
      </c>
      <c r="AF195" s="142"/>
      <c r="AG195" s="142" t="e">
        <f t="shared" ca="1" si="212"/>
        <v>#NAME?</v>
      </c>
      <c r="AH195" s="143" t="e">
        <f t="shared" ca="1" si="211"/>
        <v>#NAME?</v>
      </c>
      <c r="AI195" s="128"/>
      <c r="AJ195" s="142" t="e">
        <f t="shared" ca="1" si="165"/>
        <v>#NAME?</v>
      </c>
      <c r="AK195" s="142" t="e">
        <f ca="1">GetCtData("PKAMOUNT","AMOUNT",$AK$11:$AK$18,$B195:$D195,AK$19:AK$20,"#3")</f>
        <v>#NAME?</v>
      </c>
      <c r="AL195" s="143" t="e">
        <f t="shared" ca="1" si="215"/>
        <v>#NAME?</v>
      </c>
      <c r="AM195" s="122"/>
      <c r="AN195" s="142" t="e">
        <f ca="1">GetCtData("PKAMOUNT","AMOUNT",$AN$11:$AN$18,$B195:$D195,AN$19:AN$20,"#0")</f>
        <v>#NAME?</v>
      </c>
      <c r="AO195" s="142" t="e">
        <f ca="1">GetCtData("PKAMOUNT","AMOUNT",$AO$11:$AO$18,$B195:$D195,AO$19:AO$20,"#10")</f>
        <v>#NAME?</v>
      </c>
      <c r="AP195" s="122"/>
      <c r="AQ195" s="142" t="e">
        <f ca="1">GetCtData("PKAMOUNT","AMOUNT",$AQ$11:$AQ$18,$B195:$D195,AQ$19:AQ$20,"#15")</f>
        <v>#NAME?</v>
      </c>
      <c r="AR195" s="142" t="e">
        <f t="shared" ca="1" si="216"/>
        <v>#NAME?</v>
      </c>
      <c r="AS195" s="142"/>
      <c r="AT195" s="142" t="e">
        <f ca="1">GetCtData("PKAMOUNT","AMOUNT",AT$11:AT$18,$B195:$D195,AT$19:AT$20,"#25")</f>
        <v>#NAME?</v>
      </c>
      <c r="AU195" s="142" t="e">
        <f t="shared" ca="1" si="217"/>
        <v>#NAME?</v>
      </c>
      <c r="AV195" s="72"/>
      <c r="AW195" s="72" t="e">
        <f t="shared" ca="1" si="218"/>
        <v>#NAME?</v>
      </c>
      <c r="AX195" s="72" t="e">
        <f t="shared" ca="1" si="219"/>
        <v>#NAME?</v>
      </c>
      <c r="AY195" s="72"/>
      <c r="AZ195" s="72" t="e">
        <f t="shared" ca="1" si="220"/>
        <v>#NAME?</v>
      </c>
      <c r="BA195" s="72" t="e">
        <f t="shared" ca="1" si="221"/>
        <v>#NAME?</v>
      </c>
      <c r="BB195" s="72"/>
      <c r="BC195" s="72" t="e">
        <f t="shared" ca="1" si="222"/>
        <v>#NAME?</v>
      </c>
      <c r="BD195" s="72" t="e">
        <f t="shared" ca="1" si="196"/>
        <v>#NAME?</v>
      </c>
      <c r="BE195" s="72"/>
      <c r="BF195" s="72" t="e">
        <f t="shared" ca="1" si="223"/>
        <v>#NAME?</v>
      </c>
      <c r="BG195" s="72" t="e">
        <f t="shared" ca="1" si="198"/>
        <v>#NAME?</v>
      </c>
      <c r="BH195" s="72"/>
      <c r="BI195" s="72" t="e">
        <f t="shared" ca="1" si="224"/>
        <v>#NAME?</v>
      </c>
      <c r="BJ195" s="72" t="e">
        <f t="shared" ca="1" si="200"/>
        <v>#NAME?</v>
      </c>
      <c r="BK195" s="72"/>
      <c r="BL195" s="72" t="e">
        <f t="shared" ca="1" si="225"/>
        <v>#NAME?</v>
      </c>
      <c r="BM195" s="72" t="e">
        <f t="shared" ca="1" si="226"/>
        <v>#NAME?</v>
      </c>
      <c r="BN195" s="72"/>
      <c r="BO195" s="72" t="e">
        <f t="shared" ca="1" si="227"/>
        <v>#NAME?</v>
      </c>
      <c r="BP195" s="72" t="e">
        <f t="shared" ca="1" si="204"/>
        <v>#NAME?</v>
      </c>
      <c r="BQ195" s="72"/>
      <c r="BR195" s="72" t="e">
        <f t="shared" ca="1" si="228"/>
        <v>#NAME?</v>
      </c>
      <c r="BS195" s="72" t="e">
        <f ca="1">#REF!-BR195</f>
        <v>#REF!</v>
      </c>
    </row>
    <row r="196" spans="1:71" outlineLevel="1" x14ac:dyDescent="0.2">
      <c r="A196" s="82" t="s">
        <v>243</v>
      </c>
      <c r="B196" s="82" t="s">
        <v>392</v>
      </c>
      <c r="D196" s="82" t="s">
        <v>172</v>
      </c>
      <c r="E196" s="153" t="e">
        <f ca="1">GetCtLabel(B196,"CURINIT(AC)!LDESC","#Legal &amp; professional")</f>
        <v>#NAME?</v>
      </c>
      <c r="F196" s="130">
        <v>13</v>
      </c>
      <c r="G196" s="131"/>
      <c r="H196" s="130"/>
      <c r="I196" s="72"/>
      <c r="J196" s="72"/>
      <c r="K196" s="72"/>
      <c r="L196" s="72"/>
      <c r="M196" s="72"/>
      <c r="N196" s="130"/>
      <c r="O196" s="140">
        <f t="shared" si="213"/>
        <v>13</v>
      </c>
      <c r="P196" s="141">
        <f t="shared" si="229"/>
        <v>0</v>
      </c>
      <c r="Q196" s="141">
        <f t="shared" si="229"/>
        <v>0</v>
      </c>
      <c r="R196" s="133" t="e">
        <f t="shared" ca="1" si="232"/>
        <v>#NAME?</v>
      </c>
      <c r="S196" s="133" t="e">
        <f t="shared" ca="1" si="233"/>
        <v>#NAME?</v>
      </c>
      <c r="T196" s="134" t="e">
        <f t="shared" ca="1" si="234"/>
        <v>#NAME?</v>
      </c>
      <c r="U196" s="134" t="e">
        <f t="shared" ca="1" si="235"/>
        <v>#NAME?</v>
      </c>
      <c r="V196" s="144"/>
      <c r="W196" s="142"/>
      <c r="X196" s="142"/>
      <c r="Y196" s="122"/>
      <c r="Z196" s="135">
        <f>16+4</f>
        <v>20</v>
      </c>
      <c r="AA196" s="135"/>
      <c r="AB196" s="135">
        <f t="shared" si="136"/>
        <v>20</v>
      </c>
      <c r="AC196" s="135">
        <f t="shared" si="214"/>
        <v>-7</v>
      </c>
      <c r="AD196" s="122"/>
      <c r="AE196" s="142" t="e">
        <f ca="1">GetCtData("PKAMOUNT","AMOUNT",$AE$11:$AE$18,$B196:$D196,AE$19:AE$20,"#13")</f>
        <v>#NAME?</v>
      </c>
      <c r="AF196" s="142"/>
      <c r="AG196" s="142" t="e">
        <f t="shared" ca="1" si="212"/>
        <v>#NAME?</v>
      </c>
      <c r="AH196" s="143" t="e">
        <f t="shared" ca="1" si="211"/>
        <v>#NAME?</v>
      </c>
      <c r="AI196" s="128"/>
      <c r="AJ196" s="142" t="e">
        <f t="shared" ca="1" si="165"/>
        <v>#NAME?</v>
      </c>
      <c r="AK196" s="142" t="e">
        <f ca="1">GetCtData("PKAMOUNT","AMOUNT",$AK$11:$AK$18,$B196:$D196,AK$19:AK$20,"#2")</f>
        <v>#NAME?</v>
      </c>
      <c r="AL196" s="143" t="e">
        <f t="shared" ca="1" si="215"/>
        <v>#NAME?</v>
      </c>
      <c r="AM196" s="122"/>
      <c r="AN196" s="142" t="e">
        <f ca="1">GetCtData("PKAMOUNT","AMOUNT",$AN$11:$AN$18,$B196:$D196,AN$19:AN$20,"#2")</f>
        <v>#NAME?</v>
      </c>
      <c r="AO196" s="142" t="e">
        <f ca="1">GetCtData("PKAMOUNT","AMOUNT",$AO$11:$AO$18,$B196:$D196,AO$19:AO$20,"#11")</f>
        <v>#NAME?</v>
      </c>
      <c r="AP196" s="122"/>
      <c r="AQ196" s="142" t="e">
        <f ca="1">GetCtData("PKAMOUNT","AMOUNT",$AQ$11:$AQ$18,$B196:$D196,AQ$19:AQ$20,"#14")</f>
        <v>#NAME?</v>
      </c>
      <c r="AR196" s="142" t="e">
        <f t="shared" ca="1" si="216"/>
        <v>#NAME?</v>
      </c>
      <c r="AS196" s="142"/>
      <c r="AT196" s="142" t="e">
        <f ca="1">GetCtData("PKAMOUNT","AMOUNT",AT$11:AT$18,$B196:$D196,AT$19:AT$20,"#5")</f>
        <v>#NAME?</v>
      </c>
      <c r="AU196" s="142" t="e">
        <f t="shared" ca="1" si="217"/>
        <v>#NAME?</v>
      </c>
      <c r="AV196" s="72"/>
      <c r="AW196" s="72" t="e">
        <f t="shared" ca="1" si="218"/>
        <v>#NAME?</v>
      </c>
      <c r="AX196" s="72" t="e">
        <f t="shared" ca="1" si="219"/>
        <v>#NAME?</v>
      </c>
      <c r="AY196" s="72"/>
      <c r="AZ196" s="72" t="e">
        <f t="shared" ca="1" si="220"/>
        <v>#NAME?</v>
      </c>
      <c r="BA196" s="72" t="e">
        <f t="shared" ca="1" si="221"/>
        <v>#NAME?</v>
      </c>
      <c r="BB196" s="72"/>
      <c r="BC196" s="72" t="e">
        <f t="shared" ca="1" si="222"/>
        <v>#NAME?</v>
      </c>
      <c r="BD196" s="72" t="e">
        <f t="shared" ca="1" si="196"/>
        <v>#NAME?</v>
      </c>
      <c r="BE196" s="72"/>
      <c r="BF196" s="72" t="e">
        <f t="shared" ca="1" si="223"/>
        <v>#NAME?</v>
      </c>
      <c r="BG196" s="72" t="e">
        <f t="shared" ca="1" si="198"/>
        <v>#NAME?</v>
      </c>
      <c r="BH196" s="72"/>
      <c r="BI196" s="72" t="e">
        <f t="shared" ca="1" si="224"/>
        <v>#NAME?</v>
      </c>
      <c r="BJ196" s="72" t="e">
        <f t="shared" ca="1" si="200"/>
        <v>#NAME?</v>
      </c>
      <c r="BK196" s="72"/>
      <c r="BL196" s="72" t="e">
        <f t="shared" ca="1" si="225"/>
        <v>#NAME?</v>
      </c>
      <c r="BM196" s="72" t="e">
        <f t="shared" ca="1" si="226"/>
        <v>#NAME?</v>
      </c>
      <c r="BN196" s="72"/>
      <c r="BO196" s="72" t="e">
        <f t="shared" ca="1" si="227"/>
        <v>#NAME?</v>
      </c>
      <c r="BP196" s="72" t="e">
        <f t="shared" ca="1" si="204"/>
        <v>#NAME?</v>
      </c>
      <c r="BQ196" s="72"/>
      <c r="BR196" s="72" t="e">
        <f t="shared" ca="1" si="228"/>
        <v>#NAME?</v>
      </c>
      <c r="BS196" s="72" t="e">
        <f ca="1">#REF!-BR196</f>
        <v>#REF!</v>
      </c>
    </row>
    <row r="197" spans="1:71" x14ac:dyDescent="0.2">
      <c r="A197" s="82" t="s">
        <v>243</v>
      </c>
      <c r="B197" s="82" t="s">
        <v>393</v>
      </c>
      <c r="D197" s="82" t="s">
        <v>172</v>
      </c>
      <c r="E197" s="74" t="e">
        <f ca="1">GetCtLabel(B197,"CURINIT(AC)!LDESC","#Insurance")</f>
        <v>#NAME?</v>
      </c>
      <c r="F197" s="130">
        <v>14</v>
      </c>
      <c r="G197" s="131"/>
      <c r="H197" s="130"/>
      <c r="I197" s="72"/>
      <c r="J197" s="72"/>
      <c r="K197" s="72">
        <v>-2</v>
      </c>
      <c r="L197" s="72"/>
      <c r="M197" s="72"/>
      <c r="N197" s="130"/>
      <c r="O197" s="140">
        <f t="shared" si="213"/>
        <v>12</v>
      </c>
      <c r="P197" s="141">
        <f t="shared" si="229"/>
        <v>2</v>
      </c>
      <c r="Q197" s="141">
        <f t="shared" si="229"/>
        <v>0</v>
      </c>
      <c r="R197" s="133" t="e">
        <f t="shared" ca="1" si="232"/>
        <v>#NAME?</v>
      </c>
      <c r="S197" s="133" t="e">
        <f t="shared" ca="1" si="233"/>
        <v>#NAME?</v>
      </c>
      <c r="T197" s="134" t="e">
        <f t="shared" ca="1" si="234"/>
        <v>#NAME?</v>
      </c>
      <c r="U197" s="134" t="e">
        <f t="shared" ca="1" si="235"/>
        <v>#NAME?</v>
      </c>
      <c r="V197" s="144"/>
      <c r="W197" s="142"/>
      <c r="X197" s="142"/>
      <c r="Y197" s="122"/>
      <c r="Z197" s="135">
        <f>5+1</f>
        <v>6</v>
      </c>
      <c r="AA197" s="135"/>
      <c r="AB197" s="135">
        <f t="shared" si="136"/>
        <v>6</v>
      </c>
      <c r="AC197" s="135">
        <f t="shared" si="214"/>
        <v>6</v>
      </c>
      <c r="AD197" s="122"/>
      <c r="AE197" s="142" t="e">
        <f ca="1">GetCtData("PKAMOUNT","AMOUNT",$AE$11:$AE$18,$B197:$D197,AE$19:AE$20,"#13")</f>
        <v>#NAME?</v>
      </c>
      <c r="AF197" s="142"/>
      <c r="AG197" s="142" t="e">
        <f t="shared" ca="1" si="212"/>
        <v>#NAME?</v>
      </c>
      <c r="AH197" s="143" t="e">
        <f t="shared" ca="1" si="211"/>
        <v>#NAME?</v>
      </c>
      <c r="AI197" s="128"/>
      <c r="AJ197" s="142" t="e">
        <f t="shared" ca="1" si="165"/>
        <v>#NAME?</v>
      </c>
      <c r="AK197" s="142" t="e">
        <f ca="1">GetCtData("PKAMOUNT","AMOUNT",$AK$11:$AK$18,$B197:$D197,AK$19:AK$20,"#2")</f>
        <v>#NAME?</v>
      </c>
      <c r="AL197" s="143" t="e">
        <f t="shared" ca="1" si="215"/>
        <v>#NAME?</v>
      </c>
      <c r="AM197" s="122"/>
      <c r="AN197" s="142" t="e">
        <f ca="1">GetCtData("PKAMOUNT","AMOUNT",$AN$11:$AN$18,$B197:$D197,AN$19:AN$20,"#2")</f>
        <v>#NAME?</v>
      </c>
      <c r="AO197" s="142" t="e">
        <f ca="1">GetCtData("PKAMOUNT","AMOUNT",$AO$11:$AO$18,$B197:$D197,AO$19:AO$20,"#11")</f>
        <v>#NAME?</v>
      </c>
      <c r="AP197" s="122"/>
      <c r="AQ197" s="142" t="e">
        <f ca="1">GetCtData("PKAMOUNT","AMOUNT",$AQ$11:$AQ$18,$B197:$D197,AQ$19:AQ$20,"#12")</f>
        <v>#NAME?</v>
      </c>
      <c r="AR197" s="142" t="e">
        <f t="shared" ca="1" si="216"/>
        <v>#NAME?</v>
      </c>
      <c r="AS197" s="142"/>
      <c r="AT197" s="142" t="e">
        <f ca="1">GetCtData("PKAMOUNT","AMOUNT",AT$11:AT$18,$B197:$D197,AT$19:AT$20,"#7")</f>
        <v>#NAME?</v>
      </c>
      <c r="AU197" s="142" t="e">
        <f t="shared" ca="1" si="217"/>
        <v>#NAME?</v>
      </c>
      <c r="AV197" s="72"/>
      <c r="AW197" s="72" t="e">
        <f t="shared" ca="1" si="218"/>
        <v>#NAME?</v>
      </c>
      <c r="AX197" s="72" t="e">
        <f t="shared" ca="1" si="219"/>
        <v>#NAME?</v>
      </c>
      <c r="AY197" s="72"/>
      <c r="AZ197" s="72" t="e">
        <f t="shared" ca="1" si="220"/>
        <v>#NAME?</v>
      </c>
      <c r="BA197" s="72" t="e">
        <f t="shared" ca="1" si="221"/>
        <v>#NAME?</v>
      </c>
      <c r="BB197" s="72"/>
      <c r="BC197" s="72" t="e">
        <f t="shared" ca="1" si="222"/>
        <v>#NAME?</v>
      </c>
      <c r="BD197" s="72" t="e">
        <f t="shared" ca="1" si="196"/>
        <v>#NAME?</v>
      </c>
      <c r="BE197" s="72"/>
      <c r="BF197" s="72" t="e">
        <f t="shared" ca="1" si="223"/>
        <v>#NAME?</v>
      </c>
      <c r="BG197" s="72" t="e">
        <f t="shared" ca="1" si="198"/>
        <v>#NAME?</v>
      </c>
      <c r="BH197" s="72"/>
      <c r="BI197" s="72" t="e">
        <f t="shared" ca="1" si="224"/>
        <v>#NAME?</v>
      </c>
      <c r="BJ197" s="72" t="e">
        <f t="shared" ca="1" si="200"/>
        <v>#NAME?</v>
      </c>
      <c r="BK197" s="72"/>
      <c r="BL197" s="72" t="e">
        <f t="shared" ca="1" si="225"/>
        <v>#NAME?</v>
      </c>
      <c r="BM197" s="72" t="e">
        <f t="shared" ca="1" si="226"/>
        <v>#NAME?</v>
      </c>
      <c r="BN197" s="72"/>
      <c r="BO197" s="72" t="e">
        <f t="shared" ca="1" si="227"/>
        <v>#NAME?</v>
      </c>
      <c r="BP197" s="72" t="e">
        <f t="shared" ca="1" si="204"/>
        <v>#NAME?</v>
      </c>
      <c r="BQ197" s="72"/>
      <c r="BR197" s="72" t="e">
        <f t="shared" ca="1" si="228"/>
        <v>#NAME?</v>
      </c>
      <c r="BS197" s="72" t="e">
        <f ca="1">#REF!-BR197</f>
        <v>#REF!</v>
      </c>
    </row>
    <row r="198" spans="1:71" x14ac:dyDescent="0.2">
      <c r="A198" s="82" t="s">
        <v>243</v>
      </c>
      <c r="B198" s="82" t="s">
        <v>394</v>
      </c>
      <c r="D198" s="82" t="s">
        <v>172</v>
      </c>
      <c r="E198" s="74" t="e">
        <f ca="1">GetCtLabel(B198,"CURINIT(AC)!LDESC","#Bank charges")</f>
        <v>#NAME?</v>
      </c>
      <c r="F198" s="130">
        <v>6</v>
      </c>
      <c r="G198" s="131">
        <v>1</v>
      </c>
      <c r="H198" s="130"/>
      <c r="I198" s="72"/>
      <c r="J198" s="72"/>
      <c r="K198" s="72">
        <v>-1</v>
      </c>
      <c r="L198" s="72"/>
      <c r="M198" s="72"/>
      <c r="N198" s="130"/>
      <c r="O198" s="140">
        <f t="shared" si="213"/>
        <v>6</v>
      </c>
      <c r="P198" s="141">
        <f t="shared" si="229"/>
        <v>1</v>
      </c>
      <c r="Q198" s="141">
        <f t="shared" si="229"/>
        <v>0</v>
      </c>
      <c r="R198" s="133" t="e">
        <f t="shared" ca="1" si="232"/>
        <v>#NAME?</v>
      </c>
      <c r="S198" s="133" t="e">
        <f t="shared" ca="1" si="233"/>
        <v>#NAME?</v>
      </c>
      <c r="T198" s="134" t="e">
        <f t="shared" ca="1" si="234"/>
        <v>#NAME?</v>
      </c>
      <c r="U198" s="134" t="e">
        <f t="shared" ca="1" si="235"/>
        <v>#NAME?</v>
      </c>
      <c r="V198" s="144"/>
      <c r="W198" s="142"/>
      <c r="X198" s="142"/>
      <c r="Y198" s="122"/>
      <c r="Z198" s="135">
        <v>3</v>
      </c>
      <c r="AA198" s="135"/>
      <c r="AB198" s="135">
        <f t="shared" si="136"/>
        <v>3</v>
      </c>
      <c r="AC198" s="135">
        <f t="shared" si="214"/>
        <v>3</v>
      </c>
      <c r="AD198" s="122"/>
      <c r="AE198" s="142" t="e">
        <f ca="1">GetCtData("PKAMOUNT","AMOUNT",$AE$11:$AE$18,$B198:$D198,AE$19:AE$20,"#6")</f>
        <v>#NAME?</v>
      </c>
      <c r="AF198" s="142"/>
      <c r="AG198" s="142" t="e">
        <f t="shared" ca="1" si="212"/>
        <v>#NAME?</v>
      </c>
      <c r="AH198" s="143" t="e">
        <f t="shared" ca="1" si="211"/>
        <v>#NAME?</v>
      </c>
      <c r="AI198" s="128"/>
      <c r="AJ198" s="142" t="e">
        <f t="shared" ca="1" si="165"/>
        <v>#NAME?</v>
      </c>
      <c r="AK198" s="142" t="e">
        <f ca="1">GetCtData("PKAMOUNT","AMOUNT",$AK$11:$AK$18,$B198:$D198,AK$19:AK$20,"#1")</f>
        <v>#NAME?</v>
      </c>
      <c r="AL198" s="143" t="e">
        <f t="shared" ca="1" si="215"/>
        <v>#NAME?</v>
      </c>
      <c r="AM198" s="122"/>
      <c r="AN198" s="142" t="e">
        <f ca="1">GetCtData("PKAMOUNT","AMOUNT",$AN$11:$AN$18,$B198:$D198,AN$19:AN$20,"#1")</f>
        <v>#NAME?</v>
      </c>
      <c r="AO198" s="142" t="e">
        <f ca="1">GetCtData("PKAMOUNT","AMOUNT",$AO$11:$AO$18,$B198:$D198,AO$19:AO$20,"#5")</f>
        <v>#NAME?</v>
      </c>
      <c r="AP198" s="122"/>
      <c r="AQ198" s="142" t="e">
        <f ca="1">GetCtData("PKAMOUNT","AMOUNT",$AQ$11:$AQ$18,$B198:$D198,AQ$19:AQ$20,"#6")</f>
        <v>#NAME?</v>
      </c>
      <c r="AR198" s="142" t="e">
        <f t="shared" ca="1" si="216"/>
        <v>#NAME?</v>
      </c>
      <c r="AS198" s="142"/>
      <c r="AT198" s="142" t="e">
        <f ca="1">GetCtData("PKAMOUNT","AMOUNT",AT$11:AT$18,$B198:$D198,AT$19:AT$20,"#4")</f>
        <v>#NAME?</v>
      </c>
      <c r="AU198" s="142" t="e">
        <f t="shared" ca="1" si="217"/>
        <v>#NAME?</v>
      </c>
      <c r="AV198" s="72"/>
      <c r="AW198" s="72" t="e">
        <f t="shared" ca="1" si="218"/>
        <v>#NAME?</v>
      </c>
      <c r="AX198" s="72" t="e">
        <f t="shared" ca="1" si="219"/>
        <v>#NAME?</v>
      </c>
      <c r="AY198" s="72"/>
      <c r="AZ198" s="72" t="e">
        <f t="shared" ca="1" si="220"/>
        <v>#NAME?</v>
      </c>
      <c r="BA198" s="72" t="e">
        <f t="shared" ca="1" si="221"/>
        <v>#NAME?</v>
      </c>
      <c r="BB198" s="72"/>
      <c r="BC198" s="72" t="e">
        <f t="shared" ca="1" si="222"/>
        <v>#NAME?</v>
      </c>
      <c r="BD198" s="72" t="e">
        <f t="shared" ca="1" si="196"/>
        <v>#NAME?</v>
      </c>
      <c r="BE198" s="72"/>
      <c r="BF198" s="72" t="e">
        <f t="shared" ca="1" si="223"/>
        <v>#NAME?</v>
      </c>
      <c r="BG198" s="72" t="e">
        <f t="shared" ca="1" si="198"/>
        <v>#NAME?</v>
      </c>
      <c r="BH198" s="72"/>
      <c r="BI198" s="72" t="e">
        <f t="shared" ca="1" si="224"/>
        <v>#NAME?</v>
      </c>
      <c r="BJ198" s="72" t="e">
        <f t="shared" ca="1" si="200"/>
        <v>#NAME?</v>
      </c>
      <c r="BK198" s="72"/>
      <c r="BL198" s="72" t="e">
        <f t="shared" ca="1" si="225"/>
        <v>#NAME?</v>
      </c>
      <c r="BM198" s="72" t="e">
        <f t="shared" ca="1" si="226"/>
        <v>#NAME?</v>
      </c>
      <c r="BN198" s="72"/>
      <c r="BO198" s="72" t="e">
        <f t="shared" ca="1" si="227"/>
        <v>#NAME?</v>
      </c>
      <c r="BP198" s="72" t="e">
        <f t="shared" ca="1" si="204"/>
        <v>#NAME?</v>
      </c>
      <c r="BQ198" s="72"/>
      <c r="BR198" s="72" t="e">
        <f t="shared" ca="1" si="228"/>
        <v>#NAME?</v>
      </c>
      <c r="BS198" s="72" t="e">
        <f ca="1">#REF!-BR198</f>
        <v>#REF!</v>
      </c>
    </row>
    <row r="199" spans="1:71" x14ac:dyDescent="0.2">
      <c r="A199" s="82" t="s">
        <v>243</v>
      </c>
      <c r="B199" s="82" t="s">
        <v>395</v>
      </c>
      <c r="D199" s="82" t="s">
        <v>172</v>
      </c>
      <c r="E199" s="74" t="e">
        <f ca="1">GetCtLabel(B199,"CURINIT(AC)!LDESC","#External exchange (gains)/losses")</f>
        <v>#NAME?</v>
      </c>
      <c r="F199" s="130"/>
      <c r="G199" s="131"/>
      <c r="H199" s="130"/>
      <c r="I199" s="72"/>
      <c r="J199" s="72"/>
      <c r="K199" s="72"/>
      <c r="L199" s="72"/>
      <c r="M199" s="72"/>
      <c r="N199" s="130"/>
      <c r="O199" s="140">
        <f t="shared" si="213"/>
        <v>0</v>
      </c>
      <c r="P199" s="141">
        <f t="shared" si="229"/>
        <v>0</v>
      </c>
      <c r="Q199" s="141">
        <f t="shared" si="229"/>
        <v>0</v>
      </c>
      <c r="R199" s="133" t="e">
        <f t="shared" ca="1" si="232"/>
        <v>#NAME?</v>
      </c>
      <c r="S199" s="133" t="e">
        <f t="shared" ca="1" si="233"/>
        <v>#NAME?</v>
      </c>
      <c r="T199" s="134" t="e">
        <f t="shared" ca="1" si="234"/>
        <v>#NAME?</v>
      </c>
      <c r="U199" s="134" t="e">
        <f t="shared" ca="1" si="235"/>
        <v>#NAME?</v>
      </c>
      <c r="V199" s="144"/>
      <c r="W199" s="142"/>
      <c r="X199" s="142"/>
      <c r="Y199" s="122"/>
      <c r="Z199" s="135"/>
      <c r="AA199" s="135"/>
      <c r="AB199" s="135">
        <f t="shared" si="136"/>
        <v>0</v>
      </c>
      <c r="AC199" s="135">
        <f t="shared" si="214"/>
        <v>0</v>
      </c>
      <c r="AD199" s="122"/>
      <c r="AE199" s="142" t="e">
        <f ca="1">GetCtData("PKAMOUNT","AMOUNT",$AE$11:$AE$18,$B199:$D199,AE$19:AE$20,"#0")</f>
        <v>#NAME?</v>
      </c>
      <c r="AF199" s="142"/>
      <c r="AG199" s="142" t="e">
        <f t="shared" ca="1" si="212"/>
        <v>#NAME?</v>
      </c>
      <c r="AH199" s="143" t="e">
        <f t="shared" ca="1" si="211"/>
        <v>#NAME?</v>
      </c>
      <c r="AI199" s="128"/>
      <c r="AJ199" s="142" t="e">
        <f t="shared" ca="1" si="165"/>
        <v>#NAME?</v>
      </c>
      <c r="AK199" s="142" t="e">
        <f ca="1">GetCtData("PKAMOUNT","AMOUNT",$AK$11:$AK$18,$B199:$D199,AK$19:AK$20,"#0")</f>
        <v>#NAME?</v>
      </c>
      <c r="AL199" s="143" t="e">
        <f t="shared" ca="1" si="215"/>
        <v>#NAME?</v>
      </c>
      <c r="AM199" s="122"/>
      <c r="AN199" s="142" t="e">
        <f ca="1">GetCtData("PKAMOUNT","AMOUNT",$AN$11:$AN$18,$B199:$D199,AN$19:AN$20,"#0")</f>
        <v>#NAME?</v>
      </c>
      <c r="AO199" s="142" t="e">
        <f ca="1">GetCtData("PKAMOUNT","AMOUNT",$AO$11:$AO$18,$B199:$D199,AO$19:AO$20,"#0")</f>
        <v>#NAME?</v>
      </c>
      <c r="AP199" s="122"/>
      <c r="AQ199" s="142" t="e">
        <f ca="1">GetCtData("PKAMOUNT","AMOUNT",$AQ$11:$AQ$18,$B199:$D199,AQ$19:AQ$20,"#0")</f>
        <v>#NAME?</v>
      </c>
      <c r="AR199" s="142" t="e">
        <f t="shared" ca="1" si="216"/>
        <v>#NAME?</v>
      </c>
      <c r="AS199" s="142"/>
      <c r="AT199" s="142" t="e">
        <f ca="1">GetCtData("PKAMOUNT","AMOUNT",AT$11:AT$18,$B199:$D199,AT$19:AT$20,"#0")</f>
        <v>#NAME?</v>
      </c>
      <c r="AU199" s="142" t="e">
        <f t="shared" ca="1" si="217"/>
        <v>#NAME?</v>
      </c>
      <c r="AV199" s="72"/>
      <c r="AW199" s="72" t="e">
        <f t="shared" ca="1" si="218"/>
        <v>#NAME?</v>
      </c>
      <c r="AX199" s="72" t="e">
        <f t="shared" ca="1" si="219"/>
        <v>#NAME?</v>
      </c>
      <c r="AY199" s="72"/>
      <c r="AZ199" s="72" t="e">
        <f t="shared" ca="1" si="220"/>
        <v>#NAME?</v>
      </c>
      <c r="BA199" s="72" t="e">
        <f t="shared" ca="1" si="221"/>
        <v>#NAME?</v>
      </c>
      <c r="BB199" s="72"/>
      <c r="BC199" s="72" t="e">
        <f t="shared" ca="1" si="222"/>
        <v>#NAME?</v>
      </c>
      <c r="BD199" s="72" t="e">
        <f t="shared" ca="1" si="196"/>
        <v>#NAME?</v>
      </c>
      <c r="BE199" s="72"/>
      <c r="BF199" s="72" t="e">
        <f t="shared" ca="1" si="223"/>
        <v>#NAME?</v>
      </c>
      <c r="BG199" s="72" t="e">
        <f t="shared" ca="1" si="198"/>
        <v>#NAME?</v>
      </c>
      <c r="BH199" s="72"/>
      <c r="BI199" s="72" t="e">
        <f t="shared" ca="1" si="224"/>
        <v>#NAME?</v>
      </c>
      <c r="BJ199" s="72" t="e">
        <f t="shared" ca="1" si="200"/>
        <v>#NAME?</v>
      </c>
      <c r="BK199" s="72"/>
      <c r="BL199" s="72" t="e">
        <f t="shared" ca="1" si="225"/>
        <v>#NAME?</v>
      </c>
      <c r="BM199" s="72" t="e">
        <f t="shared" ca="1" si="226"/>
        <v>#NAME?</v>
      </c>
      <c r="BN199" s="72"/>
      <c r="BO199" s="72" t="e">
        <f t="shared" ca="1" si="227"/>
        <v>#NAME?</v>
      </c>
      <c r="BP199" s="72" t="e">
        <f t="shared" ca="1" si="204"/>
        <v>#NAME?</v>
      </c>
      <c r="BQ199" s="72"/>
      <c r="BR199" s="72" t="e">
        <f t="shared" ca="1" si="228"/>
        <v>#NAME?</v>
      </c>
      <c r="BS199" s="72" t="e">
        <f ca="1">#REF!-BR199</f>
        <v>#REF!</v>
      </c>
    </row>
    <row r="200" spans="1:71" outlineLevel="1" x14ac:dyDescent="0.2">
      <c r="A200" s="82" t="s">
        <v>243</v>
      </c>
      <c r="B200" s="82" t="s">
        <v>396</v>
      </c>
      <c r="D200" s="82" t="s">
        <v>172</v>
      </c>
      <c r="E200" s="74" t="e">
        <f ca="1">GetCtLabel(B200,"CURINIT(AC)!LDESC","#Outsourced payroll costs")</f>
        <v>#NAME?</v>
      </c>
      <c r="F200" s="130"/>
      <c r="G200" s="131"/>
      <c r="H200" s="130"/>
      <c r="I200" s="72"/>
      <c r="J200" s="72"/>
      <c r="K200" s="72"/>
      <c r="L200" s="72"/>
      <c r="M200" s="72"/>
      <c r="N200" s="130"/>
      <c r="O200" s="140">
        <f t="shared" si="213"/>
        <v>0</v>
      </c>
      <c r="P200" s="141">
        <f t="shared" si="229"/>
        <v>0</v>
      </c>
      <c r="Q200" s="141">
        <f t="shared" si="229"/>
        <v>0</v>
      </c>
      <c r="R200" s="133" t="e">
        <f t="shared" ca="1" si="232"/>
        <v>#NAME?</v>
      </c>
      <c r="S200" s="133" t="e">
        <f t="shared" ca="1" si="233"/>
        <v>#NAME?</v>
      </c>
      <c r="T200" s="134" t="e">
        <f t="shared" ca="1" si="234"/>
        <v>#NAME?</v>
      </c>
      <c r="U200" s="134" t="e">
        <f t="shared" ca="1" si="235"/>
        <v>#NAME?</v>
      </c>
      <c r="V200" s="144"/>
      <c r="W200" s="142"/>
      <c r="X200" s="142"/>
      <c r="Y200" s="122"/>
      <c r="Z200" s="135"/>
      <c r="AA200" s="135"/>
      <c r="AB200" s="135">
        <f t="shared" si="136"/>
        <v>0</v>
      </c>
      <c r="AC200" s="135">
        <f t="shared" si="214"/>
        <v>0</v>
      </c>
      <c r="AD200" s="122"/>
      <c r="AE200" s="142" t="e">
        <f ca="1">GetCtData("PKAMOUNT","AMOUNT",$AE$11:$AE$18,$B200:$D200,AE$19:AE$20,"#0")</f>
        <v>#NAME?</v>
      </c>
      <c r="AF200" s="142"/>
      <c r="AG200" s="142" t="e">
        <f t="shared" ca="1" si="212"/>
        <v>#NAME?</v>
      </c>
      <c r="AH200" s="143" t="e">
        <f t="shared" ca="1" si="211"/>
        <v>#NAME?</v>
      </c>
      <c r="AI200" s="128"/>
      <c r="AJ200" s="142" t="e">
        <f t="shared" ca="1" si="165"/>
        <v>#NAME?</v>
      </c>
      <c r="AK200" s="142" t="e">
        <f ca="1">GetCtData("PKAMOUNT","AMOUNT",$AK$11:$AK$18,$B200:$D200,AK$19:AK$20,"#0")</f>
        <v>#NAME?</v>
      </c>
      <c r="AL200" s="143" t="e">
        <f t="shared" ca="1" si="215"/>
        <v>#NAME?</v>
      </c>
      <c r="AM200" s="122"/>
      <c r="AN200" s="142" t="e">
        <f ca="1">GetCtData("PKAMOUNT","AMOUNT",$AN$11:$AN$18,$B200:$D200,AN$19:AN$20,"#0")</f>
        <v>#NAME?</v>
      </c>
      <c r="AO200" s="142" t="e">
        <f ca="1">GetCtData("PKAMOUNT","AMOUNT",$AO$11:$AO$18,$B200:$D200,AO$19:AO$20,"#0")</f>
        <v>#NAME?</v>
      </c>
      <c r="AP200" s="122"/>
      <c r="AQ200" s="142" t="e">
        <f ca="1">GetCtData("PKAMOUNT","AMOUNT",$AQ$11:$AQ$18,$B200:$D200,AQ$19:AQ$20,"#0")</f>
        <v>#NAME?</v>
      </c>
      <c r="AR200" s="142" t="e">
        <f t="shared" ca="1" si="216"/>
        <v>#NAME?</v>
      </c>
      <c r="AS200" s="142"/>
      <c r="AT200" s="142" t="e">
        <f ca="1">GetCtData("PKAMOUNT","AMOUNT",AT$11:AT$18,$B200:$D200,AT$19:AT$20,"#0")</f>
        <v>#NAME?</v>
      </c>
      <c r="AU200" s="142" t="e">
        <f t="shared" ca="1" si="217"/>
        <v>#NAME?</v>
      </c>
      <c r="AV200" s="72"/>
      <c r="AW200" s="72" t="e">
        <f t="shared" ca="1" si="218"/>
        <v>#NAME?</v>
      </c>
      <c r="AX200" s="72" t="e">
        <f t="shared" ca="1" si="219"/>
        <v>#NAME?</v>
      </c>
      <c r="AY200" s="72"/>
      <c r="AZ200" s="72" t="e">
        <f t="shared" ca="1" si="220"/>
        <v>#NAME?</v>
      </c>
      <c r="BA200" s="72" t="e">
        <f t="shared" ca="1" si="221"/>
        <v>#NAME?</v>
      </c>
      <c r="BB200" s="72"/>
      <c r="BC200" s="72" t="e">
        <f t="shared" ca="1" si="222"/>
        <v>#NAME?</v>
      </c>
      <c r="BD200" s="72" t="e">
        <f t="shared" ca="1" si="196"/>
        <v>#NAME?</v>
      </c>
      <c r="BE200" s="72"/>
      <c r="BF200" s="72" t="e">
        <f t="shared" ca="1" si="223"/>
        <v>#NAME?</v>
      </c>
      <c r="BG200" s="72" t="e">
        <f t="shared" ca="1" si="198"/>
        <v>#NAME?</v>
      </c>
      <c r="BH200" s="72"/>
      <c r="BI200" s="72" t="e">
        <f t="shared" ca="1" si="224"/>
        <v>#NAME?</v>
      </c>
      <c r="BJ200" s="72" t="e">
        <f t="shared" ca="1" si="200"/>
        <v>#NAME?</v>
      </c>
      <c r="BK200" s="72"/>
      <c r="BL200" s="72" t="e">
        <f t="shared" ca="1" si="225"/>
        <v>#NAME?</v>
      </c>
      <c r="BM200" s="72" t="e">
        <f t="shared" ca="1" si="226"/>
        <v>#NAME?</v>
      </c>
      <c r="BN200" s="72"/>
      <c r="BO200" s="72" t="e">
        <f t="shared" ca="1" si="227"/>
        <v>#NAME?</v>
      </c>
      <c r="BP200" s="72" t="e">
        <f t="shared" ca="1" si="204"/>
        <v>#NAME?</v>
      </c>
      <c r="BQ200" s="72"/>
      <c r="BR200" s="72" t="e">
        <f t="shared" ca="1" si="228"/>
        <v>#NAME?</v>
      </c>
      <c r="BS200" s="72" t="e">
        <f ca="1">#REF!-BR200</f>
        <v>#REF!</v>
      </c>
    </row>
    <row r="201" spans="1:71" outlineLevel="1" x14ac:dyDescent="0.2">
      <c r="A201" s="82" t="s">
        <v>243</v>
      </c>
      <c r="B201" s="82" t="s">
        <v>397</v>
      </c>
      <c r="D201" s="82" t="s">
        <v>172</v>
      </c>
      <c r="E201" s="74" t="e">
        <f ca="1">GetCtLabel(B201,"CURINIT(AC)!LDESC","#External Recharges")</f>
        <v>#NAME?</v>
      </c>
      <c r="F201" s="130"/>
      <c r="G201" s="131"/>
      <c r="H201" s="130"/>
      <c r="I201" s="72"/>
      <c r="J201" s="72"/>
      <c r="K201" s="72"/>
      <c r="L201" s="72"/>
      <c r="M201" s="72"/>
      <c r="N201" s="130"/>
      <c r="O201" s="140">
        <f t="shared" si="213"/>
        <v>0</v>
      </c>
      <c r="P201" s="141">
        <f t="shared" si="229"/>
        <v>0</v>
      </c>
      <c r="Q201" s="141">
        <f t="shared" si="229"/>
        <v>0</v>
      </c>
      <c r="R201" s="133" t="e">
        <f t="shared" ca="1" si="232"/>
        <v>#NAME?</v>
      </c>
      <c r="S201" s="133" t="e">
        <f t="shared" ca="1" si="233"/>
        <v>#NAME?</v>
      </c>
      <c r="T201" s="134" t="e">
        <f t="shared" ca="1" si="234"/>
        <v>#NAME?</v>
      </c>
      <c r="U201" s="134" t="e">
        <f t="shared" ca="1" si="235"/>
        <v>#NAME?</v>
      </c>
      <c r="V201" s="144"/>
      <c r="W201" s="142"/>
      <c r="X201" s="142"/>
      <c r="Y201" s="122"/>
      <c r="Z201" s="135"/>
      <c r="AA201" s="135"/>
      <c r="AB201" s="135">
        <f t="shared" si="136"/>
        <v>0</v>
      </c>
      <c r="AC201" s="135">
        <f t="shared" si="214"/>
        <v>0</v>
      </c>
      <c r="AD201" s="122"/>
      <c r="AE201" s="142" t="e">
        <f ca="1">GetCtData("PKAMOUNT","AMOUNT",$AE$11:$AE$18,$B201:$D201,AE$19:AE$20,"#0")</f>
        <v>#NAME?</v>
      </c>
      <c r="AF201" s="142"/>
      <c r="AG201" s="142" t="e">
        <f t="shared" ca="1" si="212"/>
        <v>#NAME?</v>
      </c>
      <c r="AH201" s="143" t="e">
        <f t="shared" ca="1" si="211"/>
        <v>#NAME?</v>
      </c>
      <c r="AI201" s="128"/>
      <c r="AJ201" s="142" t="e">
        <f t="shared" ca="1" si="165"/>
        <v>#NAME?</v>
      </c>
      <c r="AK201" s="142" t="e">
        <f ca="1">GetCtData("PKAMOUNT","AMOUNT",$AK$11:$AK$18,$B201:$D201,AK$19:AK$20,"#0")</f>
        <v>#NAME?</v>
      </c>
      <c r="AL201" s="143" t="e">
        <f t="shared" ca="1" si="215"/>
        <v>#NAME?</v>
      </c>
      <c r="AM201" s="122"/>
      <c r="AN201" s="142" t="e">
        <f ca="1">GetCtData("PKAMOUNT","AMOUNT",$AN$11:$AN$18,$B201:$D201,AN$19:AN$20,"#0")</f>
        <v>#NAME?</v>
      </c>
      <c r="AO201" s="142" t="e">
        <f ca="1">GetCtData("PKAMOUNT","AMOUNT",$AO$11:$AO$18,$B201:$D201,AO$19:AO$20,"#0")</f>
        <v>#NAME?</v>
      </c>
      <c r="AP201" s="122"/>
      <c r="AQ201" s="142" t="e">
        <f ca="1">GetCtData("PKAMOUNT","AMOUNT",$AQ$11:$AQ$18,$B201:$D201,AQ$19:AQ$20,"#0")</f>
        <v>#NAME?</v>
      </c>
      <c r="AR201" s="142" t="e">
        <f t="shared" ca="1" si="216"/>
        <v>#NAME?</v>
      </c>
      <c r="AS201" s="142"/>
      <c r="AT201" s="142" t="e">
        <f ca="1">GetCtData("PKAMOUNT","AMOUNT",AT$11:AT$18,$B201:$D201,AT$19:AT$20,"#0")</f>
        <v>#NAME?</v>
      </c>
      <c r="AU201" s="142" t="e">
        <f t="shared" ca="1" si="217"/>
        <v>#NAME?</v>
      </c>
      <c r="AV201" s="72"/>
      <c r="AW201" s="72" t="e">
        <f t="shared" ca="1" si="218"/>
        <v>#NAME?</v>
      </c>
      <c r="AX201" s="72" t="e">
        <f t="shared" ca="1" si="219"/>
        <v>#NAME?</v>
      </c>
      <c r="AY201" s="72"/>
      <c r="AZ201" s="72" t="e">
        <f t="shared" ca="1" si="220"/>
        <v>#NAME?</v>
      </c>
      <c r="BA201" s="72" t="e">
        <f t="shared" ca="1" si="221"/>
        <v>#NAME?</v>
      </c>
      <c r="BB201" s="72"/>
      <c r="BC201" s="72" t="e">
        <f t="shared" ca="1" si="222"/>
        <v>#NAME?</v>
      </c>
      <c r="BD201" s="72" t="e">
        <f t="shared" ca="1" si="196"/>
        <v>#NAME?</v>
      </c>
      <c r="BE201" s="72"/>
      <c r="BF201" s="72" t="e">
        <f t="shared" ca="1" si="223"/>
        <v>#NAME?</v>
      </c>
      <c r="BG201" s="72" t="e">
        <f t="shared" ca="1" si="198"/>
        <v>#NAME?</v>
      </c>
      <c r="BH201" s="72"/>
      <c r="BI201" s="72" t="e">
        <f t="shared" ca="1" si="224"/>
        <v>#NAME?</v>
      </c>
      <c r="BJ201" s="72" t="e">
        <f t="shared" ca="1" si="200"/>
        <v>#NAME?</v>
      </c>
      <c r="BK201" s="72"/>
      <c r="BL201" s="72" t="e">
        <f t="shared" ca="1" si="225"/>
        <v>#NAME?</v>
      </c>
      <c r="BM201" s="72" t="e">
        <f t="shared" ca="1" si="226"/>
        <v>#NAME?</v>
      </c>
      <c r="BN201" s="72"/>
      <c r="BO201" s="72" t="e">
        <f t="shared" ca="1" si="227"/>
        <v>#NAME?</v>
      </c>
      <c r="BP201" s="72" t="e">
        <f t="shared" ca="1" si="204"/>
        <v>#NAME?</v>
      </c>
      <c r="BQ201" s="72"/>
      <c r="BR201" s="72" t="e">
        <f t="shared" ca="1" si="228"/>
        <v>#NAME?</v>
      </c>
      <c r="BS201" s="72" t="e">
        <f ca="1">#REF!-BR201</f>
        <v>#REF!</v>
      </c>
    </row>
    <row r="202" spans="1:71" x14ac:dyDescent="0.2">
      <c r="A202" s="82" t="s">
        <v>243</v>
      </c>
      <c r="B202" s="82" t="s">
        <v>398</v>
      </c>
      <c r="D202" s="82" t="s">
        <v>172</v>
      </c>
      <c r="E202" s="74" t="e">
        <f ca="1">GetCtLabel(B202,"CURINIT(AC)!LDESC","#Inter-company finance and general costs recharges")</f>
        <v>#NAME?</v>
      </c>
      <c r="F202" s="130"/>
      <c r="G202" s="131"/>
      <c r="H202" s="130"/>
      <c r="I202" s="72"/>
      <c r="J202" s="72"/>
      <c r="K202" s="72"/>
      <c r="L202" s="72"/>
      <c r="M202" s="72"/>
      <c r="N202" s="130"/>
      <c r="O202" s="140">
        <f t="shared" si="213"/>
        <v>0</v>
      </c>
      <c r="P202" s="141">
        <f t="shared" si="229"/>
        <v>0</v>
      </c>
      <c r="Q202" s="141">
        <f t="shared" si="229"/>
        <v>0</v>
      </c>
      <c r="R202" s="133" t="e">
        <f t="shared" ca="1" si="232"/>
        <v>#NAME?</v>
      </c>
      <c r="S202" s="133" t="e">
        <f t="shared" ca="1" si="233"/>
        <v>#NAME?</v>
      </c>
      <c r="T202" s="134" t="e">
        <f t="shared" ca="1" si="234"/>
        <v>#NAME?</v>
      </c>
      <c r="U202" s="134" t="e">
        <f t="shared" ca="1" si="235"/>
        <v>#NAME?</v>
      </c>
      <c r="V202" s="144"/>
      <c r="W202" s="142"/>
      <c r="X202" s="142"/>
      <c r="Y202" s="122"/>
      <c r="Z202" s="135"/>
      <c r="AA202" s="135"/>
      <c r="AB202" s="135">
        <f t="shared" si="136"/>
        <v>0</v>
      </c>
      <c r="AC202" s="135">
        <f t="shared" si="214"/>
        <v>0</v>
      </c>
      <c r="AD202" s="122"/>
      <c r="AE202" s="142" t="e">
        <f ca="1">GetCtData("PKAMOUNT","AMOUNT",$AE$11:$AE$18,$B202:$D202,AE$19:AE$20,"#")</f>
        <v>#NAME?</v>
      </c>
      <c r="AF202" s="142"/>
      <c r="AG202" s="142" t="e">
        <f t="shared" ca="1" si="212"/>
        <v>#NAME?</v>
      </c>
      <c r="AH202" s="143" t="e">
        <f t="shared" ca="1" si="211"/>
        <v>#NAME?</v>
      </c>
      <c r="AI202" s="128"/>
      <c r="AJ202" s="142" t="e">
        <f t="shared" ca="1" si="165"/>
        <v>#NAME?</v>
      </c>
      <c r="AK202" s="142" t="e">
        <f ca="1">GetCtData("PKAMOUNT","AMOUNT",$AK$11:$AK$18,$B202:$D202,AK$19:AK$20,"#")</f>
        <v>#NAME?</v>
      </c>
      <c r="AL202" s="143" t="e">
        <f t="shared" ca="1" si="215"/>
        <v>#NAME?</v>
      </c>
      <c r="AM202" s="122"/>
      <c r="AN202" s="142" t="e">
        <f ca="1">GetCtData("PKAMOUNT","AMOUNT",$AN$11:$AN$18,$B202:$D202,AN$19:AN$20,"#")</f>
        <v>#NAME?</v>
      </c>
      <c r="AO202" s="142" t="e">
        <f ca="1">GetCtData("PKAMOUNT","AMOUNT",$AO$11:$AO$18,$B202:$D202,AO$19:AO$20,"#")</f>
        <v>#NAME?</v>
      </c>
      <c r="AP202" s="122"/>
      <c r="AQ202" s="142" t="e">
        <f ca="1">GetCtData("PKAMOUNT","AMOUNT",$AQ$11:$AQ$18,$B202:$D202,AQ$19:AQ$20,"#")</f>
        <v>#NAME?</v>
      </c>
      <c r="AR202" s="142" t="e">
        <f t="shared" ca="1" si="216"/>
        <v>#NAME?</v>
      </c>
      <c r="AS202" s="142"/>
      <c r="AT202" s="142" t="e">
        <f ca="1">GetCtData("PKAMOUNT","AMOUNT",AT$11:AT$18,$B202:$D202,AT$19:AT$20,"#")</f>
        <v>#NAME?</v>
      </c>
      <c r="AU202" s="142" t="e">
        <f t="shared" ca="1" si="217"/>
        <v>#NAME?</v>
      </c>
      <c r="AV202" s="72"/>
      <c r="AW202" s="72" t="e">
        <f t="shared" ca="1" si="218"/>
        <v>#NAME?</v>
      </c>
      <c r="AX202" s="72" t="e">
        <f t="shared" ca="1" si="219"/>
        <v>#NAME?</v>
      </c>
      <c r="AY202" s="72"/>
      <c r="AZ202" s="72" t="e">
        <f t="shared" ca="1" si="220"/>
        <v>#NAME?</v>
      </c>
      <c r="BA202" s="72" t="e">
        <f t="shared" ca="1" si="221"/>
        <v>#NAME?</v>
      </c>
      <c r="BB202" s="72"/>
      <c r="BC202" s="72" t="e">
        <f t="shared" ca="1" si="222"/>
        <v>#NAME?</v>
      </c>
      <c r="BD202" s="72" t="e">
        <f t="shared" ca="1" si="196"/>
        <v>#NAME?</v>
      </c>
      <c r="BE202" s="72"/>
      <c r="BF202" s="72" t="e">
        <f t="shared" ca="1" si="223"/>
        <v>#NAME?</v>
      </c>
      <c r="BG202" s="72" t="e">
        <f t="shared" ca="1" si="198"/>
        <v>#NAME?</v>
      </c>
      <c r="BH202" s="72"/>
      <c r="BI202" s="72" t="e">
        <f t="shared" ca="1" si="224"/>
        <v>#NAME?</v>
      </c>
      <c r="BJ202" s="72" t="e">
        <f t="shared" ca="1" si="200"/>
        <v>#NAME?</v>
      </c>
      <c r="BK202" s="72"/>
      <c r="BL202" s="72" t="e">
        <f t="shared" ca="1" si="225"/>
        <v>#NAME?</v>
      </c>
      <c r="BM202" s="72" t="e">
        <f t="shared" ca="1" si="226"/>
        <v>#NAME?</v>
      </c>
      <c r="BN202" s="72"/>
      <c r="BO202" s="72" t="e">
        <f t="shared" ca="1" si="227"/>
        <v>#NAME?</v>
      </c>
      <c r="BP202" s="72" t="e">
        <f t="shared" ca="1" si="204"/>
        <v>#NAME?</v>
      </c>
      <c r="BQ202" s="72"/>
      <c r="BR202" s="72" t="e">
        <f t="shared" ca="1" si="228"/>
        <v>#NAME?</v>
      </c>
      <c r="BS202" s="72" t="e">
        <f ca="1">#REF!-BR202</f>
        <v>#REF!</v>
      </c>
    </row>
    <row r="203" spans="1:71" x14ac:dyDescent="0.2">
      <c r="A203" s="82" t="s">
        <v>243</v>
      </c>
      <c r="B203" s="82" t="s">
        <v>399</v>
      </c>
      <c r="D203" s="82" t="s">
        <v>172</v>
      </c>
      <c r="E203" s="74" t="e">
        <f ca="1">GetCtLabel(B203,"CURINIT(AC)!LDESC","#Other finance &amp; general costs")</f>
        <v>#NAME?</v>
      </c>
      <c r="F203" s="130">
        <v>22</v>
      </c>
      <c r="G203" s="131">
        <v>-1</v>
      </c>
      <c r="H203" s="130"/>
      <c r="I203" s="72"/>
      <c r="J203" s="72"/>
      <c r="K203" s="72">
        <f>-4-1</f>
        <v>-5</v>
      </c>
      <c r="L203" s="72">
        <v>4</v>
      </c>
      <c r="M203" s="72"/>
      <c r="N203" s="130"/>
      <c r="O203" s="140">
        <f t="shared" si="213"/>
        <v>20</v>
      </c>
      <c r="P203" s="141">
        <f t="shared" si="229"/>
        <v>5</v>
      </c>
      <c r="Q203" s="141">
        <f t="shared" si="229"/>
        <v>-4</v>
      </c>
      <c r="R203" s="133" t="e">
        <f t="shared" ca="1" si="232"/>
        <v>#NAME?</v>
      </c>
      <c r="S203" s="133" t="e">
        <f t="shared" ca="1" si="233"/>
        <v>#NAME?</v>
      </c>
      <c r="T203" s="134" t="e">
        <f t="shared" ca="1" si="234"/>
        <v>#NAME?</v>
      </c>
      <c r="U203" s="134" t="e">
        <f t="shared" ca="1" si="235"/>
        <v>#NAME?</v>
      </c>
      <c r="V203" s="144"/>
      <c r="W203" s="142"/>
      <c r="X203" s="142"/>
      <c r="Y203" s="122"/>
      <c r="Z203" s="135">
        <f>12+3</f>
        <v>15</v>
      </c>
      <c r="AA203" s="135"/>
      <c r="AB203" s="135">
        <f t="shared" si="136"/>
        <v>15</v>
      </c>
      <c r="AC203" s="135">
        <f t="shared" si="214"/>
        <v>5</v>
      </c>
      <c r="AD203" s="122"/>
      <c r="AE203" s="142" t="e">
        <f ca="1">GetCtData("PKAMOUNT","AMOUNT",$AE$11:$AE$18,$B203:$D203,AE$19:AE$20,"#18")</f>
        <v>#NAME?</v>
      </c>
      <c r="AF203" s="142"/>
      <c r="AG203" s="142" t="e">
        <f t="shared" ca="1" si="212"/>
        <v>#NAME?</v>
      </c>
      <c r="AH203" s="143" t="e">
        <f t="shared" ca="1" si="211"/>
        <v>#NAME?</v>
      </c>
      <c r="AI203" s="128"/>
      <c r="AJ203" s="142" t="e">
        <f t="shared" ca="1" si="165"/>
        <v>#NAME?</v>
      </c>
      <c r="AK203" s="142" t="e">
        <f ca="1">GetCtData("PKAMOUNT","AMOUNT",$AK$11:$AK$18,$B203:$D203,AK$19:AK$20,"#2")</f>
        <v>#NAME?</v>
      </c>
      <c r="AL203" s="143" t="e">
        <f t="shared" ca="1" si="215"/>
        <v>#NAME?</v>
      </c>
      <c r="AM203" s="122"/>
      <c r="AN203" s="142" t="e">
        <f ca="1">GetCtData("PKAMOUNT","AMOUNT",$AN$11:$AN$18,$B203:$D203,AN$19:AN$20,"#2")</f>
        <v>#NAME?</v>
      </c>
      <c r="AO203" s="142" t="e">
        <f ca="1">GetCtData("PKAMOUNT","AMOUNT",$AO$11:$AO$18,$B203:$D203,AO$19:AO$20,"#16")</f>
        <v>#NAME?</v>
      </c>
      <c r="AP203" s="122"/>
      <c r="AQ203" s="142" t="e">
        <f ca="1">GetCtData("PKAMOUNT","AMOUNT",$AQ$11:$AQ$18,$B203:$D203,AQ$19:AQ$20,"#21")</f>
        <v>#NAME?</v>
      </c>
      <c r="AR203" s="142" t="e">
        <f t="shared" ca="1" si="216"/>
        <v>#NAME?</v>
      </c>
      <c r="AS203" s="142"/>
      <c r="AT203" s="142" t="e">
        <f ca="1">GetCtData("PKAMOUNT","AMOUNT",AT$11:AT$18,$B203:$D203,AT$19:AT$20,"#21")</f>
        <v>#NAME?</v>
      </c>
      <c r="AU203" s="142" t="e">
        <f t="shared" ca="1" si="217"/>
        <v>#NAME?</v>
      </c>
      <c r="AV203" s="72"/>
      <c r="AW203" s="72" t="e">
        <f t="shared" ca="1" si="218"/>
        <v>#NAME?</v>
      </c>
      <c r="AX203" s="72" t="e">
        <f t="shared" ca="1" si="219"/>
        <v>#NAME?</v>
      </c>
      <c r="AY203" s="72"/>
      <c r="AZ203" s="72" t="e">
        <f t="shared" ca="1" si="220"/>
        <v>#NAME?</v>
      </c>
      <c r="BA203" s="72" t="e">
        <f t="shared" ca="1" si="221"/>
        <v>#NAME?</v>
      </c>
      <c r="BB203" s="72"/>
      <c r="BC203" s="72" t="e">
        <f t="shared" ca="1" si="222"/>
        <v>#NAME?</v>
      </c>
      <c r="BD203" s="72" t="e">
        <f t="shared" ca="1" si="196"/>
        <v>#NAME?</v>
      </c>
      <c r="BE203" s="72"/>
      <c r="BF203" s="72" t="e">
        <f t="shared" ca="1" si="223"/>
        <v>#NAME?</v>
      </c>
      <c r="BG203" s="72" t="e">
        <f t="shared" ca="1" si="198"/>
        <v>#NAME?</v>
      </c>
      <c r="BH203" s="72"/>
      <c r="BI203" s="72" t="e">
        <f t="shared" ca="1" si="224"/>
        <v>#NAME?</v>
      </c>
      <c r="BJ203" s="72" t="e">
        <f t="shared" ca="1" si="200"/>
        <v>#NAME?</v>
      </c>
      <c r="BK203" s="72"/>
      <c r="BL203" s="72" t="e">
        <f t="shared" ca="1" si="225"/>
        <v>#NAME?</v>
      </c>
      <c r="BM203" s="72" t="e">
        <f t="shared" ca="1" si="226"/>
        <v>#NAME?</v>
      </c>
      <c r="BN203" s="72"/>
      <c r="BO203" s="72" t="e">
        <f t="shared" ca="1" si="227"/>
        <v>#NAME?</v>
      </c>
      <c r="BP203" s="72" t="e">
        <f t="shared" ca="1" si="204"/>
        <v>#NAME?</v>
      </c>
      <c r="BQ203" s="72"/>
      <c r="BR203" s="72" t="e">
        <f t="shared" ca="1" si="228"/>
        <v>#NAME?</v>
      </c>
      <c r="BS203" s="72" t="e">
        <f ca="1">#REF!-BR203</f>
        <v>#REF!</v>
      </c>
    </row>
    <row r="204" spans="1:71" x14ac:dyDescent="0.2">
      <c r="A204" s="82" t="s">
        <v>243</v>
      </c>
      <c r="D204" s="82" t="s">
        <v>172</v>
      </c>
      <c r="E204" s="74" t="s">
        <v>400</v>
      </c>
      <c r="F204" s="130"/>
      <c r="G204" s="131"/>
      <c r="H204" s="130"/>
      <c r="I204" s="72"/>
      <c r="J204" s="72"/>
      <c r="K204" s="72"/>
      <c r="L204" s="72"/>
      <c r="M204" s="72"/>
      <c r="N204" s="130"/>
      <c r="O204" s="140">
        <f>SUM(F204:M204)</f>
        <v>0</v>
      </c>
      <c r="P204" s="141">
        <f t="shared" si="229"/>
        <v>0</v>
      </c>
      <c r="Q204" s="141">
        <f t="shared" si="229"/>
        <v>0</v>
      </c>
      <c r="R204" s="133" t="e">
        <f t="shared" ca="1" si="232"/>
        <v>#NAME?</v>
      </c>
      <c r="S204" s="133" t="e">
        <f t="shared" ca="1" si="233"/>
        <v>#NAME?</v>
      </c>
      <c r="T204" s="134" t="e">
        <f t="shared" ca="1" si="234"/>
        <v>#NAME?</v>
      </c>
      <c r="U204" s="134" t="e">
        <f t="shared" ca="1" si="235"/>
        <v>#NAME?</v>
      </c>
      <c r="V204" s="144"/>
      <c r="W204" s="142"/>
      <c r="X204" s="142"/>
      <c r="Y204" s="122"/>
      <c r="Z204" s="135"/>
      <c r="AA204" s="135"/>
      <c r="AB204" s="135">
        <f>Z204+AA204</f>
        <v>0</v>
      </c>
      <c r="AC204" s="135">
        <f t="shared" si="214"/>
        <v>0</v>
      </c>
      <c r="AD204" s="122"/>
      <c r="AE204" s="142">
        <v>0</v>
      </c>
      <c r="AF204" s="142"/>
      <c r="AG204" s="142">
        <f t="shared" si="212"/>
        <v>0</v>
      </c>
      <c r="AH204" s="143">
        <f t="shared" si="211"/>
        <v>0</v>
      </c>
      <c r="AI204" s="128"/>
      <c r="AJ204" s="142">
        <f t="shared" si="165"/>
        <v>0</v>
      </c>
      <c r="AK204" s="142"/>
      <c r="AL204" s="143"/>
      <c r="AM204" s="122"/>
      <c r="AN204" s="142"/>
      <c r="AO204" s="142"/>
      <c r="AP204" s="122"/>
      <c r="AQ204" s="142"/>
      <c r="AR204" s="142">
        <f t="shared" si="216"/>
        <v>0</v>
      </c>
      <c r="AS204" s="142"/>
      <c r="AT204" s="142"/>
      <c r="AU204" s="142"/>
      <c r="AV204" s="72"/>
      <c r="AW204" s="72"/>
      <c r="AX204" s="72"/>
      <c r="AY204" s="72"/>
      <c r="AZ204" s="72"/>
      <c r="BA204" s="72">
        <f t="shared" si="221"/>
        <v>0</v>
      </c>
      <c r="BB204" s="72"/>
      <c r="BC204" s="72"/>
      <c r="BD204" s="72">
        <f t="shared" si="196"/>
        <v>0</v>
      </c>
      <c r="BE204" s="72"/>
      <c r="BF204" s="72"/>
      <c r="BG204" s="72">
        <f t="shared" si="198"/>
        <v>0</v>
      </c>
      <c r="BH204" s="72"/>
      <c r="BI204" s="72"/>
      <c r="BJ204" s="72">
        <f t="shared" si="200"/>
        <v>0</v>
      </c>
      <c r="BK204" s="72"/>
      <c r="BL204" s="72"/>
      <c r="BM204" s="72">
        <f t="shared" si="226"/>
        <v>0</v>
      </c>
      <c r="BN204" s="72"/>
      <c r="BO204" s="72"/>
      <c r="BP204" s="72">
        <f t="shared" si="204"/>
        <v>0</v>
      </c>
      <c r="BQ204" s="72"/>
      <c r="BR204" s="72"/>
      <c r="BS204" s="72" t="e">
        <f>#REF!-BR204</f>
        <v>#REF!</v>
      </c>
    </row>
    <row r="205" spans="1:71" x14ac:dyDescent="0.2">
      <c r="E205" s="74"/>
      <c r="F205" s="130"/>
      <c r="G205" s="131"/>
      <c r="H205" s="130"/>
      <c r="I205" s="72"/>
      <c r="J205" s="72"/>
      <c r="K205" s="72"/>
      <c r="L205" s="72"/>
      <c r="M205" s="72"/>
      <c r="N205" s="130"/>
      <c r="O205" s="121"/>
      <c r="P205" s="141">
        <f t="shared" si="229"/>
        <v>0</v>
      </c>
      <c r="Q205" s="141"/>
      <c r="R205" s="122"/>
      <c r="S205" s="122"/>
      <c r="T205" s="122" t="e">
        <f ca="1">PutCtData("PKAMOUNT","AMOUNT",$T$11:$T$15,$B205,$T$18,$T$17,P205)</f>
        <v>#NAME?</v>
      </c>
      <c r="U205" s="122" t="e">
        <f ca="1">PutCtData("PKAMOUNT","AMOUNT",$U$11:$U$15,$B205,$U$18,$U$17,L205)</f>
        <v>#NAME?</v>
      </c>
      <c r="V205" s="144"/>
      <c r="W205" s="122"/>
      <c r="X205" s="122"/>
      <c r="Y205" s="122"/>
      <c r="Z205" s="135"/>
      <c r="AA205" s="135"/>
      <c r="AB205" s="135">
        <f t="shared" si="136"/>
        <v>0</v>
      </c>
      <c r="AC205" s="135"/>
      <c r="AD205" s="122"/>
      <c r="AE205" s="122"/>
      <c r="AF205" s="122"/>
      <c r="AG205" s="122">
        <f t="shared" si="212"/>
        <v>0</v>
      </c>
      <c r="AH205" s="136">
        <f t="shared" si="211"/>
        <v>0</v>
      </c>
      <c r="AI205" s="128"/>
      <c r="AJ205" s="122"/>
      <c r="AK205" s="122"/>
      <c r="AL205" s="136"/>
      <c r="AM205" s="122"/>
      <c r="AN205" s="122"/>
      <c r="AO205" s="122"/>
      <c r="AP205" s="122"/>
      <c r="AQ205" s="122"/>
      <c r="AR205" s="122"/>
      <c r="AS205" s="122"/>
      <c r="AT205" s="122"/>
      <c r="AU205" s="122"/>
      <c r="AV205" s="130"/>
      <c r="AW205" s="130"/>
      <c r="AX205" s="130"/>
      <c r="AY205" s="130"/>
      <c r="AZ205" s="130"/>
      <c r="BA205" s="130"/>
      <c r="BB205" s="130"/>
      <c r="BC205" s="130"/>
      <c r="BD205" s="130">
        <f t="shared" si="196"/>
        <v>0</v>
      </c>
      <c r="BE205" s="130"/>
      <c r="BF205" s="130"/>
      <c r="BG205" s="130">
        <f t="shared" si="198"/>
        <v>0</v>
      </c>
      <c r="BH205" s="130"/>
      <c r="BI205" s="130"/>
      <c r="BJ205" s="130">
        <f t="shared" si="200"/>
        <v>0</v>
      </c>
      <c r="BK205" s="130"/>
      <c r="BL205" s="130"/>
      <c r="BM205" s="130">
        <f>J205-BL205</f>
        <v>0</v>
      </c>
      <c r="BN205" s="130"/>
      <c r="BO205" s="130"/>
      <c r="BP205" s="130">
        <f t="shared" si="204"/>
        <v>0</v>
      </c>
      <c r="BQ205" s="130"/>
      <c r="BR205" s="130"/>
      <c r="BS205" s="130" t="e">
        <f>#REF!-BR205</f>
        <v>#REF!</v>
      </c>
    </row>
    <row r="206" spans="1:71" s="163" customFormat="1" x14ac:dyDescent="0.2">
      <c r="A206" s="146"/>
      <c r="B206" s="146" t="s">
        <v>401</v>
      </c>
      <c r="C206" s="146"/>
      <c r="D206" s="146"/>
      <c r="E206" s="147" t="e">
        <f ca="1">GetCtLabel(B206,"CURINIT(AC)!LDESC","#TOTAL FINANCE &amp; GENERAL COSTS")</f>
        <v>#NAME?</v>
      </c>
      <c r="F206" s="148">
        <f ca="1">SUMIF($A191:F204,"yes",F191:F204)</f>
        <v>90</v>
      </c>
      <c r="G206" s="148">
        <f ca="1">SUMIF($A191:G204,"yes",G191:G204)</f>
        <v>-2</v>
      </c>
      <c r="H206" s="148">
        <f ca="1">SUMIF($A191:H204,"yes",H191:H204)</f>
        <v>0</v>
      </c>
      <c r="I206" s="148">
        <f ca="1">SUMIF($A191:I204,"yes",I191:I204)</f>
        <v>0</v>
      </c>
      <c r="J206" s="148">
        <f ca="1">SUMIF($A191:J204,"yes",J191:J204)</f>
        <v>0</v>
      </c>
      <c r="K206" s="148">
        <f ca="1">SUMIF($A191:K204,"yes",K191:K204)</f>
        <v>-10</v>
      </c>
      <c r="L206" s="148">
        <f ca="1">SUMIF($A191:L204,"yes",L191:L204)</f>
        <v>4</v>
      </c>
      <c r="M206" s="148">
        <f ca="1">SUMIF($A191:M204,"yes",M191:M204)</f>
        <v>0</v>
      </c>
      <c r="N206" s="148"/>
      <c r="O206" s="149">
        <f ca="1">SUMIF($A191:O204,"yes",O191:O204)</f>
        <v>82</v>
      </c>
      <c r="P206" s="123">
        <f t="shared" ref="P206:BP206" si="236">SUM(P191:P204)</f>
        <v>10</v>
      </c>
      <c r="Q206" s="123"/>
      <c r="R206" s="148" t="e">
        <f ca="1">SUMIF($A191:R204,"yes",R191:R204)</f>
        <v>#NAME?</v>
      </c>
      <c r="S206" s="148" t="e">
        <f ca="1">SUMIF($A191:S204,"yes",S191:S204)</f>
        <v>#NAME?</v>
      </c>
      <c r="T206" s="148" t="e">
        <f ca="1">SUMIF($A191:T204,"yes",T191:T204)</f>
        <v>#NAME?</v>
      </c>
      <c r="U206" s="148" t="e">
        <f ca="1">SUMIF($A191:U204,"yes",U191:U204)</f>
        <v>#NAME?</v>
      </c>
      <c r="V206" s="144"/>
      <c r="W206" s="148">
        <f t="shared" si="236"/>
        <v>0</v>
      </c>
      <c r="X206" s="148">
        <f t="shared" si="236"/>
        <v>0</v>
      </c>
      <c r="Y206" s="136">
        <f t="shared" si="236"/>
        <v>0</v>
      </c>
      <c r="Z206" s="150">
        <f t="shared" si="236"/>
        <v>97</v>
      </c>
      <c r="AA206" s="150">
        <f t="shared" si="236"/>
        <v>0</v>
      </c>
      <c r="AB206" s="150">
        <f t="shared" si="236"/>
        <v>97</v>
      </c>
      <c r="AC206" s="150">
        <f t="shared" si="236"/>
        <v>11</v>
      </c>
      <c r="AD206" s="136">
        <f t="shared" si="236"/>
        <v>0</v>
      </c>
      <c r="AE206" s="148" t="e">
        <f ca="1">GetCtData("PKAMOUNT","AMOUNT",$AE$11:$AE$18,$B206:$D206,AE$19:AE$20,"#81")</f>
        <v>#NAME?</v>
      </c>
      <c r="AF206" s="148">
        <f t="shared" si="236"/>
        <v>0</v>
      </c>
      <c r="AG206" s="148" t="e">
        <f t="shared" ca="1" si="212"/>
        <v>#NAME?</v>
      </c>
      <c r="AH206" s="148" t="e">
        <f t="shared" ca="1" si="211"/>
        <v>#NAME?</v>
      </c>
      <c r="AI206" s="128">
        <f t="shared" si="236"/>
        <v>0</v>
      </c>
      <c r="AJ206" s="148" t="e">
        <f ca="1">O206-AO206</f>
        <v>#NAME?</v>
      </c>
      <c r="AK206" s="148" t="e">
        <f ca="1">GetCtData("PKAMOUNT","AMOUNT",$AK$11:$AK$18,$B206:$D206,AK$19:AK$20,"#13")</f>
        <v>#NAME?</v>
      </c>
      <c r="AL206" s="148" t="e">
        <f t="shared" ca="1" si="236"/>
        <v>#NAME?</v>
      </c>
      <c r="AM206" s="136">
        <f t="shared" si="236"/>
        <v>0</v>
      </c>
      <c r="AN206" s="148" t="e">
        <f ca="1">GetCtData("PKAMOUNT","AMOUNT",$AN$11:$AN$18,$B206:$D206,AN$19:AN$20,"#9")</f>
        <v>#NAME?</v>
      </c>
      <c r="AO206" s="148" t="e">
        <f ca="1">GetCtData("PKAMOUNT","AMOUNT",$AO$11:$AO$18,$B206:$D206,AO$19:AO$20,"#68")</f>
        <v>#NAME?</v>
      </c>
      <c r="AP206" s="136">
        <f t="shared" si="236"/>
        <v>0</v>
      </c>
      <c r="AQ206" s="148" t="e">
        <f ca="1">GetCtData("PKAMOUNT","AMOUNT",$AQ$11:$AQ$18,$B206:$D206,AQ$19:AQ$20,"#86")</f>
        <v>#NAME?</v>
      </c>
      <c r="AR206" s="148"/>
      <c r="AS206" s="148">
        <f t="shared" si="236"/>
        <v>0</v>
      </c>
      <c r="AT206" s="148" t="e">
        <f ca="1">GetCtData("PKAMOUNT","AMOUNT",AT$11:AT$18,$B206:$D206,AT$19:AT$20,"#80")</f>
        <v>#NAME?</v>
      </c>
      <c r="AU206" s="148" t="e">
        <f t="shared" ca="1" si="236"/>
        <v>#NAME?</v>
      </c>
      <c r="AV206" s="148">
        <f t="shared" si="236"/>
        <v>0</v>
      </c>
      <c r="AW206" s="148" t="e">
        <f ca="1">GetCtData("PKAMOUNT","AMOUNT",AW$11:AW$18,$B206:$D206,AW$19:AW$20,"#")</f>
        <v>#NAME?</v>
      </c>
      <c r="AX206" s="148" t="e">
        <f t="shared" ca="1" si="236"/>
        <v>#NAME?</v>
      </c>
      <c r="AY206" s="148">
        <f t="shared" si="236"/>
        <v>0</v>
      </c>
      <c r="AZ206" s="148" t="e">
        <f t="shared" ca="1" si="236"/>
        <v>#NAME?</v>
      </c>
      <c r="BA206" s="148" t="e">
        <f t="shared" ca="1" si="236"/>
        <v>#NAME?</v>
      </c>
      <c r="BB206" s="148">
        <f>SUM(BB191:BB204)</f>
        <v>0</v>
      </c>
      <c r="BC206" s="148" t="e">
        <f ca="1">SUM(BC191:BC204)</f>
        <v>#NAME?</v>
      </c>
      <c r="BD206" s="148" t="e">
        <f ca="1">SUM(BD191:BD204)</f>
        <v>#NAME?</v>
      </c>
      <c r="BE206" s="148">
        <f t="shared" si="236"/>
        <v>0</v>
      </c>
      <c r="BF206" s="148" t="e">
        <f t="shared" ca="1" si="236"/>
        <v>#NAME?</v>
      </c>
      <c r="BG206" s="148" t="e">
        <f t="shared" ca="1" si="236"/>
        <v>#NAME?</v>
      </c>
      <c r="BH206" s="148">
        <f t="shared" si="236"/>
        <v>0</v>
      </c>
      <c r="BI206" s="148" t="e">
        <f t="shared" ca="1" si="236"/>
        <v>#NAME?</v>
      </c>
      <c r="BJ206" s="148" t="e">
        <f t="shared" ca="1" si="236"/>
        <v>#NAME?</v>
      </c>
      <c r="BK206" s="148">
        <f t="shared" si="236"/>
        <v>0</v>
      </c>
      <c r="BL206" s="148" t="e">
        <f t="shared" ca="1" si="236"/>
        <v>#NAME?</v>
      </c>
      <c r="BM206" s="148" t="e">
        <f t="shared" ca="1" si="236"/>
        <v>#NAME?</v>
      </c>
      <c r="BN206" s="148">
        <f t="shared" si="236"/>
        <v>0</v>
      </c>
      <c r="BO206" s="148" t="e">
        <f t="shared" ca="1" si="236"/>
        <v>#NAME?</v>
      </c>
      <c r="BP206" s="148" t="e">
        <f t="shared" ca="1" si="236"/>
        <v>#NAME?</v>
      </c>
      <c r="BQ206" s="148"/>
      <c r="BR206" s="148" t="e">
        <f ca="1">SUM(BR191:BR203)</f>
        <v>#NAME?</v>
      </c>
      <c r="BS206" s="148" t="e">
        <f ca="1">#REF!-BR206</f>
        <v>#REF!</v>
      </c>
    </row>
    <row r="207" spans="1:71" x14ac:dyDescent="0.2">
      <c r="E207" s="74"/>
      <c r="F207" s="130"/>
      <c r="G207" s="131"/>
      <c r="H207" s="130"/>
      <c r="I207" s="72"/>
      <c r="J207" s="72"/>
      <c r="K207" s="72"/>
      <c r="L207" s="72"/>
      <c r="M207" s="72"/>
      <c r="N207" s="130"/>
      <c r="O207" s="121"/>
      <c r="P207" s="141">
        <f>-K207</f>
        <v>0</v>
      </c>
      <c r="Q207" s="141"/>
      <c r="R207" s="122"/>
      <c r="S207" s="122"/>
      <c r="T207" s="122" t="e">
        <f ca="1">PutCtData("PKAMOUNT","AMOUNT",$T$11:$T$15,$B207,$T$18,$T$17,P207)</f>
        <v>#NAME?</v>
      </c>
      <c r="U207" s="122" t="e">
        <f ca="1">PutCtData("PKAMOUNT","AMOUNT",$U$11:$U$15,$B207,$U$18,$U$17,L207)</f>
        <v>#NAME?</v>
      </c>
      <c r="V207" s="144"/>
      <c r="W207" s="122"/>
      <c r="X207" s="122"/>
      <c r="Y207" s="122"/>
      <c r="Z207" s="135"/>
      <c r="AA207" s="135"/>
      <c r="AB207" s="135">
        <f t="shared" si="136"/>
        <v>0</v>
      </c>
      <c r="AC207" s="135"/>
      <c r="AD207" s="122"/>
      <c r="AE207" s="156" t="e">
        <f ca="1">AE206-SUMIF($A191:AG204,"yes",AE191:AE204)</f>
        <v>#NAME?</v>
      </c>
      <c r="AF207" s="156"/>
      <c r="AG207" s="156" t="e">
        <f t="shared" ca="1" si="212"/>
        <v>#NAME?</v>
      </c>
      <c r="AH207" s="164" t="e">
        <f ca="1">AH206-SUMIF($A191:AI204,"yes",AH191:AI204)</f>
        <v>#NAME?</v>
      </c>
      <c r="AI207" s="128"/>
      <c r="AJ207" s="122"/>
      <c r="AK207" s="122"/>
      <c r="AL207" s="136"/>
      <c r="AM207" s="122"/>
      <c r="AN207" s="122"/>
      <c r="AO207" s="122"/>
      <c r="AP207" s="122"/>
      <c r="AQ207" s="122"/>
      <c r="AR207" s="122"/>
      <c r="AS207" s="122"/>
      <c r="AT207" s="122"/>
      <c r="AU207" s="122"/>
      <c r="AV207" s="130"/>
      <c r="AW207" s="130"/>
      <c r="AX207" s="130"/>
      <c r="AY207" s="130"/>
      <c r="AZ207" s="130"/>
      <c r="BA207" s="130"/>
      <c r="BB207" s="130"/>
      <c r="BC207" s="130"/>
      <c r="BD207" s="130">
        <f t="shared" ref="BD207:BD225" si="237">K207-BC207</f>
        <v>0</v>
      </c>
      <c r="BE207" s="130"/>
      <c r="BF207" s="130"/>
      <c r="BG207" s="130">
        <f t="shared" ref="BG207:BG225" si="238">O207-BF207</f>
        <v>0</v>
      </c>
      <c r="BH207" s="130"/>
      <c r="BI207" s="130"/>
      <c r="BJ207" s="130">
        <f t="shared" ref="BJ207:BJ225" si="239">O207-BI207</f>
        <v>0</v>
      </c>
      <c r="BK207" s="130"/>
      <c r="BL207" s="130"/>
      <c r="BM207" s="130">
        <f>J207-BL207</f>
        <v>0</v>
      </c>
      <c r="BN207" s="130"/>
      <c r="BO207" s="130"/>
      <c r="BP207" s="130">
        <f t="shared" ref="BP207:BP225" si="240">O207-BO207</f>
        <v>0</v>
      </c>
      <c r="BQ207" s="130"/>
      <c r="BR207" s="130"/>
      <c r="BS207" s="130" t="e">
        <f>#REF!-BR207</f>
        <v>#REF!</v>
      </c>
    </row>
    <row r="208" spans="1:71" outlineLevel="1" x14ac:dyDescent="0.2">
      <c r="A208" s="82" t="s">
        <v>243</v>
      </c>
      <c r="B208" s="82" t="s">
        <v>402</v>
      </c>
      <c r="C208" s="82" t="s">
        <v>403</v>
      </c>
      <c r="D208" s="82" t="s">
        <v>172</v>
      </c>
      <c r="E208" s="74" t="e">
        <f ca="1">GetCtLabel(B208,"CURINIT(AC)!LDESC","#Client Co-ordination costs")</f>
        <v>#NAME?</v>
      </c>
      <c r="F208" s="130"/>
      <c r="G208" s="131"/>
      <c r="H208" s="130"/>
      <c r="I208" s="72"/>
      <c r="J208" s="72"/>
      <c r="K208" s="72"/>
      <c r="L208" s="72"/>
      <c r="M208" s="198">
        <v>64.796000000000006</v>
      </c>
      <c r="N208" s="130"/>
      <c r="O208" s="140">
        <f t="shared" ref="O208:O218" si="241">SUM(F208:M208)</f>
        <v>64.796000000000006</v>
      </c>
      <c r="P208" s="193">
        <f t="shared" ref="P208:P218" si="242">-O208</f>
        <v>-64.796000000000006</v>
      </c>
      <c r="Q208" s="193">
        <f t="shared" ref="Q208:Q218" si="243">-L208</f>
        <v>0</v>
      </c>
      <c r="R208" s="133" t="e">
        <f ca="1">PutCtData("PKAMOUNT","AMOUNT",R$11:R$14,$B208:$D208,R$17:R$18,$O208)</f>
        <v>#NAME?</v>
      </c>
      <c r="S208" s="133" t="e">
        <f ca="1">PutCtData("PKAMOUNT","AMOUNT",S$11:S$14,$B208:$D208,S$17,$P208)</f>
        <v>#NAME?</v>
      </c>
      <c r="T208" s="134"/>
      <c r="U208" s="134"/>
      <c r="V208" s="144"/>
      <c r="W208" s="142"/>
      <c r="X208" s="142"/>
      <c r="Y208" s="122"/>
      <c r="Z208" s="135">
        <v>51.021000000000001</v>
      </c>
      <c r="AA208" s="135"/>
      <c r="AB208" s="135">
        <f t="shared" ref="AB208:AB270" si="244">Z208+AA208</f>
        <v>51.021000000000001</v>
      </c>
      <c r="AC208" s="135">
        <f t="shared" ref="AC208:AC218" si="245">+O208-AB208</f>
        <v>13.775000000000006</v>
      </c>
      <c r="AD208" s="122"/>
      <c r="AE208" s="195" t="e">
        <f ca="1">GetCtData("PKAMOUNT","AMOUNT",$AE$11:$AE$18,$B208:$D208,AE$19:AE$20,"#64.796")</f>
        <v>#NAME?</v>
      </c>
      <c r="AF208" s="142"/>
      <c r="AG208" s="142" t="e">
        <f t="shared" ca="1" si="212"/>
        <v>#NAME?</v>
      </c>
      <c r="AH208" s="196" t="e">
        <f t="shared" ca="1" si="211"/>
        <v>#NAME?</v>
      </c>
      <c r="AI208" s="128"/>
      <c r="AJ208" s="142" t="e">
        <f t="shared" ref="AJ208:AJ218" ca="1" si="246">O208-AO208</f>
        <v>#NAME?</v>
      </c>
      <c r="AK208" s="142" t="e">
        <f ca="1">GetCtData("PKAMOUNT","AMOUNT",$AK$11:$AK$18,$B208:$D208,AK$19:AK$20,"#9.257")</f>
        <v>#NAME?</v>
      </c>
      <c r="AL208" s="143" t="e">
        <f ca="1">O208-AO208-AK208</f>
        <v>#NAME?</v>
      </c>
      <c r="AM208" s="122"/>
      <c r="AN208" s="142" t="e">
        <f ca="1">GetCtData("PKAMOUNT","AMOUNT",$AN$11:$AN$18,$B208:$D208,AN$19:AN$20,"#9.256")</f>
        <v>#NAME?</v>
      </c>
      <c r="AO208" s="142" t="e">
        <f ca="1">GetCtData("PKAMOUNT","AMOUNT",$AO$11:$AO$18,$B208:$D208,AO$19:AO$20,"#55.539")</f>
        <v>#NAME?</v>
      </c>
      <c r="AP208" s="122"/>
      <c r="AQ208" s="142" t="e">
        <f ca="1">GetCtData("PKAMOUNT","AMOUNT",$AQ$11:$AQ$18,$B208:$D208,AQ$19:AQ$20,"#64.796")</f>
        <v>#NAME?</v>
      </c>
      <c r="AR208" s="142" t="e">
        <f t="shared" ref="AR208:AR218" ca="1" si="247">O208-AQ208</f>
        <v>#NAME?</v>
      </c>
      <c r="AS208" s="142"/>
      <c r="AT208" s="142" t="e">
        <f ca="1">GetCtData("PKAMOUNT","AMOUNT",AT$11:AT$18,$B208:$D208,AT$19:AT$20,"#71.429")</f>
        <v>#NAME?</v>
      </c>
      <c r="AU208" s="142" t="e">
        <f t="shared" ref="AU208:AU218" ca="1" si="248">O208-AT208</f>
        <v>#NAME?</v>
      </c>
      <c r="AV208" s="72"/>
      <c r="AW208" s="72" t="e">
        <f t="shared" ref="AW208:AW218" ca="1" si="249">GetCtData("PKAMOUNT","AMOUNT",AW$11:AW$18,$B208:$D208,AW$19:AW$20,"#")</f>
        <v>#NAME?</v>
      </c>
      <c r="AX208" s="72" t="e">
        <f t="shared" ref="AX208:AX218" ca="1" si="250">O208-AW208</f>
        <v>#NAME?</v>
      </c>
      <c r="AY208" s="72"/>
      <c r="AZ208" s="72" t="e">
        <f t="shared" ref="AZ208:AZ218" ca="1" si="251">GetCtData("COAMOUNT","AMOUNT",$AZ$11:$AZ$17,$B208,AZ$19,AZ$20,"#")</f>
        <v>#NAME?</v>
      </c>
      <c r="BA208" s="72" t="e">
        <f t="shared" ref="BA208:BA218" ca="1" si="252">O208-AZ208</f>
        <v>#NAME?</v>
      </c>
      <c r="BB208" s="72"/>
      <c r="BC208" s="72" t="e">
        <f t="shared" ref="BC208:BC218" ca="1" si="253">GetCtData("COAMOUNT","AMOUNT",$BF$11:$BF$17,$B208,BC$19,BC$20,"#")</f>
        <v>#NAME?</v>
      </c>
      <c r="BD208" s="72" t="e">
        <f t="shared" ca="1" si="237"/>
        <v>#NAME?</v>
      </c>
      <c r="BE208" s="72"/>
      <c r="BF208" s="72" t="e">
        <f t="shared" ref="BF208:BF218" ca="1" si="254">GetCtData("COAMOUNT","AMOUNT",$BF$11:$BF$17,$B208,BF$19,BF$20,"#")</f>
        <v>#NAME?</v>
      </c>
      <c r="BG208" s="72" t="e">
        <f t="shared" ca="1" si="238"/>
        <v>#NAME?</v>
      </c>
      <c r="BH208" s="72"/>
      <c r="BI208" s="72" t="e">
        <f t="shared" ref="BI208:BI218" ca="1" si="255">GetCtData("COAMOUNT","AMOUNT",$AO$11:$AO$17,$B208,BI$19,BI$20,"#")</f>
        <v>#NAME?</v>
      </c>
      <c r="BJ208" s="72" t="e">
        <f t="shared" ca="1" si="239"/>
        <v>#NAME?</v>
      </c>
      <c r="BK208" s="72"/>
      <c r="BL208" s="72" t="e">
        <f t="shared" ref="BL208:BL218" ca="1" si="256">GetCtData("COAMOUNT","AMOUNT",$BO$11:$BO$17,$B208,BL$19,BL$20,"#")</f>
        <v>#NAME?</v>
      </c>
      <c r="BM208" s="72" t="e">
        <f t="shared" ref="BM208:BM218" ca="1" si="257">O208-BL208</f>
        <v>#NAME?</v>
      </c>
      <c r="BN208" s="72"/>
      <c r="BO208" s="72" t="e">
        <f t="shared" ref="BO208:BO218" ca="1" si="258">GetCtData("COAMOUNT","AMOUNT",$BO$11:$BO$17,$B208,BO$19,BO$20,"#")</f>
        <v>#NAME?</v>
      </c>
      <c r="BP208" s="72" t="e">
        <f t="shared" ca="1" si="240"/>
        <v>#NAME?</v>
      </c>
      <c r="BQ208" s="72"/>
      <c r="BR208" s="72" t="e">
        <f t="shared" ref="BR208:BR218" ca="1" si="259">GetCtData("COAMOUNT","AMOUNT",$BO$11:$BO$17,$B208,BR$19,BR$20,"#")</f>
        <v>#NAME?</v>
      </c>
      <c r="BS208" s="72" t="e">
        <f ca="1">#REF!-BR208</f>
        <v>#REF!</v>
      </c>
    </row>
    <row r="209" spans="1:71" outlineLevel="1" x14ac:dyDescent="0.2">
      <c r="A209" s="82" t="s">
        <v>293</v>
      </c>
      <c r="B209" s="82" t="s">
        <v>404</v>
      </c>
      <c r="D209" s="82" t="s">
        <v>250</v>
      </c>
      <c r="E209" s="74" t="e">
        <f ca="1">GetCtLabel(B209,"CURINIT(AC)!LDESC","#Country overhead")</f>
        <v>#NAME?</v>
      </c>
      <c r="F209" s="178">
        <f>SUM(F210:F212)</f>
        <v>100.15300000000001</v>
      </c>
      <c r="G209" s="179">
        <f>SUM(G210:G212)</f>
        <v>0</v>
      </c>
      <c r="H209" s="179"/>
      <c r="I209" s="178">
        <f>SUM(I210:I212)</f>
        <v>0</v>
      </c>
      <c r="J209" s="178">
        <f>SUM(J210:J212)</f>
        <v>0</v>
      </c>
      <c r="K209" s="178">
        <f>SUM(K210:K212)</f>
        <v>-27.751000000000001</v>
      </c>
      <c r="L209" s="179">
        <f>SUM(L210:L212)</f>
        <v>0</v>
      </c>
      <c r="M209" s="179"/>
      <c r="N209" s="130"/>
      <c r="O209" s="140">
        <f>SUM(O210:O212)</f>
        <v>72.402000000000001</v>
      </c>
      <c r="P209" s="199">
        <f>-K209</f>
        <v>27.751000000000001</v>
      </c>
      <c r="Q209" s="199">
        <f t="shared" si="243"/>
        <v>0</v>
      </c>
      <c r="R209" s="133"/>
      <c r="S209" s="133"/>
      <c r="T209" s="200"/>
      <c r="U209" s="134"/>
      <c r="V209" s="144"/>
      <c r="W209" s="142"/>
      <c r="X209" s="142"/>
      <c r="Y209" s="122"/>
      <c r="Z209" s="135">
        <v>50.311999999999998</v>
      </c>
      <c r="AA209" s="135"/>
      <c r="AB209" s="135">
        <f>Z209+AA209</f>
        <v>50.311999999999998</v>
      </c>
      <c r="AC209" s="135">
        <f t="shared" si="245"/>
        <v>22.090000000000003</v>
      </c>
      <c r="AD209" s="122"/>
      <c r="AE209" s="195" t="e">
        <f ca="1">GetCtData("PKAMOUNT","AMOUNT",$AE$11:$AE$18,$B209:$D209,AE$19:AE$20,"#72.402")</f>
        <v>#NAME?</v>
      </c>
      <c r="AF209" s="142"/>
      <c r="AG209" s="142" t="e">
        <f t="shared" ca="1" si="212"/>
        <v>#NAME?</v>
      </c>
      <c r="AH209" s="196" t="e">
        <f t="shared" ca="1" si="211"/>
        <v>#NAME?</v>
      </c>
      <c r="AI209" s="128"/>
      <c r="AJ209" s="142" t="e">
        <f t="shared" ca="1" si="246"/>
        <v>#NAME?</v>
      </c>
      <c r="AK209" s="142" t="e">
        <f ca="1">GetCtData("PKAMOUNT","AMOUNT",$AK$11:$AK$18,$B209:$D209,AK$19:AK$20,"#10.32")</f>
        <v>#NAME?</v>
      </c>
      <c r="AL209" s="143" t="e">
        <f t="shared" ref="AL209:AL218" ca="1" si="260">(O209-AO209)-AK209</f>
        <v>#NAME?</v>
      </c>
      <c r="AM209" s="122"/>
      <c r="AN209" s="142" t="e">
        <f ca="1">GetCtData("PKAMOUNT","AMOUNT",$AN$11:$AN$18,$B209:$D209,AN$19:AN$20,"#10.332")</f>
        <v>#NAME?</v>
      </c>
      <c r="AO209" s="142" t="e">
        <f ca="1">GetCtData("PKAMOUNT","AMOUNT",$AO$11:$AO$18,$B209:$D209,AO$19:AO$20,"#62.082")</f>
        <v>#NAME?</v>
      </c>
      <c r="AP209" s="122"/>
      <c r="AQ209" s="142" t="e">
        <f ca="1">GetCtData("PKAMOUNT","AMOUNT",$AQ$11:$AQ$18,$B209:$D209,AQ$19:AQ$20,"#72.334")</f>
        <v>#NAME?</v>
      </c>
      <c r="AR209" s="142" t="e">
        <f t="shared" ca="1" si="247"/>
        <v>#NAME?</v>
      </c>
      <c r="AS209" s="142"/>
      <c r="AT209" s="142" t="e">
        <f ca="1">GetCtData("PKAMOUNT","AMOUNT",AT$11:AT$18,$B209:$D209,AT$19:AT$20,"#77.164")</f>
        <v>#NAME?</v>
      </c>
      <c r="AU209" s="142" t="e">
        <f t="shared" ca="1" si="248"/>
        <v>#NAME?</v>
      </c>
      <c r="AV209" s="72"/>
      <c r="AW209" s="72" t="e">
        <f t="shared" ca="1" si="249"/>
        <v>#NAME?</v>
      </c>
      <c r="AX209" s="72" t="e">
        <f t="shared" ca="1" si="250"/>
        <v>#NAME?</v>
      </c>
      <c r="AY209" s="72"/>
      <c r="AZ209" s="72" t="e">
        <f t="shared" ca="1" si="251"/>
        <v>#NAME?</v>
      </c>
      <c r="BA209" s="72" t="e">
        <f t="shared" ca="1" si="252"/>
        <v>#NAME?</v>
      </c>
      <c r="BB209" s="72"/>
      <c r="BC209" s="72" t="e">
        <f t="shared" ca="1" si="253"/>
        <v>#NAME?</v>
      </c>
      <c r="BD209" s="72" t="e">
        <f t="shared" ca="1" si="237"/>
        <v>#NAME?</v>
      </c>
      <c r="BE209" s="72"/>
      <c r="BF209" s="72" t="e">
        <f t="shared" ca="1" si="254"/>
        <v>#NAME?</v>
      </c>
      <c r="BG209" s="72" t="e">
        <f t="shared" ca="1" si="238"/>
        <v>#NAME?</v>
      </c>
      <c r="BH209" s="72"/>
      <c r="BI209" s="72" t="e">
        <f t="shared" ca="1" si="255"/>
        <v>#NAME?</v>
      </c>
      <c r="BJ209" s="72" t="e">
        <f t="shared" ca="1" si="239"/>
        <v>#NAME?</v>
      </c>
      <c r="BK209" s="72"/>
      <c r="BL209" s="72" t="e">
        <f t="shared" ca="1" si="256"/>
        <v>#NAME?</v>
      </c>
      <c r="BM209" s="72" t="e">
        <f t="shared" ca="1" si="257"/>
        <v>#NAME?</v>
      </c>
      <c r="BN209" s="72"/>
      <c r="BO209" s="72" t="e">
        <f t="shared" ca="1" si="258"/>
        <v>#NAME?</v>
      </c>
      <c r="BP209" s="72" t="e">
        <f t="shared" ca="1" si="240"/>
        <v>#NAME?</v>
      </c>
      <c r="BQ209" s="72"/>
      <c r="BR209" s="72" t="e">
        <f t="shared" ca="1" si="259"/>
        <v>#NAME?</v>
      </c>
      <c r="BS209" s="72" t="e">
        <f ca="1">#REF!-BR209</f>
        <v>#REF!</v>
      </c>
    </row>
    <row r="210" spans="1:71" outlineLevel="2" x14ac:dyDescent="0.2">
      <c r="A210" s="82" t="s">
        <v>243</v>
      </c>
      <c r="B210" s="82" t="s">
        <v>404</v>
      </c>
      <c r="C210" s="82" t="s">
        <v>295</v>
      </c>
      <c r="D210" s="82" t="s">
        <v>172</v>
      </c>
      <c r="E210" s="153" t="e">
        <f ca="1">GetCtLabel(B210,"CURINIT(AC)!LDESC","#Country overhead")&amp;" "&amp;D210</f>
        <v>#NAME?</v>
      </c>
      <c r="F210" s="137">
        <f>88.486</f>
        <v>88.486000000000004</v>
      </c>
      <c r="G210" s="138"/>
      <c r="H210" s="137"/>
      <c r="I210" s="139"/>
      <c r="J210" s="139"/>
      <c r="K210" s="201"/>
      <c r="L210" s="139"/>
      <c r="M210" s="139"/>
      <c r="N210" s="130"/>
      <c r="O210" s="140">
        <f t="shared" si="241"/>
        <v>88.486000000000004</v>
      </c>
      <c r="P210" s="199">
        <f>-K210</f>
        <v>0</v>
      </c>
      <c r="Q210" s="199">
        <f>F210+F211</f>
        <v>88.486000000000004</v>
      </c>
      <c r="R210" s="184" t="e">
        <f ca="1">PutCtData("PKAMOUNT","AMOUNT",R$11:R$14,$B210:$D210,R$17:R$18,$Q210)</f>
        <v>#NAME?</v>
      </c>
      <c r="S210" s="161"/>
      <c r="T210" s="200" t="e">
        <f ca="1">PutCtData("PKAMOUNT","AMOUNT",T$11:T$14,$B210:$D210,T$17:T$18,$P210)</f>
        <v>#NAME?</v>
      </c>
      <c r="U210" s="134"/>
      <c r="V210" s="144"/>
      <c r="W210" s="142"/>
      <c r="X210" s="142"/>
      <c r="Y210" s="122"/>
      <c r="Z210" s="135">
        <v>55.414999999999999</v>
      </c>
      <c r="AA210" s="135"/>
      <c r="AB210" s="135">
        <f t="shared" si="244"/>
        <v>55.414999999999999</v>
      </c>
      <c r="AC210" s="135">
        <f t="shared" si="245"/>
        <v>33.071000000000005</v>
      </c>
      <c r="AD210" s="122"/>
      <c r="AE210" s="195" t="e">
        <f ca="1">GetCtData("PKAMOUNT","AMOUNT",$AE$11:$AE$18,$B210:$D210,AE$19:AE$20,"#88.486")</f>
        <v>#NAME?</v>
      </c>
      <c r="AF210" s="142"/>
      <c r="AG210" s="142" t="e">
        <f t="shared" ca="1" si="212"/>
        <v>#NAME?</v>
      </c>
      <c r="AH210" s="196" t="e">
        <f t="shared" ca="1" si="211"/>
        <v>#NAME?</v>
      </c>
      <c r="AI210" s="128"/>
      <c r="AJ210" s="142" t="e">
        <f t="shared" ca="1" si="246"/>
        <v>#NAME?</v>
      </c>
      <c r="AK210" s="142" t="e">
        <f ca="1">GetCtData("PKAMOUNT","AMOUNT",$AK$11:$AK$18,$B210:$D210,AK$19:AK$20,"#12.903")</f>
        <v>#NAME?</v>
      </c>
      <c r="AL210" s="143" t="e">
        <f t="shared" ca="1" si="260"/>
        <v>#NAME?</v>
      </c>
      <c r="AM210" s="122"/>
      <c r="AN210" s="142" t="e">
        <f ca="1">GetCtData("PKAMOUNT","AMOUNT",$AN$11:$AN$18,$B210:$D210,AN$19:AN$20,"#12.583")</f>
        <v>#NAME?</v>
      </c>
      <c r="AO210" s="142" t="e">
        <f ca="1">GetCtData("PKAMOUNT","AMOUNT",$AO$11:$AO$18,$B210:$D210,AO$19:AO$20,"#75.583")</f>
        <v>#NAME?</v>
      </c>
      <c r="AP210" s="122"/>
      <c r="AQ210" s="142" t="e">
        <f ca="1">GetCtData("PKAMOUNT","AMOUNT",$AQ$11:$AQ$18,$B210:$D210,AQ$19:AQ$20,"#60.667")</f>
        <v>#NAME?</v>
      </c>
      <c r="AR210" s="142" t="e">
        <f t="shared" ca="1" si="247"/>
        <v>#NAME?</v>
      </c>
      <c r="AS210" s="142"/>
      <c r="AT210" s="142" t="e">
        <f ca="1">GetCtData("PKAMOUNT","AMOUNT",AT$11:AT$18,$B210:$D210,AT$19:AT$20,"#77.581")</f>
        <v>#NAME?</v>
      </c>
      <c r="AU210" s="142" t="e">
        <f t="shared" ca="1" si="248"/>
        <v>#NAME?</v>
      </c>
      <c r="AV210" s="72"/>
      <c r="AW210" s="72" t="e">
        <f t="shared" ca="1" si="249"/>
        <v>#NAME?</v>
      </c>
      <c r="AX210" s="72" t="e">
        <f t="shared" ca="1" si="250"/>
        <v>#NAME?</v>
      </c>
      <c r="AY210" s="72"/>
      <c r="AZ210" s="72" t="e">
        <f t="shared" ca="1" si="251"/>
        <v>#NAME?</v>
      </c>
      <c r="BA210" s="72" t="e">
        <f t="shared" ca="1" si="252"/>
        <v>#NAME?</v>
      </c>
      <c r="BB210" s="72"/>
      <c r="BC210" s="72" t="e">
        <f t="shared" ca="1" si="253"/>
        <v>#NAME?</v>
      </c>
      <c r="BD210" s="72" t="e">
        <f t="shared" ca="1" si="237"/>
        <v>#NAME?</v>
      </c>
      <c r="BE210" s="72"/>
      <c r="BF210" s="72" t="e">
        <f t="shared" ca="1" si="254"/>
        <v>#NAME?</v>
      </c>
      <c r="BG210" s="72" t="e">
        <f t="shared" ca="1" si="238"/>
        <v>#NAME?</v>
      </c>
      <c r="BH210" s="72"/>
      <c r="BI210" s="72" t="e">
        <f t="shared" ca="1" si="255"/>
        <v>#NAME?</v>
      </c>
      <c r="BJ210" s="72" t="e">
        <f t="shared" ca="1" si="239"/>
        <v>#NAME?</v>
      </c>
      <c r="BK210" s="72"/>
      <c r="BL210" s="72" t="e">
        <f t="shared" ca="1" si="256"/>
        <v>#NAME?</v>
      </c>
      <c r="BM210" s="72" t="e">
        <f t="shared" ca="1" si="257"/>
        <v>#NAME?</v>
      </c>
      <c r="BN210" s="72"/>
      <c r="BO210" s="72" t="e">
        <f t="shared" ca="1" si="258"/>
        <v>#NAME?</v>
      </c>
      <c r="BP210" s="72" t="e">
        <f t="shared" ca="1" si="240"/>
        <v>#NAME?</v>
      </c>
      <c r="BQ210" s="72"/>
      <c r="BR210" s="72" t="e">
        <f t="shared" ca="1" si="259"/>
        <v>#NAME?</v>
      </c>
      <c r="BS210" s="72" t="e">
        <f ca="1">#REF!-BR210</f>
        <v>#REF!</v>
      </c>
    </row>
    <row r="211" spans="1:71" outlineLevel="2" x14ac:dyDescent="0.2">
      <c r="A211" s="82" t="s">
        <v>243</v>
      </c>
      <c r="B211" s="82" t="s">
        <v>404</v>
      </c>
      <c r="C211" s="82" t="s">
        <v>201</v>
      </c>
      <c r="D211" s="82" t="s">
        <v>172</v>
      </c>
      <c r="E211" s="153" t="e">
        <f ca="1">GetCtLabel(B211,"CURINIT(AC)!LDESC","#Country overhead")&amp;" "&amp;D211&amp;" Neo"</f>
        <v>#NAME?</v>
      </c>
      <c r="F211" s="137"/>
      <c r="G211" s="138"/>
      <c r="H211" s="137"/>
      <c r="I211" s="139"/>
      <c r="J211" s="139"/>
      <c r="K211" s="201">
        <v>-27.751000000000001</v>
      </c>
      <c r="L211" s="139"/>
      <c r="M211" s="139"/>
      <c r="N211" s="130"/>
      <c r="O211" s="140">
        <f t="shared" si="241"/>
        <v>-27.751000000000001</v>
      </c>
      <c r="P211" s="199">
        <f>-K211</f>
        <v>27.751000000000001</v>
      </c>
      <c r="Q211" s="199">
        <f t="shared" ref="Q211" si="261">-L211</f>
        <v>0</v>
      </c>
      <c r="R211" s="184" t="e">
        <f ca="1">PutCtData("PKAMOUNT","AMOUNT",R$11:R$14,$B211:$D211,R$17:R$18,$K211)</f>
        <v>#NAME?</v>
      </c>
      <c r="S211" s="161"/>
      <c r="T211" s="200" t="e">
        <f ca="1">PutCtData("PKAMOUNT","AMOUNT",T$11:T$14,$B211,$D211,T$17:T$18,$P211)</f>
        <v>#NAME?</v>
      </c>
      <c r="U211" s="134"/>
      <c r="V211" s="144"/>
      <c r="W211" s="142"/>
      <c r="X211" s="142"/>
      <c r="Y211" s="122"/>
      <c r="Z211" s="135">
        <v>55.414999999999999</v>
      </c>
      <c r="AA211" s="135"/>
      <c r="AB211" s="135">
        <f t="shared" si="244"/>
        <v>55.414999999999999</v>
      </c>
      <c r="AC211" s="135">
        <f t="shared" si="245"/>
        <v>-83.165999999999997</v>
      </c>
      <c r="AD211" s="122"/>
      <c r="AE211" s="195" t="e">
        <f ca="1">GetCtData("PKAMOUNT","AMOUNT",$AE$11:$AE$18,$B211:$D211,AE$19:AE$20,"#-27.751")</f>
        <v>#NAME?</v>
      </c>
      <c r="AF211" s="142"/>
      <c r="AG211" s="142" t="e">
        <f t="shared" ca="1" si="212"/>
        <v>#NAME?</v>
      </c>
      <c r="AH211" s="196" t="e">
        <f t="shared" ca="1" si="211"/>
        <v>#NAME?</v>
      </c>
      <c r="AI211" s="128"/>
      <c r="AJ211" s="142" t="e">
        <f t="shared" ca="1" si="246"/>
        <v>#NAME?</v>
      </c>
      <c r="AK211" s="142" t="e">
        <f ca="1">GetCtData("PKAMOUNT","AMOUNT",$AK$11:$AK$18,$B211:$D211,AK$19:AK$20,"#-4.25")</f>
        <v>#NAME?</v>
      </c>
      <c r="AL211" s="143" t="e">
        <f t="shared" ca="1" si="260"/>
        <v>#NAME?</v>
      </c>
      <c r="AM211" s="122"/>
      <c r="AN211" s="142" t="e">
        <f ca="1">GetCtData("PKAMOUNT","AMOUNT",$AN$11:$AN$18,$B211:$D211,AN$19:AN$20,"#-3.917")</f>
        <v>#NAME?</v>
      </c>
      <c r="AO211" s="142" t="e">
        <f ca="1">GetCtData("PKAMOUNT","AMOUNT",$AO$11:$AO$18,$B211:$D211,AO$19:AO$20,"#-23.501")</f>
        <v>#NAME?</v>
      </c>
      <c r="AP211" s="122"/>
      <c r="AQ211" s="142" t="e">
        <f ca="1">GetCtData("PKAMOUNT","AMOUNT",$AQ$11:$AQ$18,$B211:$D211,AQ$19:AQ$20,"#")</f>
        <v>#NAME?</v>
      </c>
      <c r="AR211" s="142" t="e">
        <f t="shared" ca="1" si="247"/>
        <v>#NAME?</v>
      </c>
      <c r="AS211" s="142"/>
      <c r="AT211" s="142" t="e">
        <f ca="1">GetCtData("PKAMOUNT","AMOUNT",AT$11:AT$18,$B211:$D211,AT$19:AT$20,"#")</f>
        <v>#NAME?</v>
      </c>
      <c r="AU211" s="142" t="e">
        <f t="shared" ca="1" si="248"/>
        <v>#NAME?</v>
      </c>
      <c r="AV211" s="72"/>
      <c r="AW211" s="72" t="e">
        <f t="shared" ca="1" si="249"/>
        <v>#NAME?</v>
      </c>
      <c r="AX211" s="72" t="e">
        <f t="shared" ca="1" si="250"/>
        <v>#NAME?</v>
      </c>
      <c r="AY211" s="72"/>
      <c r="AZ211" s="72" t="e">
        <f t="shared" ca="1" si="251"/>
        <v>#NAME?</v>
      </c>
      <c r="BA211" s="72" t="e">
        <f t="shared" ca="1" si="252"/>
        <v>#NAME?</v>
      </c>
      <c r="BB211" s="72"/>
      <c r="BC211" s="72" t="e">
        <f t="shared" ca="1" si="253"/>
        <v>#NAME?</v>
      </c>
      <c r="BD211" s="72" t="e">
        <f t="shared" ca="1" si="237"/>
        <v>#NAME?</v>
      </c>
      <c r="BE211" s="72"/>
      <c r="BF211" s="72" t="e">
        <f t="shared" ca="1" si="254"/>
        <v>#NAME?</v>
      </c>
      <c r="BG211" s="72" t="e">
        <f t="shared" ca="1" si="238"/>
        <v>#NAME?</v>
      </c>
      <c r="BH211" s="72"/>
      <c r="BI211" s="72" t="e">
        <f t="shared" ca="1" si="255"/>
        <v>#NAME?</v>
      </c>
      <c r="BJ211" s="72" t="e">
        <f t="shared" ca="1" si="239"/>
        <v>#NAME?</v>
      </c>
      <c r="BK211" s="72"/>
      <c r="BL211" s="72" t="e">
        <f t="shared" ca="1" si="256"/>
        <v>#NAME?</v>
      </c>
      <c r="BM211" s="72" t="e">
        <f t="shared" ca="1" si="257"/>
        <v>#NAME?</v>
      </c>
      <c r="BN211" s="72"/>
      <c r="BO211" s="72" t="e">
        <f t="shared" ca="1" si="258"/>
        <v>#NAME?</v>
      </c>
      <c r="BP211" s="72" t="e">
        <f t="shared" ca="1" si="240"/>
        <v>#NAME?</v>
      </c>
      <c r="BQ211" s="72"/>
      <c r="BR211" s="72" t="e">
        <f t="shared" ca="1" si="259"/>
        <v>#NAME?</v>
      </c>
      <c r="BS211" s="72" t="e">
        <f ca="1">#REF!-BR211</f>
        <v>#REF!</v>
      </c>
    </row>
    <row r="212" spans="1:71" outlineLevel="2" x14ac:dyDescent="0.2">
      <c r="A212" s="82" t="s">
        <v>243</v>
      </c>
      <c r="B212" s="82" t="s">
        <v>404</v>
      </c>
      <c r="C212" s="82" t="s">
        <v>295</v>
      </c>
      <c r="D212" s="82" t="s">
        <v>196</v>
      </c>
      <c r="E212" s="153" t="e">
        <f ca="1">GetCtLabel(B212,"CURINIT(AC)!LDESC","#Country overhead")&amp;" "&amp;D212</f>
        <v>#NAME?</v>
      </c>
      <c r="F212" s="137">
        <f>11.667</f>
        <v>11.667</v>
      </c>
      <c r="G212" s="138"/>
      <c r="H212" s="137"/>
      <c r="I212" s="139"/>
      <c r="J212" s="139"/>
      <c r="K212" s="139"/>
      <c r="L212" s="139"/>
      <c r="M212" s="139"/>
      <c r="N212" s="130"/>
      <c r="O212" s="140">
        <f>SUM(F212:M212)</f>
        <v>11.667</v>
      </c>
      <c r="P212" s="199">
        <f>-K212</f>
        <v>0</v>
      </c>
      <c r="Q212" s="199">
        <f t="shared" si="243"/>
        <v>0</v>
      </c>
      <c r="R212" s="184" t="e">
        <f t="shared" ref="R212:R218" ca="1" si="262">PutCtData("PKAMOUNT","AMOUNT",R$11:R$14,$B212:$D212,R$17:R$18,$O212)</f>
        <v>#NAME?</v>
      </c>
      <c r="S212" s="161"/>
      <c r="T212" s="200" t="e">
        <f ca="1">PutCtData("PKAMOUNT","AMOUNT",T$11:T$14,$B212:$D212,T$17:T$18,$P212)</f>
        <v>#NAME?</v>
      </c>
      <c r="U212" s="134"/>
      <c r="V212" s="144"/>
      <c r="W212" s="142"/>
      <c r="X212" s="142"/>
      <c r="Y212" s="122"/>
      <c r="Z212" s="135">
        <v>55.414999999999999</v>
      </c>
      <c r="AA212" s="135"/>
      <c r="AB212" s="135">
        <f>Z212+AA212</f>
        <v>55.414999999999999</v>
      </c>
      <c r="AC212" s="135">
        <f t="shared" si="245"/>
        <v>-43.747999999999998</v>
      </c>
      <c r="AD212" s="122"/>
      <c r="AE212" s="195" t="e">
        <f ca="1">GetCtData("PKAMOUNT","AMOUNT",$AE$11:$AE$18,$B212:$D212,AE$19:AE$20,"#11.667")</f>
        <v>#NAME?</v>
      </c>
      <c r="AF212" s="142"/>
      <c r="AG212" s="142" t="e">
        <f t="shared" ca="1" si="212"/>
        <v>#NAME?</v>
      </c>
      <c r="AH212" s="196" t="e">
        <f t="shared" ca="1" si="211"/>
        <v>#NAME?</v>
      </c>
      <c r="AI212" s="128"/>
      <c r="AJ212" s="142" t="e">
        <f t="shared" ca="1" si="246"/>
        <v>#NAME?</v>
      </c>
      <c r="AK212" s="142" t="e">
        <f ca="1">GetCtData("PKAMOUNT","AMOUNT",$AK$11:$AK$18,$B212:$D212,AK$19:AK$20,"#1.667")</f>
        <v>#NAME?</v>
      </c>
      <c r="AL212" s="143" t="e">
        <f t="shared" ca="1" si="260"/>
        <v>#NAME?</v>
      </c>
      <c r="AM212" s="122"/>
      <c r="AN212" s="142" t="e">
        <f ca="1">GetCtData("PKAMOUNT","AMOUNT",$AN$11:$AN$18,$B212:$D212,AN$19:AN$20,"#1.666")</f>
        <v>#NAME?</v>
      </c>
      <c r="AO212" s="142" t="e">
        <f ca="1">GetCtData("PKAMOUNT","AMOUNT",$AO$11:$AO$18,$B212:$D212,AO$19:AO$20,"#10")</f>
        <v>#NAME?</v>
      </c>
      <c r="AP212" s="122"/>
      <c r="AQ212" s="142" t="e">
        <f ca="1">GetCtData("PKAMOUNT","AMOUNT",$AQ$11:$AQ$18,$B212:$D212,AQ$19:AQ$20,"#11.667")</f>
        <v>#NAME?</v>
      </c>
      <c r="AR212" s="142" t="e">
        <f t="shared" ca="1" si="247"/>
        <v>#NAME?</v>
      </c>
      <c r="AS212" s="142"/>
      <c r="AT212" s="142" t="e">
        <f ca="1">GetCtData("PKAMOUNT","AMOUNT",AT$11:AT$18,$B212:$D212,AT$19:AT$20,"#")</f>
        <v>#NAME?</v>
      </c>
      <c r="AU212" s="142" t="e">
        <f t="shared" ca="1" si="248"/>
        <v>#NAME?</v>
      </c>
      <c r="AV212" s="72"/>
      <c r="AW212" s="72" t="e">
        <f t="shared" ca="1" si="249"/>
        <v>#NAME?</v>
      </c>
      <c r="AX212" s="72" t="e">
        <f t="shared" ca="1" si="250"/>
        <v>#NAME?</v>
      </c>
      <c r="AY212" s="72"/>
      <c r="AZ212" s="72" t="e">
        <f t="shared" ca="1" si="251"/>
        <v>#NAME?</v>
      </c>
      <c r="BA212" s="72" t="e">
        <f t="shared" ca="1" si="252"/>
        <v>#NAME?</v>
      </c>
      <c r="BB212" s="72"/>
      <c r="BC212" s="72" t="e">
        <f t="shared" ca="1" si="253"/>
        <v>#NAME?</v>
      </c>
      <c r="BD212" s="72" t="e">
        <f t="shared" ca="1" si="237"/>
        <v>#NAME?</v>
      </c>
      <c r="BE212" s="72"/>
      <c r="BF212" s="72" t="e">
        <f t="shared" ca="1" si="254"/>
        <v>#NAME?</v>
      </c>
      <c r="BG212" s="72" t="e">
        <f t="shared" ca="1" si="238"/>
        <v>#NAME?</v>
      </c>
      <c r="BH212" s="72"/>
      <c r="BI212" s="72" t="e">
        <f t="shared" ca="1" si="255"/>
        <v>#NAME?</v>
      </c>
      <c r="BJ212" s="72" t="e">
        <f t="shared" ca="1" si="239"/>
        <v>#NAME?</v>
      </c>
      <c r="BK212" s="72"/>
      <c r="BL212" s="72" t="e">
        <f t="shared" ca="1" si="256"/>
        <v>#NAME?</v>
      </c>
      <c r="BM212" s="72" t="e">
        <f t="shared" ca="1" si="257"/>
        <v>#NAME?</v>
      </c>
      <c r="BN212" s="72"/>
      <c r="BO212" s="72" t="e">
        <f t="shared" ca="1" si="258"/>
        <v>#NAME?</v>
      </c>
      <c r="BP212" s="72" t="e">
        <f t="shared" ca="1" si="240"/>
        <v>#NAME?</v>
      </c>
      <c r="BQ212" s="72"/>
      <c r="BR212" s="72" t="e">
        <f t="shared" ca="1" si="259"/>
        <v>#NAME?</v>
      </c>
      <c r="BS212" s="72" t="e">
        <f ca="1">#REF!-BR212</f>
        <v>#REF!</v>
      </c>
    </row>
    <row r="213" spans="1:71" outlineLevel="1" x14ac:dyDescent="0.2">
      <c r="A213" s="82" t="s">
        <v>243</v>
      </c>
      <c r="B213" s="82" t="s">
        <v>405</v>
      </c>
      <c r="C213" s="82" t="s">
        <v>406</v>
      </c>
      <c r="D213" s="82" t="s">
        <v>172</v>
      </c>
      <c r="E213" s="74" t="e">
        <f ca="1">GetCtLabel(B213,"CURINIT(AC)!LDESC","#Regional overhead")</f>
        <v>#NAME?</v>
      </c>
      <c r="F213" s="130"/>
      <c r="G213" s="131"/>
      <c r="H213" s="130"/>
      <c r="I213" s="72"/>
      <c r="J213" s="72"/>
      <c r="K213" s="72"/>
      <c r="L213" s="72"/>
      <c r="M213" s="198">
        <v>63.960999999999999</v>
      </c>
      <c r="N213" s="130"/>
      <c r="O213" s="140">
        <f t="shared" si="241"/>
        <v>63.960999999999999</v>
      </c>
      <c r="P213" s="193">
        <f t="shared" si="242"/>
        <v>-63.960999999999999</v>
      </c>
      <c r="Q213" s="193">
        <f t="shared" si="243"/>
        <v>0</v>
      </c>
      <c r="R213" s="133" t="e">
        <f t="shared" ca="1" si="262"/>
        <v>#NAME?</v>
      </c>
      <c r="S213" s="133" t="e">
        <f t="shared" ref="S213:S218" ca="1" si="263">PutCtData("PKAMOUNT","AMOUNT",S$11:S$14,$B213:$D213,S$17,$P213)</f>
        <v>#NAME?</v>
      </c>
      <c r="T213" s="134"/>
      <c r="U213" s="134"/>
      <c r="V213" s="144"/>
      <c r="W213" s="142"/>
      <c r="X213" s="142"/>
      <c r="Y213" s="122"/>
      <c r="Z213" s="135">
        <v>50.311999999999998</v>
      </c>
      <c r="AA213" s="135"/>
      <c r="AB213" s="135">
        <f t="shared" si="244"/>
        <v>50.311999999999998</v>
      </c>
      <c r="AC213" s="135">
        <f t="shared" si="245"/>
        <v>13.649000000000001</v>
      </c>
      <c r="AD213" s="122"/>
      <c r="AE213" s="195" t="e">
        <f ca="1">GetCtData("PKAMOUNT","AMOUNT",$AE$11:$AE$18,$B213:$D213,AE$19:AE$20,"#63.961")</f>
        <v>#NAME?</v>
      </c>
      <c r="AF213" s="142"/>
      <c r="AG213" s="142" t="e">
        <f t="shared" ca="1" si="212"/>
        <v>#NAME?</v>
      </c>
      <c r="AH213" s="196" t="e">
        <f t="shared" ca="1" si="211"/>
        <v>#NAME?</v>
      </c>
      <c r="AI213" s="128"/>
      <c r="AJ213" s="142" t="e">
        <f t="shared" ca="1" si="246"/>
        <v>#NAME?</v>
      </c>
      <c r="AK213" s="142" t="e">
        <f ca="1">GetCtData("PKAMOUNT","AMOUNT",$AK$11:$AK$18,$B213:$D213,AK$19:AK$20,"#9.137")</f>
        <v>#NAME?</v>
      </c>
      <c r="AL213" s="143" t="e">
        <f t="shared" ca="1" si="260"/>
        <v>#NAME?</v>
      </c>
      <c r="AM213" s="122"/>
      <c r="AN213" s="142" t="e">
        <f ca="1">GetCtData("PKAMOUNT","AMOUNT",$AN$11:$AN$18,$B213:$D213,AN$19:AN$20,"#9.138")</f>
        <v>#NAME?</v>
      </c>
      <c r="AO213" s="142" t="e">
        <f ca="1">GetCtData("PKAMOUNT","AMOUNT",$AO$11:$AO$18,$B213:$D213,AO$19:AO$20,"#54.824")</f>
        <v>#NAME?</v>
      </c>
      <c r="AP213" s="122"/>
      <c r="AQ213" s="142" t="e">
        <f ca="1">GetCtData("PKAMOUNT","AMOUNT",$AQ$11:$AQ$18,$B213:$D213,AQ$19:AQ$20,"#63.961")</f>
        <v>#NAME?</v>
      </c>
      <c r="AR213" s="142" t="e">
        <f t="shared" ca="1" si="247"/>
        <v>#NAME?</v>
      </c>
      <c r="AS213" s="142"/>
      <c r="AT213" s="142" t="e">
        <f ca="1">GetCtData("PKAMOUNT","AMOUNT",AT$11:AT$18,$B213:$D213,AT$19:AT$20,"#70.438")</f>
        <v>#NAME?</v>
      </c>
      <c r="AU213" s="142" t="e">
        <f t="shared" ca="1" si="248"/>
        <v>#NAME?</v>
      </c>
      <c r="AV213" s="72"/>
      <c r="AW213" s="72" t="e">
        <f t="shared" ca="1" si="249"/>
        <v>#NAME?</v>
      </c>
      <c r="AX213" s="72" t="e">
        <f t="shared" ca="1" si="250"/>
        <v>#NAME?</v>
      </c>
      <c r="AY213" s="72"/>
      <c r="AZ213" s="72" t="e">
        <f t="shared" ca="1" si="251"/>
        <v>#NAME?</v>
      </c>
      <c r="BA213" s="72" t="e">
        <f t="shared" ca="1" si="252"/>
        <v>#NAME?</v>
      </c>
      <c r="BB213" s="72"/>
      <c r="BC213" s="72" t="e">
        <f t="shared" ca="1" si="253"/>
        <v>#NAME?</v>
      </c>
      <c r="BD213" s="72" t="e">
        <f t="shared" ca="1" si="237"/>
        <v>#NAME?</v>
      </c>
      <c r="BE213" s="72"/>
      <c r="BF213" s="72" t="e">
        <f t="shared" ca="1" si="254"/>
        <v>#NAME?</v>
      </c>
      <c r="BG213" s="72" t="e">
        <f t="shared" ca="1" si="238"/>
        <v>#NAME?</v>
      </c>
      <c r="BH213" s="72"/>
      <c r="BI213" s="72" t="e">
        <f t="shared" ca="1" si="255"/>
        <v>#NAME?</v>
      </c>
      <c r="BJ213" s="72" t="e">
        <f t="shared" ca="1" si="239"/>
        <v>#NAME?</v>
      </c>
      <c r="BK213" s="72"/>
      <c r="BL213" s="72" t="e">
        <f t="shared" ca="1" si="256"/>
        <v>#NAME?</v>
      </c>
      <c r="BM213" s="72" t="e">
        <f t="shared" ca="1" si="257"/>
        <v>#NAME?</v>
      </c>
      <c r="BN213" s="72"/>
      <c r="BO213" s="72" t="e">
        <f t="shared" ca="1" si="258"/>
        <v>#NAME?</v>
      </c>
      <c r="BP213" s="72" t="e">
        <f t="shared" ca="1" si="240"/>
        <v>#NAME?</v>
      </c>
      <c r="BQ213" s="72"/>
      <c r="BR213" s="72" t="e">
        <f t="shared" ca="1" si="259"/>
        <v>#NAME?</v>
      </c>
      <c r="BS213" s="72" t="e">
        <f ca="1">#REF!-BR213</f>
        <v>#REF!</v>
      </c>
    </row>
    <row r="214" spans="1:71" outlineLevel="1" x14ac:dyDescent="0.2">
      <c r="A214" s="82" t="s">
        <v>243</v>
      </c>
      <c r="B214" s="82" t="s">
        <v>407</v>
      </c>
      <c r="C214" s="82" t="s">
        <v>383</v>
      </c>
      <c r="D214" s="82" t="s">
        <v>172</v>
      </c>
      <c r="E214" s="74" t="e">
        <f ca="1">GetCtLabel(B214,"CURINIT(AC)!LDESC","#Worldwide overhead")</f>
        <v>#NAME?</v>
      </c>
      <c r="F214" s="130"/>
      <c r="G214" s="131"/>
      <c r="H214" s="130"/>
      <c r="I214" s="72"/>
      <c r="J214" s="72"/>
      <c r="K214" s="72"/>
      <c r="L214" s="72"/>
      <c r="M214" s="198">
        <v>144.63399999999999</v>
      </c>
      <c r="N214" s="130"/>
      <c r="O214" s="140">
        <f t="shared" si="241"/>
        <v>144.63399999999999</v>
      </c>
      <c r="P214" s="193">
        <f t="shared" si="242"/>
        <v>-144.63399999999999</v>
      </c>
      <c r="Q214" s="193">
        <f t="shared" si="243"/>
        <v>0</v>
      </c>
      <c r="R214" s="133" t="e">
        <f t="shared" ca="1" si="262"/>
        <v>#NAME?</v>
      </c>
      <c r="S214" s="133" t="e">
        <f t="shared" ca="1" si="263"/>
        <v>#NAME?</v>
      </c>
      <c r="T214" s="134"/>
      <c r="U214" s="134"/>
      <c r="V214" s="144"/>
      <c r="W214" s="142"/>
      <c r="X214" s="142"/>
      <c r="Y214" s="122"/>
      <c r="Z214" s="135">
        <v>98.8</v>
      </c>
      <c r="AA214" s="135"/>
      <c r="AB214" s="135">
        <f t="shared" si="244"/>
        <v>98.8</v>
      </c>
      <c r="AC214" s="135">
        <f t="shared" si="245"/>
        <v>45.833999999999989</v>
      </c>
      <c r="AD214" s="122"/>
      <c r="AE214" s="195" t="e">
        <f ca="1">GetCtData("PKAMOUNT","AMOUNT",$AE$11:$AE$18,$B214:$D214,AE$19:AE$20,"#144.634")</f>
        <v>#NAME?</v>
      </c>
      <c r="AF214" s="142"/>
      <c r="AG214" s="142" t="e">
        <f t="shared" ca="1" si="212"/>
        <v>#NAME?</v>
      </c>
      <c r="AH214" s="196" t="e">
        <f t="shared" ca="1" si="211"/>
        <v>#NAME?</v>
      </c>
      <c r="AI214" s="128"/>
      <c r="AJ214" s="142" t="e">
        <f t="shared" ca="1" si="246"/>
        <v>#NAME?</v>
      </c>
      <c r="AK214" s="142" t="e">
        <f ca="1">GetCtData("PKAMOUNT","AMOUNT",$AK$11:$AK$18,$B214:$D214,AK$19:AK$20,"#20.662")</f>
        <v>#NAME?</v>
      </c>
      <c r="AL214" s="143" t="e">
        <f t="shared" ca="1" si="260"/>
        <v>#NAME?</v>
      </c>
      <c r="AM214" s="122"/>
      <c r="AN214" s="142" t="e">
        <f ca="1">GetCtData("PKAMOUNT","AMOUNT",$AN$11:$AN$18,$B214:$D214,AN$19:AN$20,"#20.662")</f>
        <v>#NAME?</v>
      </c>
      <c r="AO214" s="142" t="e">
        <f ca="1">GetCtData("PKAMOUNT","AMOUNT",$AO$11:$AO$18,$B214:$D214,AO$19:AO$20,"#123.972")</f>
        <v>#NAME?</v>
      </c>
      <c r="AP214" s="122"/>
      <c r="AQ214" s="142" t="e">
        <f ca="1">GetCtData("PKAMOUNT","AMOUNT",$AQ$11:$AQ$18,$B214:$D214,AQ$19:AQ$20,"#144.634")</f>
        <v>#NAME?</v>
      </c>
      <c r="AR214" s="142" t="e">
        <f t="shared" ca="1" si="247"/>
        <v>#NAME?</v>
      </c>
      <c r="AS214" s="142"/>
      <c r="AT214" s="142" t="e">
        <f ca="1">GetCtData("PKAMOUNT","AMOUNT",AT$11:AT$18,$B214:$D214,AT$19:AT$20,"#138.32")</f>
        <v>#NAME?</v>
      </c>
      <c r="AU214" s="142" t="e">
        <f t="shared" ca="1" si="248"/>
        <v>#NAME?</v>
      </c>
      <c r="AV214" s="72"/>
      <c r="AW214" s="72" t="e">
        <f t="shared" ca="1" si="249"/>
        <v>#NAME?</v>
      </c>
      <c r="AX214" s="72" t="e">
        <f t="shared" ca="1" si="250"/>
        <v>#NAME?</v>
      </c>
      <c r="AY214" s="72"/>
      <c r="AZ214" s="72" t="e">
        <f t="shared" ca="1" si="251"/>
        <v>#NAME?</v>
      </c>
      <c r="BA214" s="72" t="e">
        <f t="shared" ca="1" si="252"/>
        <v>#NAME?</v>
      </c>
      <c r="BB214" s="72"/>
      <c r="BC214" s="72" t="e">
        <f t="shared" ca="1" si="253"/>
        <v>#NAME?</v>
      </c>
      <c r="BD214" s="72" t="e">
        <f t="shared" ca="1" si="237"/>
        <v>#NAME?</v>
      </c>
      <c r="BE214" s="72"/>
      <c r="BF214" s="72" t="e">
        <f t="shared" ca="1" si="254"/>
        <v>#NAME?</v>
      </c>
      <c r="BG214" s="72" t="e">
        <f t="shared" ca="1" si="238"/>
        <v>#NAME?</v>
      </c>
      <c r="BH214" s="72"/>
      <c r="BI214" s="72" t="e">
        <f t="shared" ca="1" si="255"/>
        <v>#NAME?</v>
      </c>
      <c r="BJ214" s="72" t="e">
        <f t="shared" ca="1" si="239"/>
        <v>#NAME?</v>
      </c>
      <c r="BK214" s="72"/>
      <c r="BL214" s="72" t="e">
        <f t="shared" ca="1" si="256"/>
        <v>#NAME?</v>
      </c>
      <c r="BM214" s="72" t="e">
        <f t="shared" ca="1" si="257"/>
        <v>#NAME?</v>
      </c>
      <c r="BN214" s="72"/>
      <c r="BO214" s="72" t="e">
        <f t="shared" ca="1" si="258"/>
        <v>#NAME?</v>
      </c>
      <c r="BP214" s="72" t="e">
        <f t="shared" ca="1" si="240"/>
        <v>#NAME?</v>
      </c>
      <c r="BQ214" s="72"/>
      <c r="BR214" s="72" t="e">
        <f t="shared" ca="1" si="259"/>
        <v>#NAME?</v>
      </c>
      <c r="BS214" s="72" t="e">
        <f ca="1">#REF!-BR214</f>
        <v>#REF!</v>
      </c>
    </row>
    <row r="215" spans="1:71" outlineLevel="1" x14ac:dyDescent="0.2">
      <c r="A215" s="82" t="s">
        <v>243</v>
      </c>
      <c r="B215" s="82" t="s">
        <v>408</v>
      </c>
      <c r="D215" s="82" t="s">
        <v>172</v>
      </c>
      <c r="E215" s="74" t="e">
        <f ca="1">GetCtLabel(B215,"CURINIT(AC)!LDESC","#Cross-brands overhead")</f>
        <v>#NAME?</v>
      </c>
      <c r="F215" s="130"/>
      <c r="G215" s="131"/>
      <c r="H215" s="130"/>
      <c r="I215" s="72"/>
      <c r="J215" s="72"/>
      <c r="K215" s="72"/>
      <c r="L215" s="72"/>
      <c r="M215" s="198">
        <v>0</v>
      </c>
      <c r="N215" s="130"/>
      <c r="O215" s="140">
        <f t="shared" si="241"/>
        <v>0</v>
      </c>
      <c r="P215" s="193">
        <f t="shared" si="242"/>
        <v>0</v>
      </c>
      <c r="Q215" s="193">
        <f t="shared" si="243"/>
        <v>0</v>
      </c>
      <c r="R215" s="133" t="e">
        <f t="shared" ca="1" si="262"/>
        <v>#NAME?</v>
      </c>
      <c r="S215" s="133" t="e">
        <f t="shared" ca="1" si="263"/>
        <v>#NAME?</v>
      </c>
      <c r="T215" s="134"/>
      <c r="U215" s="134"/>
      <c r="V215" s="144"/>
      <c r="W215" s="142"/>
      <c r="X215" s="142"/>
      <c r="Y215" s="122"/>
      <c r="Z215" s="135"/>
      <c r="AA215" s="135"/>
      <c r="AB215" s="135">
        <f t="shared" si="244"/>
        <v>0</v>
      </c>
      <c r="AC215" s="135">
        <f t="shared" si="245"/>
        <v>0</v>
      </c>
      <c r="AD215" s="122"/>
      <c r="AE215" s="195" t="e">
        <f ca="1">GetCtData("PKAMOUNT","AMOUNT",$AE$11:$AE$18,$B215:$D215,AE$19:AE$20,"#")</f>
        <v>#NAME?</v>
      </c>
      <c r="AF215" s="142"/>
      <c r="AG215" s="142" t="e">
        <f t="shared" ca="1" si="212"/>
        <v>#NAME?</v>
      </c>
      <c r="AH215" s="196" t="e">
        <f t="shared" ca="1" si="211"/>
        <v>#NAME?</v>
      </c>
      <c r="AI215" s="128"/>
      <c r="AJ215" s="142" t="e">
        <f t="shared" ca="1" si="246"/>
        <v>#NAME?</v>
      </c>
      <c r="AK215" s="142" t="e">
        <f ca="1">GetCtData("PKAMOUNT","AMOUNT",$AK$11:$AK$18,$B215:$D215,AK$19:AK$20,"#")</f>
        <v>#NAME?</v>
      </c>
      <c r="AL215" s="143" t="e">
        <f t="shared" ca="1" si="260"/>
        <v>#NAME?</v>
      </c>
      <c r="AM215" s="122"/>
      <c r="AN215" s="142" t="e">
        <f ca="1">GetCtData("PKAMOUNT","AMOUNT",$AN$11:$AN$18,$B215:$D215,AN$19:AN$20,"#")</f>
        <v>#NAME?</v>
      </c>
      <c r="AO215" s="142" t="e">
        <f ca="1">GetCtData("PKAMOUNT","AMOUNT",$AO$11:$AO$18,$B215:$D215,AO$19:AO$20,"#")</f>
        <v>#NAME?</v>
      </c>
      <c r="AP215" s="122"/>
      <c r="AQ215" s="142" t="e">
        <f ca="1">GetCtData("PKAMOUNT","AMOUNT",$AQ$11:$AQ$18,$B215:$D215,AQ$19:AQ$20,"#")</f>
        <v>#NAME?</v>
      </c>
      <c r="AR215" s="142" t="e">
        <f t="shared" ca="1" si="247"/>
        <v>#NAME?</v>
      </c>
      <c r="AS215" s="142"/>
      <c r="AT215" s="142" t="e">
        <f ca="1">GetCtData("PKAMOUNT","AMOUNT",AT$11:AT$18,$B215:$D215,AT$19:AT$20,"#")</f>
        <v>#NAME?</v>
      </c>
      <c r="AU215" s="142" t="e">
        <f t="shared" ca="1" si="248"/>
        <v>#NAME?</v>
      </c>
      <c r="AV215" s="72"/>
      <c r="AW215" s="72" t="e">
        <f t="shared" ca="1" si="249"/>
        <v>#NAME?</v>
      </c>
      <c r="AX215" s="72" t="e">
        <f t="shared" ca="1" si="250"/>
        <v>#NAME?</v>
      </c>
      <c r="AY215" s="72"/>
      <c r="AZ215" s="72" t="e">
        <f t="shared" ca="1" si="251"/>
        <v>#NAME?</v>
      </c>
      <c r="BA215" s="72" t="e">
        <f t="shared" ca="1" si="252"/>
        <v>#NAME?</v>
      </c>
      <c r="BB215" s="72"/>
      <c r="BC215" s="72" t="e">
        <f t="shared" ca="1" si="253"/>
        <v>#NAME?</v>
      </c>
      <c r="BD215" s="72" t="e">
        <f t="shared" ca="1" si="237"/>
        <v>#NAME?</v>
      </c>
      <c r="BE215" s="72"/>
      <c r="BF215" s="72" t="e">
        <f t="shared" ca="1" si="254"/>
        <v>#NAME?</v>
      </c>
      <c r="BG215" s="72" t="e">
        <f t="shared" ca="1" si="238"/>
        <v>#NAME?</v>
      </c>
      <c r="BH215" s="72"/>
      <c r="BI215" s="72" t="e">
        <f t="shared" ca="1" si="255"/>
        <v>#NAME?</v>
      </c>
      <c r="BJ215" s="72" t="e">
        <f t="shared" ca="1" si="239"/>
        <v>#NAME?</v>
      </c>
      <c r="BK215" s="72"/>
      <c r="BL215" s="72" t="e">
        <f t="shared" ca="1" si="256"/>
        <v>#NAME?</v>
      </c>
      <c r="BM215" s="72" t="e">
        <f t="shared" ca="1" si="257"/>
        <v>#NAME?</v>
      </c>
      <c r="BN215" s="72"/>
      <c r="BO215" s="72" t="e">
        <f t="shared" ca="1" si="258"/>
        <v>#NAME?</v>
      </c>
      <c r="BP215" s="72" t="e">
        <f t="shared" ca="1" si="240"/>
        <v>#NAME?</v>
      </c>
      <c r="BQ215" s="72"/>
      <c r="BR215" s="72" t="e">
        <f t="shared" ca="1" si="259"/>
        <v>#NAME?</v>
      </c>
      <c r="BS215" s="72" t="e">
        <f ca="1">#REF!-BR215</f>
        <v>#REF!</v>
      </c>
    </row>
    <row r="216" spans="1:71" outlineLevel="1" x14ac:dyDescent="0.2">
      <c r="A216" s="82" t="s">
        <v>243</v>
      </c>
      <c r="B216" s="82" t="s">
        <v>409</v>
      </c>
      <c r="C216" s="82" t="s">
        <v>410</v>
      </c>
      <c r="D216" s="82" t="s">
        <v>172</v>
      </c>
      <c r="E216" s="153" t="e">
        <f ca="1">GetCtLabel(B216,"CURINIT(AC)!LDESC","#O&amp;M WW Cross Discipline Overhead")</f>
        <v>#NAME?</v>
      </c>
      <c r="F216" s="130"/>
      <c r="G216" s="131"/>
      <c r="H216" s="130"/>
      <c r="I216" s="72"/>
      <c r="J216" s="72"/>
      <c r="K216" s="72"/>
      <c r="L216" s="72"/>
      <c r="M216" s="198">
        <v>45.078000000000003</v>
      </c>
      <c r="N216" s="130"/>
      <c r="O216" s="140">
        <f t="shared" si="241"/>
        <v>45.078000000000003</v>
      </c>
      <c r="P216" s="193">
        <f t="shared" si="242"/>
        <v>-45.078000000000003</v>
      </c>
      <c r="Q216" s="193">
        <f t="shared" si="243"/>
        <v>0</v>
      </c>
      <c r="R216" s="133" t="e">
        <f t="shared" ca="1" si="262"/>
        <v>#NAME?</v>
      </c>
      <c r="S216" s="133" t="e">
        <f t="shared" ca="1" si="263"/>
        <v>#NAME?</v>
      </c>
      <c r="T216" s="134"/>
      <c r="U216" s="134"/>
      <c r="V216" s="144"/>
      <c r="W216" s="142"/>
      <c r="X216" s="142"/>
      <c r="Y216" s="122"/>
      <c r="Z216" s="135">
        <v>36.396000000000001</v>
      </c>
      <c r="AA216" s="135"/>
      <c r="AB216" s="135">
        <f t="shared" si="244"/>
        <v>36.396000000000001</v>
      </c>
      <c r="AC216" s="135">
        <f t="shared" si="245"/>
        <v>8.6820000000000022</v>
      </c>
      <c r="AD216" s="122"/>
      <c r="AE216" s="195" t="e">
        <f ca="1">GetCtData("PKAMOUNT","AMOUNT",$AE$11:$AE$18,$B216:$D216,AE$19:AE$20,"#45.078")</f>
        <v>#NAME?</v>
      </c>
      <c r="AF216" s="142"/>
      <c r="AG216" s="142" t="e">
        <f t="shared" ca="1" si="212"/>
        <v>#NAME?</v>
      </c>
      <c r="AH216" s="196" t="e">
        <f t="shared" ca="1" si="211"/>
        <v>#NAME?</v>
      </c>
      <c r="AI216" s="128"/>
      <c r="AJ216" s="142" t="e">
        <f t="shared" ca="1" si="246"/>
        <v>#NAME?</v>
      </c>
      <c r="AK216" s="142" t="e">
        <f ca="1">GetCtData("PKAMOUNT","AMOUNT",$AK$11:$AK$18,$B216:$D216,AK$19:AK$20,"#6.44")</f>
        <v>#NAME?</v>
      </c>
      <c r="AL216" s="143" t="e">
        <f t="shared" ca="1" si="260"/>
        <v>#NAME?</v>
      </c>
      <c r="AM216" s="122"/>
      <c r="AN216" s="142" t="e">
        <f ca="1">GetCtData("PKAMOUNT","AMOUNT",$AN$11:$AN$18,$B216:$D216,AN$19:AN$20,"#6.439")</f>
        <v>#NAME?</v>
      </c>
      <c r="AO216" s="142" t="e">
        <f ca="1">GetCtData("PKAMOUNT","AMOUNT",$AO$11:$AO$18,$B216:$D216,AO$19:AO$20,"#38.638")</f>
        <v>#NAME?</v>
      </c>
      <c r="AP216" s="122"/>
      <c r="AQ216" s="142" t="e">
        <f ca="1">GetCtData("PKAMOUNT","AMOUNT",$AQ$11:$AQ$18,$B216:$D216,AQ$19:AQ$20,"#45.078")</f>
        <v>#NAME?</v>
      </c>
      <c r="AR216" s="142" t="e">
        <f t="shared" ca="1" si="247"/>
        <v>#NAME?</v>
      </c>
      <c r="AS216" s="142"/>
      <c r="AT216" s="142" t="e">
        <f ca="1">GetCtData("PKAMOUNT","AMOUNT",AT$11:AT$18,$B216:$D216,AT$19:AT$20,"#46.144")</f>
        <v>#NAME?</v>
      </c>
      <c r="AU216" s="142" t="e">
        <f t="shared" ca="1" si="248"/>
        <v>#NAME?</v>
      </c>
      <c r="AV216" s="72"/>
      <c r="AW216" s="72" t="e">
        <f t="shared" ca="1" si="249"/>
        <v>#NAME?</v>
      </c>
      <c r="AX216" s="72" t="e">
        <f t="shared" ca="1" si="250"/>
        <v>#NAME?</v>
      </c>
      <c r="AY216" s="72"/>
      <c r="AZ216" s="72" t="e">
        <f t="shared" ca="1" si="251"/>
        <v>#NAME?</v>
      </c>
      <c r="BA216" s="72" t="e">
        <f t="shared" ca="1" si="252"/>
        <v>#NAME?</v>
      </c>
      <c r="BB216" s="72"/>
      <c r="BC216" s="72" t="e">
        <f t="shared" ca="1" si="253"/>
        <v>#NAME?</v>
      </c>
      <c r="BD216" s="72" t="e">
        <f t="shared" ca="1" si="237"/>
        <v>#NAME?</v>
      </c>
      <c r="BE216" s="72"/>
      <c r="BF216" s="72" t="e">
        <f t="shared" ca="1" si="254"/>
        <v>#NAME?</v>
      </c>
      <c r="BG216" s="72" t="e">
        <f t="shared" ca="1" si="238"/>
        <v>#NAME?</v>
      </c>
      <c r="BH216" s="72"/>
      <c r="BI216" s="72" t="e">
        <f t="shared" ca="1" si="255"/>
        <v>#NAME?</v>
      </c>
      <c r="BJ216" s="72" t="e">
        <f t="shared" ca="1" si="239"/>
        <v>#NAME?</v>
      </c>
      <c r="BK216" s="72"/>
      <c r="BL216" s="72" t="e">
        <f t="shared" ca="1" si="256"/>
        <v>#NAME?</v>
      </c>
      <c r="BM216" s="72" t="e">
        <f t="shared" ca="1" si="257"/>
        <v>#NAME?</v>
      </c>
      <c r="BN216" s="72"/>
      <c r="BO216" s="72" t="e">
        <f t="shared" ca="1" si="258"/>
        <v>#NAME?</v>
      </c>
      <c r="BP216" s="72" t="e">
        <f t="shared" ca="1" si="240"/>
        <v>#NAME?</v>
      </c>
      <c r="BQ216" s="72"/>
      <c r="BR216" s="72" t="e">
        <f t="shared" ca="1" si="259"/>
        <v>#NAME?</v>
      </c>
      <c r="BS216" s="72" t="e">
        <f ca="1">#REF!-BR216</f>
        <v>#REF!</v>
      </c>
    </row>
    <row r="217" spans="1:71" outlineLevel="1" x14ac:dyDescent="0.2">
      <c r="A217" s="82" t="s">
        <v>243</v>
      </c>
      <c r="B217" s="82" t="s">
        <v>409</v>
      </c>
      <c r="C217" s="82" t="s">
        <v>411</v>
      </c>
      <c r="D217" s="82" t="s">
        <v>172</v>
      </c>
      <c r="E217" s="153" t="e">
        <f ca="1">GetCtLabel(B217,"CURINIT(AC)!LDESC","#O&amp;M WW Cross Discipline Overhead")</f>
        <v>#NAME?</v>
      </c>
      <c r="F217" s="130"/>
      <c r="G217" s="131"/>
      <c r="H217" s="130"/>
      <c r="I217" s="72"/>
      <c r="J217" s="72"/>
      <c r="K217" s="72"/>
      <c r="L217" s="72"/>
      <c r="M217" s="198">
        <v>5.9080000000000004</v>
      </c>
      <c r="N217" s="130"/>
      <c r="O217" s="140">
        <f>SUM(F217:M217)</f>
        <v>5.9080000000000004</v>
      </c>
      <c r="P217" s="193">
        <f>-O217</f>
        <v>-5.9080000000000004</v>
      </c>
      <c r="Q217" s="193">
        <f t="shared" si="243"/>
        <v>0</v>
      </c>
      <c r="R217" s="133" t="e">
        <f t="shared" ca="1" si="262"/>
        <v>#NAME?</v>
      </c>
      <c r="S217" s="133" t="e">
        <f t="shared" ca="1" si="263"/>
        <v>#NAME?</v>
      </c>
      <c r="T217" s="134"/>
      <c r="U217" s="134"/>
      <c r="V217" s="144"/>
      <c r="W217" s="142"/>
      <c r="X217" s="142"/>
      <c r="Y217" s="122"/>
      <c r="Z217" s="135">
        <v>36.396000000000001</v>
      </c>
      <c r="AA217" s="135"/>
      <c r="AB217" s="135">
        <f>Z217+AA217</f>
        <v>36.396000000000001</v>
      </c>
      <c r="AC217" s="135">
        <f t="shared" si="245"/>
        <v>-30.488</v>
      </c>
      <c r="AD217" s="122"/>
      <c r="AE217" s="195" t="e">
        <f ca="1">GetCtData("PKAMOUNT","AMOUNT",$AE$11:$AE$18,$B217:$D217,AE$19:AE$20,"#5.908")</f>
        <v>#NAME?</v>
      </c>
      <c r="AF217" s="142"/>
      <c r="AG217" s="142" t="e">
        <f t="shared" ca="1" si="212"/>
        <v>#NAME?</v>
      </c>
      <c r="AH217" s="196" t="e">
        <f t="shared" ca="1" si="211"/>
        <v>#NAME?</v>
      </c>
      <c r="AI217" s="128"/>
      <c r="AJ217" s="142" t="e">
        <f t="shared" ca="1" si="246"/>
        <v>#NAME?</v>
      </c>
      <c r="AK217" s="142" t="e">
        <f ca="1">GetCtData("PKAMOUNT","AMOUNT",$AK$11:$AK$18,$B217:$D217,AK$19:AK$20,"#0.844")</f>
        <v>#NAME?</v>
      </c>
      <c r="AL217" s="143" t="e">
        <f t="shared" ca="1" si="260"/>
        <v>#NAME?</v>
      </c>
      <c r="AM217" s="122"/>
      <c r="AN217" s="142" t="e">
        <f ca="1">GetCtData("PKAMOUNT","AMOUNT",$AN$11:$AN$18,$B217:$D217,AN$19:AN$20,"#0.844")</f>
        <v>#NAME?</v>
      </c>
      <c r="AO217" s="142" t="e">
        <f ca="1">GetCtData("PKAMOUNT","AMOUNT",$AO$11:$AO$18,$B217:$D217,AO$19:AO$20,"#5.064")</f>
        <v>#NAME?</v>
      </c>
      <c r="AP217" s="122"/>
      <c r="AQ217" s="142" t="e">
        <f ca="1">GetCtData("PKAMOUNT","AMOUNT",$AQ$11:$AQ$18,$B217:$D217,AQ$19:AQ$20,"#5.908")</f>
        <v>#NAME?</v>
      </c>
      <c r="AR217" s="142" t="e">
        <f t="shared" ca="1" si="247"/>
        <v>#NAME?</v>
      </c>
      <c r="AS217" s="142"/>
      <c r="AT217" s="142" t="e">
        <f ca="1">GetCtData("PKAMOUNT","AMOUNT",AT$11:AT$18,$B217:$D217,AT$19:AT$20,"#4.81")</f>
        <v>#NAME?</v>
      </c>
      <c r="AU217" s="142" t="e">
        <f t="shared" ca="1" si="248"/>
        <v>#NAME?</v>
      </c>
      <c r="AV217" s="72"/>
      <c r="AW217" s="72" t="e">
        <f t="shared" ca="1" si="249"/>
        <v>#NAME?</v>
      </c>
      <c r="AX217" s="72" t="e">
        <f t="shared" ca="1" si="250"/>
        <v>#NAME?</v>
      </c>
      <c r="AY217" s="72"/>
      <c r="AZ217" s="72" t="e">
        <f t="shared" ca="1" si="251"/>
        <v>#NAME?</v>
      </c>
      <c r="BA217" s="72" t="e">
        <f t="shared" ca="1" si="252"/>
        <v>#NAME?</v>
      </c>
      <c r="BB217" s="72"/>
      <c r="BC217" s="72" t="e">
        <f t="shared" ca="1" si="253"/>
        <v>#NAME?</v>
      </c>
      <c r="BD217" s="72" t="e">
        <f t="shared" ca="1" si="237"/>
        <v>#NAME?</v>
      </c>
      <c r="BE217" s="72"/>
      <c r="BF217" s="72" t="e">
        <f t="shared" ca="1" si="254"/>
        <v>#NAME?</v>
      </c>
      <c r="BG217" s="72" t="e">
        <f t="shared" ca="1" si="238"/>
        <v>#NAME?</v>
      </c>
      <c r="BH217" s="72"/>
      <c r="BI217" s="72" t="e">
        <f t="shared" ca="1" si="255"/>
        <v>#NAME?</v>
      </c>
      <c r="BJ217" s="72" t="e">
        <f t="shared" ca="1" si="239"/>
        <v>#NAME?</v>
      </c>
      <c r="BK217" s="72"/>
      <c r="BL217" s="72" t="e">
        <f t="shared" ca="1" si="256"/>
        <v>#NAME?</v>
      </c>
      <c r="BM217" s="72" t="e">
        <f t="shared" ca="1" si="257"/>
        <v>#NAME?</v>
      </c>
      <c r="BN217" s="72"/>
      <c r="BO217" s="72" t="e">
        <f t="shared" ca="1" si="258"/>
        <v>#NAME?</v>
      </c>
      <c r="BP217" s="72" t="e">
        <f t="shared" ca="1" si="240"/>
        <v>#NAME?</v>
      </c>
      <c r="BQ217" s="72"/>
      <c r="BR217" s="72" t="e">
        <f t="shared" ca="1" si="259"/>
        <v>#NAME?</v>
      </c>
      <c r="BS217" s="72" t="e">
        <f ca="1">#REF!-BR217</f>
        <v>#REF!</v>
      </c>
    </row>
    <row r="218" spans="1:71" outlineLevel="1" x14ac:dyDescent="0.2">
      <c r="A218" s="82" t="s">
        <v>243</v>
      </c>
      <c r="B218" s="82" t="s">
        <v>412</v>
      </c>
      <c r="C218" s="82" t="s">
        <v>406</v>
      </c>
      <c r="D218" s="82" t="s">
        <v>172</v>
      </c>
      <c r="E218" s="74" t="e">
        <f ca="1">GetCtLabel(B218,"CURINIT(AC)!LDESC","#O&amp;M Regional Cross Discipline Overhead")</f>
        <v>#NAME?</v>
      </c>
      <c r="F218" s="130"/>
      <c r="G218" s="131"/>
      <c r="H218" s="130"/>
      <c r="I218" s="72"/>
      <c r="J218" s="72"/>
      <c r="K218" s="72"/>
      <c r="L218" s="72"/>
      <c r="M218" s="198">
        <v>42.497</v>
      </c>
      <c r="N218" s="130"/>
      <c r="O218" s="140">
        <f t="shared" si="241"/>
        <v>42.497</v>
      </c>
      <c r="P218" s="193">
        <f t="shared" si="242"/>
        <v>-42.497</v>
      </c>
      <c r="Q218" s="193">
        <f t="shared" si="243"/>
        <v>0</v>
      </c>
      <c r="R218" s="133" t="e">
        <f t="shared" ca="1" si="262"/>
        <v>#NAME?</v>
      </c>
      <c r="S218" s="133" t="e">
        <f t="shared" ca="1" si="263"/>
        <v>#NAME?</v>
      </c>
      <c r="T218" s="134"/>
      <c r="U218" s="134"/>
      <c r="V218" s="144"/>
      <c r="W218" s="142"/>
      <c r="X218" s="142"/>
      <c r="Y218" s="122"/>
      <c r="Z218" s="135">
        <v>35.311999999999998</v>
      </c>
      <c r="AA218" s="135"/>
      <c r="AB218" s="135">
        <f t="shared" si="244"/>
        <v>35.311999999999998</v>
      </c>
      <c r="AC218" s="135">
        <f t="shared" si="245"/>
        <v>7.1850000000000023</v>
      </c>
      <c r="AD218" s="122"/>
      <c r="AE218" s="195" t="e">
        <f ca="1">GetCtData("PKAMOUNT","AMOUNT",$AE$11:$AE$18,$B218:$D218,AE$19:AE$20,"#42.497")</f>
        <v>#NAME?</v>
      </c>
      <c r="AF218" s="142"/>
      <c r="AG218" s="142" t="e">
        <f t="shared" ca="1" si="212"/>
        <v>#NAME?</v>
      </c>
      <c r="AH218" s="196" t="e">
        <f t="shared" ca="1" si="211"/>
        <v>#NAME?</v>
      </c>
      <c r="AI218" s="128"/>
      <c r="AJ218" s="142" t="e">
        <f t="shared" ca="1" si="246"/>
        <v>#NAME?</v>
      </c>
      <c r="AK218" s="142" t="e">
        <f ca="1">GetCtData("PKAMOUNT","AMOUNT",$AK$11:$AK$18,$B218:$D218,AK$19:AK$20,"#6.071")</f>
        <v>#NAME?</v>
      </c>
      <c r="AL218" s="143" t="e">
        <f t="shared" ca="1" si="260"/>
        <v>#NAME?</v>
      </c>
      <c r="AM218" s="122"/>
      <c r="AN218" s="142" t="e">
        <f ca="1">GetCtData("PKAMOUNT","AMOUNT",$AN$11:$AN$18,$B218:$D218,AN$19:AN$20,"#6.071")</f>
        <v>#NAME?</v>
      </c>
      <c r="AO218" s="142" t="e">
        <f ca="1">GetCtData("PKAMOUNT","AMOUNT",$AO$11:$AO$18,$B218:$D218,AO$19:AO$20,"#36.426")</f>
        <v>#NAME?</v>
      </c>
      <c r="AP218" s="122"/>
      <c r="AQ218" s="142" t="e">
        <f ca="1">GetCtData("PKAMOUNT","AMOUNT",$AQ$11:$AQ$18,$B218:$D218,AQ$19:AQ$20,"#42.497")</f>
        <v>#NAME?</v>
      </c>
      <c r="AR218" s="142" t="e">
        <f t="shared" ca="1" si="247"/>
        <v>#NAME?</v>
      </c>
      <c r="AS218" s="142"/>
      <c r="AT218" s="142" t="e">
        <f ca="1">GetCtData("PKAMOUNT","AMOUNT",AT$11:AT$18,$B218:$D218,AT$19:AT$20,"#49.436")</f>
        <v>#NAME?</v>
      </c>
      <c r="AU218" s="142" t="e">
        <f t="shared" ca="1" si="248"/>
        <v>#NAME?</v>
      </c>
      <c r="AV218" s="72"/>
      <c r="AW218" s="72" t="e">
        <f t="shared" ca="1" si="249"/>
        <v>#NAME?</v>
      </c>
      <c r="AX218" s="72" t="e">
        <f t="shared" ca="1" si="250"/>
        <v>#NAME?</v>
      </c>
      <c r="AY218" s="72"/>
      <c r="AZ218" s="72" t="e">
        <f t="shared" ca="1" si="251"/>
        <v>#NAME?</v>
      </c>
      <c r="BA218" s="72" t="e">
        <f t="shared" ca="1" si="252"/>
        <v>#NAME?</v>
      </c>
      <c r="BB218" s="72"/>
      <c r="BC218" s="72" t="e">
        <f t="shared" ca="1" si="253"/>
        <v>#NAME?</v>
      </c>
      <c r="BD218" s="72" t="e">
        <f t="shared" ca="1" si="237"/>
        <v>#NAME?</v>
      </c>
      <c r="BE218" s="72"/>
      <c r="BF218" s="72" t="e">
        <f t="shared" ca="1" si="254"/>
        <v>#NAME?</v>
      </c>
      <c r="BG218" s="72" t="e">
        <f t="shared" ca="1" si="238"/>
        <v>#NAME?</v>
      </c>
      <c r="BH218" s="72"/>
      <c r="BI218" s="72" t="e">
        <f t="shared" ca="1" si="255"/>
        <v>#NAME?</v>
      </c>
      <c r="BJ218" s="72" t="e">
        <f t="shared" ca="1" si="239"/>
        <v>#NAME?</v>
      </c>
      <c r="BK218" s="72"/>
      <c r="BL218" s="72" t="e">
        <f t="shared" ca="1" si="256"/>
        <v>#NAME?</v>
      </c>
      <c r="BM218" s="72" t="e">
        <f t="shared" ca="1" si="257"/>
        <v>#NAME?</v>
      </c>
      <c r="BN218" s="72"/>
      <c r="BO218" s="72" t="e">
        <f t="shared" ca="1" si="258"/>
        <v>#NAME?</v>
      </c>
      <c r="BP218" s="72" t="e">
        <f t="shared" ca="1" si="240"/>
        <v>#NAME?</v>
      </c>
      <c r="BQ218" s="72"/>
      <c r="BR218" s="72" t="e">
        <f t="shared" ca="1" si="259"/>
        <v>#NAME?</v>
      </c>
      <c r="BS218" s="72" t="e">
        <f ca="1">#REF!-BR218</f>
        <v>#REF!</v>
      </c>
    </row>
    <row r="219" spans="1:71" x14ac:dyDescent="0.2">
      <c r="E219" s="74"/>
      <c r="F219" s="130"/>
      <c r="G219" s="131"/>
      <c r="H219" s="130"/>
      <c r="I219" s="72"/>
      <c r="J219" s="72"/>
      <c r="K219" s="72"/>
      <c r="L219" s="72"/>
      <c r="M219" s="72"/>
      <c r="N219" s="130"/>
      <c r="O219" s="121"/>
      <c r="P219" s="141">
        <f t="shared" ref="P219:P225" si="264">-K219</f>
        <v>0</v>
      </c>
      <c r="Q219" s="141"/>
      <c r="R219" s="122"/>
      <c r="S219" s="122"/>
      <c r="T219" s="122" t="e">
        <f ca="1">PutCtData("PKAMOUNT","AMOUNT",$T$11:$T$15,$B219,$T$18,$T$17,P219)</f>
        <v>#NAME?</v>
      </c>
      <c r="U219" s="122" t="e">
        <f ca="1">PutCtData("PKAMOUNT","AMOUNT",$U$11:$U$15,$B219,$U$18,$U$17,L219)</f>
        <v>#NAME?</v>
      </c>
      <c r="V219" s="144"/>
      <c r="W219" s="122"/>
      <c r="X219" s="122"/>
      <c r="Y219" s="122"/>
      <c r="Z219" s="135"/>
      <c r="AA219" s="135"/>
      <c r="AB219" s="135">
        <f t="shared" si="244"/>
        <v>0</v>
      </c>
      <c r="AC219" s="135"/>
      <c r="AD219" s="122"/>
      <c r="AE219" s="122"/>
      <c r="AF219" s="122"/>
      <c r="AG219" s="122">
        <f t="shared" si="212"/>
        <v>0</v>
      </c>
      <c r="AH219" s="136">
        <f t="shared" si="211"/>
        <v>0</v>
      </c>
      <c r="AI219" s="128"/>
      <c r="AJ219" s="122"/>
      <c r="AK219" s="122"/>
      <c r="AL219" s="136"/>
      <c r="AM219" s="122"/>
      <c r="AN219" s="122"/>
      <c r="AO219" s="122"/>
      <c r="AP219" s="122"/>
      <c r="AQ219" s="122"/>
      <c r="AR219" s="122"/>
      <c r="AS219" s="122"/>
      <c r="AT219" s="122"/>
      <c r="AU219" s="122"/>
      <c r="AV219" s="130"/>
      <c r="AW219" s="130"/>
      <c r="AX219" s="130"/>
      <c r="AY219" s="130"/>
      <c r="AZ219" s="130"/>
      <c r="BA219" s="130"/>
      <c r="BB219" s="130"/>
      <c r="BC219" s="130"/>
      <c r="BD219" s="130">
        <f t="shared" si="237"/>
        <v>0</v>
      </c>
      <c r="BE219" s="130"/>
      <c r="BF219" s="130"/>
      <c r="BG219" s="130">
        <f t="shared" si="238"/>
        <v>0</v>
      </c>
      <c r="BH219" s="130"/>
      <c r="BI219" s="130"/>
      <c r="BJ219" s="130">
        <f t="shared" si="239"/>
        <v>0</v>
      </c>
      <c r="BK219" s="130"/>
      <c r="BL219" s="130"/>
      <c r="BM219" s="130">
        <f>J219-BL219</f>
        <v>0</v>
      </c>
      <c r="BN219" s="130"/>
      <c r="BO219" s="130"/>
      <c r="BP219" s="130">
        <f t="shared" si="240"/>
        <v>0</v>
      </c>
      <c r="BQ219" s="130"/>
      <c r="BR219" s="130"/>
      <c r="BS219" s="130" t="e">
        <f>#REF!-BR219</f>
        <v>#REF!</v>
      </c>
    </row>
    <row r="220" spans="1:71" s="163" customFormat="1" x14ac:dyDescent="0.2">
      <c r="A220" s="146"/>
      <c r="B220" s="146" t="s">
        <v>413</v>
      </c>
      <c r="C220" s="146"/>
      <c r="D220" s="146" t="s">
        <v>250</v>
      </c>
      <c r="E220" s="147" t="e">
        <f ca="1">GetCtLabel(B220,"CURINIT(AC)!LDESC","#OVERHEAD ALLOCATION")</f>
        <v>#NAME?</v>
      </c>
      <c r="F220" s="148">
        <f ca="1">SUMIF($A208:F218,"yes",F208:F218)</f>
        <v>100.15300000000001</v>
      </c>
      <c r="G220" s="148">
        <f ca="1">SUMIF($A208:G218,"yes",G208:G218)</f>
        <v>0</v>
      </c>
      <c r="H220" s="148">
        <f ca="1">SUMIF($A208:H218,"yes",H208:H218)</f>
        <v>0</v>
      </c>
      <c r="I220" s="148">
        <f ca="1">SUMIF($A208:I218,"yes",I208:I218)</f>
        <v>0</v>
      </c>
      <c r="J220" s="202">
        <f ca="1">SUMIF($A208:J218,"yes",J208:J218)</f>
        <v>0</v>
      </c>
      <c r="K220" s="202">
        <f ca="1">SUMIF($A208:K218,"yes",K208:K218)</f>
        <v>-27.751000000000001</v>
      </c>
      <c r="L220" s="148">
        <f ca="1">SUMIF($A208:L218,"yes",L208:L218)</f>
        <v>0</v>
      </c>
      <c r="M220" s="148">
        <f ca="1">SUMIF($A208:M218,"yes",M208:M218)</f>
        <v>366.87399999999997</v>
      </c>
      <c r="N220" s="148">
        <f ca="1">SUMIF($A208:N218,"yes",N208:N218)</f>
        <v>0</v>
      </c>
      <c r="O220" s="149">
        <f ca="1">SUMIF($A208:O218,"yes",O208:O218)</f>
        <v>439.27600000000001</v>
      </c>
      <c r="P220" s="123">
        <f t="shared" ca="1" si="264"/>
        <v>27.751000000000001</v>
      </c>
      <c r="Q220" s="123"/>
      <c r="R220" s="197" t="e">
        <f ca="1">SUMIF($A208:R218,"yes",R208:R218)</f>
        <v>#NAME?</v>
      </c>
      <c r="S220" s="203" t="e">
        <f ca="1">SUMIF($A208:S218,"yes",S208:S218)</f>
        <v>#NAME?</v>
      </c>
      <c r="T220" s="203" t="e">
        <f ca="1">SUMIF($A208:T218,"yes",T208:T218)</f>
        <v>#NAME?</v>
      </c>
      <c r="U220" s="148">
        <f ca="1">SUMIF($A208:U218,"yes",U208:U218)</f>
        <v>0</v>
      </c>
      <c r="V220" s="144"/>
      <c r="W220" s="148">
        <f>SUM(W187:W218)</f>
        <v>0</v>
      </c>
      <c r="X220" s="148">
        <f>SUM(X187:X218)</f>
        <v>0</v>
      </c>
      <c r="Y220" s="136"/>
      <c r="Z220" s="150">
        <f>SUM(Z187:Z218)</f>
        <v>1170.3849999999998</v>
      </c>
      <c r="AA220" s="150">
        <f>SUM(AA204:AA218)</f>
        <v>0</v>
      </c>
      <c r="AB220" s="150">
        <f t="shared" si="244"/>
        <v>1170.3849999999998</v>
      </c>
      <c r="AC220" s="150">
        <f>SUM(AC187:AC218)</f>
        <v>179.03700000000003</v>
      </c>
      <c r="AD220" s="136"/>
      <c r="AE220" s="148" t="e">
        <f ca="1">GetCtData("PKAMOUNT","AMOUNT",$AE$11:$AE$18,$B220:$D220,AE$19:AE$20,"#439.276")</f>
        <v>#NAME?</v>
      </c>
      <c r="AF220" s="148">
        <f>SUM(AF204:AF218)</f>
        <v>0</v>
      </c>
      <c r="AG220" s="148" t="e">
        <f t="shared" ca="1" si="212"/>
        <v>#NAME?</v>
      </c>
      <c r="AH220" s="148" t="e">
        <f t="shared" ca="1" si="211"/>
        <v>#NAME?</v>
      </c>
      <c r="AI220" s="128"/>
      <c r="AJ220" s="148" t="e">
        <f t="shared" ref="AJ220:AJ225" ca="1" si="265">O220-AO220</f>
        <v>#NAME?</v>
      </c>
      <c r="AK220" s="148" t="e">
        <f ca="1">GetCtData("PKAMOUNT","AMOUNT",$AK$11:$AK$18,$B220:$D220,AK$19:AK$20,"#62.731")</f>
        <v>#NAME?</v>
      </c>
      <c r="AL220" s="148" t="e">
        <f ca="1">(O220-AO220)-AK220</f>
        <v>#NAME?</v>
      </c>
      <c r="AM220" s="136"/>
      <c r="AN220" s="148" t="e">
        <f ca="1">GetCtData("PKAMOUNT","AMOUNT",$AN$11:$AN$18,$B220:$D220,AN$19:AN$20,"#62.742")</f>
        <v>#NAME?</v>
      </c>
      <c r="AO220" s="148" t="e">
        <f ca="1">GetCtData("PKAMOUNT","AMOUNT",$AO$11:$AO$18,$B220:$D220,AO$19:AO$20,"#376.545")</f>
        <v>#NAME?</v>
      </c>
      <c r="AP220" s="136"/>
      <c r="AQ220" s="148" t="e">
        <f ca="1">GetCtData("PKAMOUNT","AMOUNT",$AQ$11:$AQ$18,$B220:$D220,AQ$19:AQ$20,"#439.208")</f>
        <v>#NAME?</v>
      </c>
      <c r="AR220" s="148" t="e">
        <f ca="1">O220-AQ220</f>
        <v>#NAME?</v>
      </c>
      <c r="AS220" s="148"/>
      <c r="AT220" s="148" t="e">
        <f ca="1">GetCtData("PKAMOUNT","AMOUNT",AT$11:AT$18,$B220:$D220,AT$19:AT$20,"#499.342")</f>
        <v>#NAME?</v>
      </c>
      <c r="AU220" s="148" t="e">
        <f ca="1">O220-AT220</f>
        <v>#NAME?</v>
      </c>
      <c r="AV220" s="148"/>
      <c r="AW220" s="148" t="e">
        <f ca="1">GetCtData("PKAMOUNT","AMOUNT",AW$11:AW$18,$B220:$D220,AW$19:AW$20,"#")</f>
        <v>#NAME?</v>
      </c>
      <c r="AX220" s="148" t="e">
        <f ca="1">O220-AW220</f>
        <v>#NAME?</v>
      </c>
      <c r="AY220" s="148"/>
      <c r="AZ220" s="148" t="e">
        <f ca="1">SUM(AZ187:AZ218)</f>
        <v>#NAME?</v>
      </c>
      <c r="BA220" s="148" t="e">
        <f ca="1">SUM(BA187:BA218)</f>
        <v>#NAME?</v>
      </c>
      <c r="BB220" s="148"/>
      <c r="BC220" s="148" t="e">
        <f ca="1">SUM(BC187:BC218)</f>
        <v>#NAME?</v>
      </c>
      <c r="BD220" s="148" t="e">
        <f t="shared" ca="1" si="237"/>
        <v>#NAME?</v>
      </c>
      <c r="BE220" s="148"/>
      <c r="BF220" s="148" t="e">
        <f ca="1">SUM(BF187:BF218)</f>
        <v>#NAME?</v>
      </c>
      <c r="BG220" s="148" t="e">
        <f t="shared" ca="1" si="238"/>
        <v>#NAME?</v>
      </c>
      <c r="BH220" s="148"/>
      <c r="BI220" s="148" t="e">
        <f ca="1">SUM(BI187:BI218)</f>
        <v>#NAME?</v>
      </c>
      <c r="BJ220" s="148" t="e">
        <f t="shared" ca="1" si="239"/>
        <v>#NAME?</v>
      </c>
      <c r="BK220" s="148"/>
      <c r="BL220" s="148" t="e">
        <f ca="1">SUM(BL187:BL218)</f>
        <v>#NAME?</v>
      </c>
      <c r="BM220" s="148" t="e">
        <f ca="1">O220-BL220</f>
        <v>#NAME?</v>
      </c>
      <c r="BN220" s="148"/>
      <c r="BO220" s="148" t="e">
        <f ca="1">SUM(BO187:BO218)</f>
        <v>#NAME?</v>
      </c>
      <c r="BP220" s="148" t="e">
        <f t="shared" ca="1" si="240"/>
        <v>#NAME?</v>
      </c>
      <c r="BQ220" s="148"/>
      <c r="BR220" s="148" t="e">
        <f ca="1">SUM(BR187:BR218)</f>
        <v>#NAME?</v>
      </c>
      <c r="BS220" s="148" t="e">
        <f ca="1">#REF!-BR220</f>
        <v>#REF!</v>
      </c>
    </row>
    <row r="221" spans="1:71" x14ac:dyDescent="0.2">
      <c r="E221" s="74"/>
      <c r="F221" s="130"/>
      <c r="G221" s="130"/>
      <c r="H221" s="130"/>
      <c r="I221" s="72"/>
      <c r="J221" s="72"/>
      <c r="K221" s="72"/>
      <c r="L221" s="72"/>
      <c r="M221" s="72"/>
      <c r="N221" s="130"/>
      <c r="O221" s="121"/>
      <c r="P221" s="141">
        <f t="shared" si="264"/>
        <v>0</v>
      </c>
      <c r="Q221" s="141"/>
      <c r="R221" s="122"/>
      <c r="S221" s="122"/>
      <c r="T221" s="122" t="e">
        <f ca="1">PutCtData("PKAMOUNT","AMOUNT",$T$11:$T$15,$B221,$T$18,$T$17,P221)</f>
        <v>#NAME?</v>
      </c>
      <c r="U221" s="122" t="e">
        <f ca="1">PutCtData("PKAMOUNT","AMOUNT",$U$11:$U$15,$B221,$U$18,$U$17,L221)</f>
        <v>#NAME?</v>
      </c>
      <c r="V221" s="144"/>
      <c r="W221" s="122"/>
      <c r="X221" s="122"/>
      <c r="Y221" s="122"/>
      <c r="Z221" s="135"/>
      <c r="AA221" s="135"/>
      <c r="AB221" s="135">
        <f t="shared" si="244"/>
        <v>0</v>
      </c>
      <c r="AC221" s="135"/>
      <c r="AD221" s="122"/>
      <c r="AE221" s="164" t="e">
        <f ca="1">AE220-SUMIF($A208:AE218,"yes",AE208:AE218)</f>
        <v>#NAME?</v>
      </c>
      <c r="AF221" s="164"/>
      <c r="AG221" s="164" t="e">
        <f t="shared" ca="1" si="212"/>
        <v>#NAME?</v>
      </c>
      <c r="AH221" s="164" t="e">
        <f ca="1">AH220-SUMIF($A208:AH218,"yes",AH208:AH218)</f>
        <v>#NAME?</v>
      </c>
      <c r="AI221" s="128"/>
      <c r="AJ221" s="122">
        <f t="shared" si="265"/>
        <v>0</v>
      </c>
      <c r="AK221" s="122"/>
      <c r="AL221" s="136"/>
      <c r="AM221" s="122"/>
      <c r="AN221" s="122"/>
      <c r="AO221" s="122"/>
      <c r="AP221" s="122"/>
      <c r="AQ221" s="122"/>
      <c r="AR221" s="122"/>
      <c r="AS221" s="122"/>
      <c r="AT221" s="122"/>
      <c r="AU221" s="122"/>
      <c r="AV221" s="130"/>
      <c r="AW221" s="130"/>
      <c r="AX221" s="130"/>
      <c r="AY221" s="130"/>
      <c r="AZ221" s="130"/>
      <c r="BA221" s="130"/>
      <c r="BB221" s="130"/>
      <c r="BC221" s="130"/>
      <c r="BD221" s="130">
        <f t="shared" si="237"/>
        <v>0</v>
      </c>
      <c r="BE221" s="130"/>
      <c r="BF221" s="130"/>
      <c r="BG221" s="130">
        <f t="shared" si="238"/>
        <v>0</v>
      </c>
      <c r="BH221" s="130"/>
      <c r="BI221" s="130"/>
      <c r="BJ221" s="130">
        <f t="shared" si="239"/>
        <v>0</v>
      </c>
      <c r="BK221" s="130"/>
      <c r="BL221" s="130"/>
      <c r="BM221" s="130">
        <f>J221-BL221</f>
        <v>0</v>
      </c>
      <c r="BN221" s="130"/>
      <c r="BO221" s="130"/>
      <c r="BP221" s="130">
        <f t="shared" si="240"/>
        <v>0</v>
      </c>
      <c r="BQ221" s="130"/>
      <c r="BR221" s="130"/>
      <c r="BS221" s="130" t="e">
        <f>#REF!-BR221</f>
        <v>#REF!</v>
      </c>
    </row>
    <row r="222" spans="1:71" s="163" customFormat="1" x14ac:dyDescent="0.2">
      <c r="A222" s="146"/>
      <c r="B222" s="146" t="s">
        <v>414</v>
      </c>
      <c r="C222" s="146"/>
      <c r="D222" s="146" t="s">
        <v>250</v>
      </c>
      <c r="E222" s="147" t="e">
        <f ca="1">GetCtLabel(B222,"CURINIT(AC)!LDESC","#TOTAL OPERATING COSTS")</f>
        <v>#NAME?</v>
      </c>
      <c r="F222" s="148">
        <f ca="1">F220+F206+F189+F153+F130+F115+F91</f>
        <v>9238.1530000000002</v>
      </c>
      <c r="G222" s="148">
        <f ca="1">G220+G206+G189+G153+G130+G115+G91</f>
        <v>121</v>
      </c>
      <c r="H222" s="148"/>
      <c r="I222" s="148">
        <f ca="1">I220+I206+I189+I153+I130+I115+I91</f>
        <v>0</v>
      </c>
      <c r="J222" s="148">
        <f ca="1">J220+J206+J189+J153+J130+J115+J91</f>
        <v>0</v>
      </c>
      <c r="K222" s="148">
        <f ca="1">K220+K206+K189+K153+K130+K115+K91</f>
        <v>-2231.7510000000002</v>
      </c>
      <c r="L222" s="148">
        <f ca="1">L220+L206+L189+L153+L130+L115+L91</f>
        <v>60</v>
      </c>
      <c r="M222" s="148">
        <f ca="1">M220+M206+M189+M153+M130+M115+M91</f>
        <v>486.61799999999994</v>
      </c>
      <c r="N222" s="148"/>
      <c r="O222" s="149">
        <f ca="1">O220+O206+O189+O153+O130+O115+O91</f>
        <v>7674.02</v>
      </c>
      <c r="P222" s="204">
        <f t="shared" ca="1" si="264"/>
        <v>2231.7510000000002</v>
      </c>
      <c r="Q222" s="204">
        <f ca="1">-L222</f>
        <v>-60</v>
      </c>
      <c r="R222" s="148" t="e">
        <f ca="1">R220+R206+R189+R153+R130+R115+R91</f>
        <v>#NAME?</v>
      </c>
      <c r="S222" s="197" t="e">
        <f ca="1">S220+S206+S189+S153+S130+S115+S91</f>
        <v>#NAME?</v>
      </c>
      <c r="T222" s="197" t="e">
        <f ca="1">T220+T206+T189+T153+T130+T115+T91</f>
        <v>#NAME?</v>
      </c>
      <c r="U222" s="148" t="e">
        <f ca="1">U220+U206+U189+U153+U130+U115+U91</f>
        <v>#NAME?</v>
      </c>
      <c r="V222" s="205"/>
      <c r="W222" s="148">
        <f>W220+W206+W189+W153+W130+W115+W91</f>
        <v>0</v>
      </c>
      <c r="X222" s="148">
        <f>X220+X206+X189+X153+X130+X115+X91</f>
        <v>390</v>
      </c>
      <c r="Y222" s="136"/>
      <c r="Z222" s="150">
        <f>Z220+Z206+Z189+Z153+Z130+Z115+Z91</f>
        <v>10790.385</v>
      </c>
      <c r="AA222" s="150">
        <f>AA220+AA206+AA189+AA153+AA130+AA115+AA91</f>
        <v>0</v>
      </c>
      <c r="AB222" s="150">
        <f t="shared" si="244"/>
        <v>10790.385</v>
      </c>
      <c r="AC222" s="150">
        <f ca="1">AC220+AC206+AC189+AC153+AC130+AC115+AC91</f>
        <v>-1786.963</v>
      </c>
      <c r="AD222" s="136"/>
      <c r="AE222" s="148" t="e">
        <f ca="1">GetCtData("PKAMOUNT","AMOUNT",$AE$11:$AE$18,$B222:$D222,AE$19:AE$20,"#7672.02")</f>
        <v>#NAME?</v>
      </c>
      <c r="AF222" s="148">
        <f>AF220+AF206+AF189+AF153+AF130+AF115+AF91</f>
        <v>0</v>
      </c>
      <c r="AG222" s="148" t="e">
        <f t="shared" ca="1" si="212"/>
        <v>#NAME?</v>
      </c>
      <c r="AH222" s="148" t="e">
        <f t="shared" ca="1" si="211"/>
        <v>#NAME?</v>
      </c>
      <c r="AI222" s="128"/>
      <c r="AJ222" s="148" t="e">
        <f t="shared" ca="1" si="265"/>
        <v>#NAME?</v>
      </c>
      <c r="AK222" s="148" t="e">
        <f ca="1">GetCtData("PKAMOUNT","AMOUNT",$AK$11:$AK$18,$B222:$D222,AK$19:AK$20,"#976.409")</f>
        <v>#NAME?</v>
      </c>
      <c r="AL222" s="148" t="e">
        <f ca="1">(O222-AO222)-AK222</f>
        <v>#NAME?</v>
      </c>
      <c r="AM222" s="136"/>
      <c r="AN222" s="148" t="e">
        <f ca="1">GetCtData("PKAMOUNT","AMOUNT",$AN$11:$AN$18,$B222:$D222,AN$19:AN$20,"#1069.42")</f>
        <v>#NAME?</v>
      </c>
      <c r="AO222" s="148" t="e">
        <f ca="1">GetCtData("PKAMOUNT","AMOUNT",$AO$11:$AO$18,$B222:$D222,AO$19:AO$20,"#6695.611")</f>
        <v>#NAME?</v>
      </c>
      <c r="AP222" s="136"/>
      <c r="AQ222" s="148" t="e">
        <f ca="1">GetCtData("PKAMOUNT","AMOUNT",$AQ$11:$AQ$18,$B222:$D222,AQ$19:AQ$20,"#8140.952")</f>
        <v>#NAME?</v>
      </c>
      <c r="AR222" s="148" t="e">
        <f ca="1">O222-AQ222</f>
        <v>#NAME?</v>
      </c>
      <c r="AS222" s="148"/>
      <c r="AT222" s="148" t="e">
        <f ca="1">GetCtData("PKAMOUNT","AMOUNT",AT$11:AT$18,$B222:$D222,AT$19:AT$20,"#8322.87")</f>
        <v>#NAME?</v>
      </c>
      <c r="AU222" s="148" t="e">
        <f ca="1">O222-AT222</f>
        <v>#NAME?</v>
      </c>
      <c r="AV222" s="148"/>
      <c r="AW222" s="148" t="e">
        <f ca="1">GetCtData("PKAMOUNT","AMOUNT",AW$11:AW$18,$B222:$D222,AW$19:AW$20,"#")</f>
        <v>#NAME?</v>
      </c>
      <c r="AX222" s="148" t="e">
        <f ca="1">O222-AW222</f>
        <v>#NAME?</v>
      </c>
      <c r="AY222" s="148"/>
      <c r="AZ222" s="148" t="e">
        <f ca="1">AZ220+AZ206+AZ189+AZ153+AZ130+AZ115+AZ91</f>
        <v>#NAME?</v>
      </c>
      <c r="BA222" s="148" t="e">
        <f ca="1">BA220+BA206+BA189+BA153+BA130+BA115+BA91</f>
        <v>#NAME?</v>
      </c>
      <c r="BB222" s="148"/>
      <c r="BC222" s="148" t="e">
        <f ca="1">BC220+BC206+BC189+BC153+BC130+BC115+BC91</f>
        <v>#NAME?</v>
      </c>
      <c r="BD222" s="148" t="e">
        <f t="shared" ca="1" si="237"/>
        <v>#NAME?</v>
      </c>
      <c r="BE222" s="148"/>
      <c r="BF222" s="148" t="e">
        <f ca="1">BF220+BF206+BF189+BF153+BF130+BF115+BF91</f>
        <v>#NAME?</v>
      </c>
      <c r="BG222" s="148" t="e">
        <f t="shared" ca="1" si="238"/>
        <v>#NAME?</v>
      </c>
      <c r="BH222" s="148"/>
      <c r="BI222" s="148" t="e">
        <f ca="1">BI220+BI206+BI189+BI153+BI130+BI115+BI91</f>
        <v>#NAME?</v>
      </c>
      <c r="BJ222" s="148" t="e">
        <f t="shared" ca="1" si="239"/>
        <v>#NAME?</v>
      </c>
      <c r="BK222" s="148"/>
      <c r="BL222" s="148" t="e">
        <f ca="1">BL220+BL206+BL189+BL153+BL130+BL115+BL91</f>
        <v>#NAME?</v>
      </c>
      <c r="BM222" s="148" t="e">
        <f ca="1">O222-BL222</f>
        <v>#NAME?</v>
      </c>
      <c r="BN222" s="148"/>
      <c r="BO222" s="148" t="e">
        <f ca="1">BO220+BO206+BO189+BO153+BO130+BO115+BO91</f>
        <v>#NAME?</v>
      </c>
      <c r="BP222" s="148" t="e">
        <f t="shared" ca="1" si="240"/>
        <v>#NAME?</v>
      </c>
      <c r="BQ222" s="148"/>
      <c r="BR222" s="148" t="e">
        <f ca="1">BR220+BR206+BR189+BR153+BR130+BR115+BR91</f>
        <v>#NAME?</v>
      </c>
      <c r="BS222" s="148" t="e">
        <f ca="1">#REF!-BR222</f>
        <v>#REF!</v>
      </c>
    </row>
    <row r="223" spans="1:71" ht="15" x14ac:dyDescent="0.25">
      <c r="E223" s="206" t="s">
        <v>415</v>
      </c>
      <c r="F223" s="130"/>
      <c r="G223" s="130"/>
      <c r="H223" s="130"/>
      <c r="I223" s="72"/>
      <c r="J223" s="72"/>
      <c r="K223" s="72"/>
      <c r="L223" s="72"/>
      <c r="M223" s="72"/>
      <c r="N223" s="130"/>
      <c r="O223" s="121">
        <f ca="1">O220+O206+O189+O153+O130+O115+O92</f>
        <v>7623.02</v>
      </c>
      <c r="P223" s="141">
        <f t="shared" si="264"/>
        <v>0</v>
      </c>
      <c r="Q223" s="141">
        <f>-L223</f>
        <v>0</v>
      </c>
      <c r="R223" s="122"/>
      <c r="S223" s="122"/>
      <c r="T223" s="122" t="e">
        <f ca="1">PutCtData("PKAMOUNT","AMOUNT",$T$11:$T$15,$B223,$T$18,$T$17,P223)</f>
        <v>#NAME?</v>
      </c>
      <c r="U223" s="122" t="e">
        <f ca="1">PutCtData("PKAMOUNT","AMOUNT",$U$11:$U$15,$B223,$U$18,$U$17,L223)</f>
        <v>#NAME?</v>
      </c>
      <c r="V223" s="144"/>
      <c r="W223" s="122"/>
      <c r="X223" s="122"/>
      <c r="Y223" s="122"/>
      <c r="Z223" s="135"/>
      <c r="AA223" s="135"/>
      <c r="AB223" s="135">
        <f t="shared" si="244"/>
        <v>0</v>
      </c>
      <c r="AC223" s="135"/>
      <c r="AD223" s="122"/>
      <c r="AE223" s="122" t="e">
        <f ca="1">AE220+AE206+AE189+AE153+AE130+AE115+AE92</f>
        <v>#NAME?</v>
      </c>
      <c r="AF223" s="122"/>
      <c r="AG223" s="122" t="e">
        <f t="shared" ca="1" si="212"/>
        <v>#NAME?</v>
      </c>
      <c r="AH223" s="136" t="e">
        <f t="shared" ca="1" si="211"/>
        <v>#NAME?</v>
      </c>
      <c r="AI223" s="128"/>
      <c r="AJ223" s="122" t="e">
        <f t="shared" ca="1" si="265"/>
        <v>#NAME?</v>
      </c>
      <c r="AK223" s="122" t="e">
        <f ca="1">AK220+AK206+AK189+AK153+AK130+AK115+AK92</f>
        <v>#NAME?</v>
      </c>
      <c r="AL223" s="136" t="e">
        <f ca="1">AL220+AL206+AL189+AL153+AL130+AL115+AL92</f>
        <v>#NAME?</v>
      </c>
      <c r="AM223" s="122"/>
      <c r="AN223" s="122" t="e">
        <f ca="1">AN220+AN206+AN189+AN153+AN130+AN115+AN92</f>
        <v>#NAME?</v>
      </c>
      <c r="AO223" s="122" t="e">
        <f ca="1">AO220+AO206+AO189+AO153+AO130+AO115+AO92</f>
        <v>#NAME?</v>
      </c>
      <c r="AP223" s="122"/>
      <c r="AQ223" s="122" t="e">
        <f ca="1">AQ220+AQ206+AQ189+AQ153+AQ130+AQ115+AQ92</f>
        <v>#NAME?</v>
      </c>
      <c r="AR223" s="122" t="e">
        <f ca="1">AR220+AR206+AR189+AR153+AR130+AR115+AR92</f>
        <v>#NAME?</v>
      </c>
      <c r="AS223" s="122">
        <f>AS220+AS206+AS189+AS153+AS130+AS115+AS92</f>
        <v>0</v>
      </c>
      <c r="AT223" s="122" t="e">
        <f ca="1">AT220+AT206+AT189+AT153+AT130+AT115+AT92</f>
        <v>#NAME?</v>
      </c>
      <c r="AU223" s="122" t="e">
        <f ca="1">AU220+AU206+AU189+AU153+AU130+AU115+AU92</f>
        <v>#NAME?</v>
      </c>
      <c r="AV223" s="130"/>
      <c r="AW223" s="130"/>
      <c r="AX223" s="130"/>
      <c r="AY223" s="130"/>
      <c r="AZ223" s="130"/>
      <c r="BA223" s="130"/>
      <c r="BB223" s="130"/>
      <c r="BC223" s="130"/>
      <c r="BD223" s="130">
        <f t="shared" si="237"/>
        <v>0</v>
      </c>
      <c r="BE223" s="130"/>
      <c r="BF223" s="130"/>
      <c r="BG223" s="130">
        <f t="shared" ca="1" si="238"/>
        <v>7623.02</v>
      </c>
      <c r="BH223" s="130"/>
      <c r="BI223" s="130"/>
      <c r="BJ223" s="130">
        <f t="shared" ca="1" si="239"/>
        <v>7623.02</v>
      </c>
      <c r="BK223" s="130"/>
      <c r="BL223" s="130"/>
      <c r="BM223" s="130">
        <f>J223-BL223</f>
        <v>0</v>
      </c>
      <c r="BN223" s="130"/>
      <c r="BO223" s="130"/>
      <c r="BP223" s="130">
        <f t="shared" ca="1" si="240"/>
        <v>7623.02</v>
      </c>
      <c r="BQ223" s="130"/>
      <c r="BR223" s="130"/>
      <c r="BS223" s="130" t="e">
        <f>#REF!-BR223</f>
        <v>#REF!</v>
      </c>
    </row>
    <row r="224" spans="1:71" s="152" customFormat="1" x14ac:dyDescent="0.2">
      <c r="A224" s="146"/>
      <c r="B224" s="146" t="s">
        <v>416</v>
      </c>
      <c r="C224" s="146"/>
      <c r="D224" s="146" t="s">
        <v>250</v>
      </c>
      <c r="E224" s="147" t="e">
        <f ca="1">GetCtLabel(B224,"CURINIT(AC)!LDESC","#OPERATING PROFIT/(LOSS)")</f>
        <v>#NAME?</v>
      </c>
      <c r="F224" s="148">
        <f ca="1">F55-F222</f>
        <v>-90.153000000000247</v>
      </c>
      <c r="G224" s="148">
        <f ca="1">G55-G222</f>
        <v>-3</v>
      </c>
      <c r="H224" s="148"/>
      <c r="I224" s="148">
        <f ca="1">I55-I222</f>
        <v>0</v>
      </c>
      <c r="J224" s="148">
        <f ca="1">J55-J222</f>
        <v>0</v>
      </c>
      <c r="K224" s="148">
        <f ca="1">K55-K222</f>
        <v>-759.2489999999998</v>
      </c>
      <c r="L224" s="148">
        <f ca="1">L55-L222</f>
        <v>52</v>
      </c>
      <c r="M224" s="148">
        <f ca="1">M55-M222</f>
        <v>-486.61799999999994</v>
      </c>
      <c r="N224" s="148"/>
      <c r="O224" s="149">
        <f ca="1">O55-O222</f>
        <v>-1287.0200000000004</v>
      </c>
      <c r="P224" s="123">
        <f t="shared" ca="1" si="264"/>
        <v>759.2489999999998</v>
      </c>
      <c r="Q224" s="123">
        <f ca="1">-L224</f>
        <v>-52</v>
      </c>
      <c r="R224" s="148" t="e">
        <f ca="1">R55-R222</f>
        <v>#NAME?</v>
      </c>
      <c r="S224" s="148" t="e">
        <f ca="1">S55-S222</f>
        <v>#NAME?</v>
      </c>
      <c r="T224" s="148" t="e">
        <f ca="1">PutCtData("PKAMOUNT","AMOUNT",$T$11:$T$15,$B224,$T$18,$T$17,P224)</f>
        <v>#NAME?</v>
      </c>
      <c r="U224" s="148" t="e">
        <f ca="1">PutCtData("PKAMOUNT","AMOUNT",$U$11:$U$15,$B224,$U$18,$U$17,Q224)</f>
        <v>#NAME?</v>
      </c>
      <c r="V224" s="144"/>
      <c r="W224" s="148">
        <f>W55-W222</f>
        <v>0</v>
      </c>
      <c r="X224" s="148">
        <f>X55-X222</f>
        <v>5997</v>
      </c>
      <c r="Y224" s="136"/>
      <c r="Z224" s="150">
        <f>Z55-Z222</f>
        <v>-5959.3850000000002</v>
      </c>
      <c r="AA224" s="150">
        <f>AA55-AA222</f>
        <v>0</v>
      </c>
      <c r="AB224" s="150">
        <f t="shared" si="244"/>
        <v>-5959.3850000000002</v>
      </c>
      <c r="AC224" s="150">
        <f ca="1">+O224-AB224</f>
        <v>4672.3649999999998</v>
      </c>
      <c r="AD224" s="136"/>
      <c r="AE224" s="148" t="e">
        <f ca="1">GetCtData("PKAMOUNT","AMOUNT",$AE$11:$AE$18,$B224:$D224,AE$19:AE$20,"#-1298.02")</f>
        <v>#NAME?</v>
      </c>
      <c r="AF224" s="148">
        <f>AF55-AF222</f>
        <v>0</v>
      </c>
      <c r="AG224" s="148" t="e">
        <f t="shared" ca="1" si="212"/>
        <v>#NAME?</v>
      </c>
      <c r="AH224" s="148" t="e">
        <f t="shared" ca="1" si="211"/>
        <v>#NAME?</v>
      </c>
      <c r="AI224" s="151"/>
      <c r="AJ224" s="148" t="e">
        <f t="shared" ca="1" si="265"/>
        <v>#NAME?</v>
      </c>
      <c r="AK224" s="148" t="e">
        <f ca="1">GetCtData("PKAMOUNT","AMOUNT",$AK$11:$AK$18,$B224:$D224,AK$19:AK$20,"#-118.409")</f>
        <v>#NAME?</v>
      </c>
      <c r="AL224" s="148" t="e">
        <f ca="1">(O224-AO224)-AK224</f>
        <v>#NAME?</v>
      </c>
      <c r="AM224" s="136"/>
      <c r="AN224" s="148" t="e">
        <f ca="1">GetCtData("PKAMOUNT","AMOUNT",$AN$11:$AN$18,$B224:$D224,AN$19:AN$20,"#-64.42")</f>
        <v>#NAME?</v>
      </c>
      <c r="AO224" s="148" t="e">
        <f ca="1">GetCtData("PKAMOUNT","AMOUNT",$AO$11:$AO$18,$B224:$D224,AO$19:AO$20,"#-1179.611")</f>
        <v>#NAME?</v>
      </c>
      <c r="AP224" s="136"/>
      <c r="AQ224" s="148" t="e">
        <f ca="1">GetCtData("PKAMOUNT","AMOUNT",$AQ$11:$AQ$18,$B224:$D224,AQ$19:AQ$20,"#-1326.952")</f>
        <v>#NAME?</v>
      </c>
      <c r="AR224" s="148" t="e">
        <f ca="1">O224-AQ224</f>
        <v>#NAME?</v>
      </c>
      <c r="AS224" s="148"/>
      <c r="AT224" s="148" t="e">
        <f ca="1">GetCtData("PKAMOUNT","AMOUNT",AT$11:AT$18,$B224:$D224,AT$19:AT$20,"#-1439.87")</f>
        <v>#NAME?</v>
      </c>
      <c r="AU224" s="148" t="e">
        <f ca="1">O224-AT224</f>
        <v>#NAME?</v>
      </c>
      <c r="AV224" s="148"/>
      <c r="AW224" s="148" t="e">
        <f ca="1">GetCtData("PKAMOUNT","AMOUNT",AW$11:AW$18,$B224:$D224,AW$19:AW$20,"#")</f>
        <v>#NAME?</v>
      </c>
      <c r="AX224" s="148" t="e">
        <f ca="1">O224-AW224</f>
        <v>#NAME?</v>
      </c>
      <c r="AY224" s="148"/>
      <c r="AZ224" s="148" t="e">
        <f ca="1">AZ55-AZ222</f>
        <v>#NAME?</v>
      </c>
      <c r="BA224" s="148" t="e">
        <f ca="1">BA55-BA222</f>
        <v>#NAME?</v>
      </c>
      <c r="BB224" s="148"/>
      <c r="BC224" s="148" t="e">
        <f ca="1">BC55-BC222</f>
        <v>#NAME?</v>
      </c>
      <c r="BD224" s="148" t="e">
        <f t="shared" ca="1" si="237"/>
        <v>#NAME?</v>
      </c>
      <c r="BE224" s="148"/>
      <c r="BF224" s="148" t="e">
        <f ca="1">BF55-BF222</f>
        <v>#NAME?</v>
      </c>
      <c r="BG224" s="148" t="e">
        <f t="shared" ca="1" si="238"/>
        <v>#NAME?</v>
      </c>
      <c r="BH224" s="148"/>
      <c r="BI224" s="148" t="e">
        <f ca="1">BI55-BI222</f>
        <v>#NAME?</v>
      </c>
      <c r="BJ224" s="148" t="e">
        <f t="shared" ca="1" si="239"/>
        <v>#NAME?</v>
      </c>
      <c r="BK224" s="148"/>
      <c r="BL224" s="148" t="e">
        <f ca="1">BL55-BL222</f>
        <v>#NAME?</v>
      </c>
      <c r="BM224" s="148" t="e">
        <f ca="1">O224-BL224</f>
        <v>#NAME?</v>
      </c>
      <c r="BN224" s="148"/>
      <c r="BO224" s="148" t="e">
        <f ca="1">BO55-BO222</f>
        <v>#NAME?</v>
      </c>
      <c r="BP224" s="148" t="e">
        <f t="shared" ca="1" si="240"/>
        <v>#NAME?</v>
      </c>
      <c r="BQ224" s="148"/>
      <c r="BR224" s="148" t="e">
        <f ca="1">BR55-BR222</f>
        <v>#NAME?</v>
      </c>
      <c r="BS224" s="148" t="e">
        <f ca="1">#REF!-BR224</f>
        <v>#REF!</v>
      </c>
    </row>
    <row r="225" spans="1:71" x14ac:dyDescent="0.2">
      <c r="E225" s="74" t="s">
        <v>417</v>
      </c>
      <c r="F225" s="130"/>
      <c r="G225" s="131"/>
      <c r="H225" s="130"/>
      <c r="I225" s="130"/>
      <c r="J225" s="130"/>
      <c r="K225" s="130"/>
      <c r="L225" s="130"/>
      <c r="M225" s="130"/>
      <c r="N225" s="130"/>
      <c r="O225" s="121">
        <f ca="1">O224+O63+O64</f>
        <v>-1236.0200000000004</v>
      </c>
      <c r="P225" s="141">
        <f t="shared" si="264"/>
        <v>0</v>
      </c>
      <c r="Q225" s="141"/>
      <c r="R225" s="122"/>
      <c r="S225" s="122"/>
      <c r="T225" s="122" t="e">
        <f ca="1">PutCtData("PKAMOUNT","AMOUNT",$T$11:$T$15,$B225,$T$18,$T$17,P225)</f>
        <v>#NAME?</v>
      </c>
      <c r="U225" s="122" t="e">
        <f ca="1">PutCtData("PKAMOUNT","AMOUNT",$U$11:$U$15,$B225,$U$18,$U$17,L225)</f>
        <v>#NAME?</v>
      </c>
      <c r="V225" s="144"/>
      <c r="W225" s="122"/>
      <c r="X225" s="122"/>
      <c r="Y225" s="122"/>
      <c r="Z225" s="135"/>
      <c r="AA225" s="135"/>
      <c r="AB225" s="135">
        <f t="shared" si="244"/>
        <v>0</v>
      </c>
      <c r="AC225" s="135"/>
      <c r="AD225" s="122"/>
      <c r="AE225" s="122" t="e">
        <f ca="1">AE224+AE63+AE64</f>
        <v>#NAME?</v>
      </c>
      <c r="AF225" s="122"/>
      <c r="AG225" s="122" t="e">
        <f t="shared" ca="1" si="212"/>
        <v>#NAME?</v>
      </c>
      <c r="AH225" s="136" t="e">
        <f t="shared" ca="1" si="211"/>
        <v>#NAME?</v>
      </c>
      <c r="AI225" s="128"/>
      <c r="AJ225" s="122" t="e">
        <f t="shared" ca="1" si="265"/>
        <v>#NAME?</v>
      </c>
      <c r="AK225" s="122" t="e">
        <f ca="1">AK224+AK63+AK64</f>
        <v>#NAME?</v>
      </c>
      <c r="AL225" s="136" t="e">
        <f ca="1">AL224+AL63+AL64</f>
        <v>#NAME?</v>
      </c>
      <c r="AM225" s="122"/>
      <c r="AN225" s="122" t="e">
        <f ca="1">AN224+AN63+AN64</f>
        <v>#NAME?</v>
      </c>
      <c r="AO225" s="122" t="e">
        <f ca="1">AO224+AO63+AO64</f>
        <v>#NAME?</v>
      </c>
      <c r="AP225" s="122"/>
      <c r="AQ225" s="122" t="e">
        <f ca="1">AQ224+AQ63+AQ64</f>
        <v>#NAME?</v>
      </c>
      <c r="AR225" s="122" t="e">
        <f ca="1">AR224+AR63+AR64</f>
        <v>#NAME?</v>
      </c>
      <c r="AS225" s="122"/>
      <c r="AT225" s="122" t="e">
        <f ca="1">AT224+AT63+AT64</f>
        <v>#NAME?</v>
      </c>
      <c r="AU225" s="122" t="e">
        <f ca="1">AU224+AU63+AU64</f>
        <v>#NAME?</v>
      </c>
      <c r="AV225" s="130"/>
      <c r="AW225" s="130" t="e">
        <f ca="1">AW224+AW63+AW64</f>
        <v>#NAME?</v>
      </c>
      <c r="AX225" s="130" t="e">
        <f ca="1">AX224+AX63+AX64</f>
        <v>#NAME?</v>
      </c>
      <c r="AY225" s="130"/>
      <c r="AZ225" s="207"/>
      <c r="BA225" s="207"/>
      <c r="BB225" s="207"/>
      <c r="BC225" s="207"/>
      <c r="BD225" s="207">
        <f t="shared" si="237"/>
        <v>0</v>
      </c>
      <c r="BE225" s="207"/>
      <c r="BF225" s="207"/>
      <c r="BG225" s="207">
        <f t="shared" ca="1" si="238"/>
        <v>-1236.0200000000004</v>
      </c>
      <c r="BH225" s="207"/>
      <c r="BI225" s="207"/>
      <c r="BJ225" s="207">
        <f t="shared" ca="1" si="239"/>
        <v>-1236.0200000000004</v>
      </c>
      <c r="BK225" s="207"/>
      <c r="BL225" s="207"/>
      <c r="BM225" s="207">
        <f>J225-BL225</f>
        <v>0</v>
      </c>
      <c r="BN225" s="207"/>
      <c r="BO225" s="207"/>
      <c r="BP225" s="207">
        <f t="shared" ca="1" si="240"/>
        <v>-1236.0200000000004</v>
      </c>
      <c r="BQ225" s="207"/>
      <c r="BR225" s="207"/>
      <c r="BS225" s="207" t="e">
        <f>#REF!-BR225</f>
        <v>#REF!</v>
      </c>
    </row>
    <row r="226" spans="1:71" x14ac:dyDescent="0.2">
      <c r="E226" s="118"/>
      <c r="F226" s="130"/>
      <c r="G226" s="131"/>
      <c r="H226" s="130"/>
      <c r="I226" s="72"/>
      <c r="J226" s="72"/>
      <c r="K226" s="72"/>
      <c r="L226" s="72"/>
      <c r="M226" s="72"/>
      <c r="N226" s="130"/>
      <c r="O226" s="121"/>
      <c r="P226" s="141"/>
      <c r="Q226" s="141"/>
      <c r="R226" s="122"/>
      <c r="S226" s="122"/>
      <c r="T226" s="122"/>
      <c r="U226" s="122"/>
      <c r="V226" s="144"/>
      <c r="W226" s="122"/>
      <c r="X226" s="122"/>
      <c r="Y226" s="122"/>
      <c r="Z226" s="135"/>
      <c r="AA226" s="135"/>
      <c r="AB226" s="135"/>
      <c r="AC226" s="135"/>
      <c r="AD226" s="122"/>
      <c r="AE226" s="122"/>
      <c r="AF226" s="122"/>
      <c r="AG226" s="122">
        <f t="shared" si="212"/>
        <v>0</v>
      </c>
      <c r="AH226" s="136">
        <f t="shared" si="211"/>
        <v>0</v>
      </c>
      <c r="AI226" s="128"/>
      <c r="AJ226" s="122"/>
      <c r="AK226" s="122"/>
      <c r="AL226" s="136"/>
      <c r="AM226" s="122"/>
      <c r="AN226" s="122"/>
      <c r="AO226" s="122"/>
      <c r="AP226" s="122"/>
      <c r="AQ226" s="122"/>
      <c r="AR226" s="122"/>
      <c r="AS226" s="122"/>
      <c r="AT226" s="122"/>
      <c r="AU226" s="122"/>
      <c r="AV226" s="130"/>
      <c r="AW226" s="130"/>
      <c r="AX226" s="130"/>
      <c r="AY226" s="130"/>
      <c r="AZ226" s="130"/>
      <c r="BA226" s="130"/>
      <c r="BB226" s="130"/>
      <c r="BC226" s="130"/>
      <c r="BD226" s="130"/>
      <c r="BE226" s="130"/>
      <c r="BF226" s="130"/>
      <c r="BG226" s="130"/>
      <c r="BH226" s="130"/>
      <c r="BI226" s="130"/>
      <c r="BJ226" s="130"/>
      <c r="BK226" s="130"/>
      <c r="BL226" s="130"/>
      <c r="BM226" s="130"/>
      <c r="BN226" s="130"/>
      <c r="BO226" s="130"/>
      <c r="BP226" s="130"/>
      <c r="BQ226" s="130"/>
      <c r="BR226" s="130"/>
      <c r="BS226" s="130"/>
    </row>
    <row r="227" spans="1:71" x14ac:dyDescent="0.2">
      <c r="A227" s="82" t="s">
        <v>243</v>
      </c>
      <c r="B227" s="82" t="s">
        <v>418</v>
      </c>
      <c r="D227" s="82" t="s">
        <v>172</v>
      </c>
      <c r="E227" s="74" t="e">
        <f ca="1">GetCtLabel(B227,"CURINIT(AC)!LDESC","#Exceptional items")</f>
        <v>#NAME?</v>
      </c>
      <c r="F227" s="130"/>
      <c r="G227" s="131"/>
      <c r="H227" s="130"/>
      <c r="I227" s="72"/>
      <c r="J227" s="72"/>
      <c r="K227" s="72"/>
      <c r="L227" s="72"/>
      <c r="M227" s="72"/>
      <c r="N227" s="130"/>
      <c r="O227" s="140">
        <f t="shared" ref="O227:O232" si="266">SUM(F227:M227)</f>
        <v>0</v>
      </c>
      <c r="P227" s="141">
        <f t="shared" ref="P227:Q265" si="267">-K227</f>
        <v>0</v>
      </c>
      <c r="Q227" s="141">
        <f t="shared" si="267"/>
        <v>0</v>
      </c>
      <c r="R227" s="133" t="e">
        <f t="shared" ref="R227:R232" ca="1" si="268">PutCtData("PKAMOUNT","AMOUNT",R$11:R$14,$B227:$D227,R$17:R$18,$O227)</f>
        <v>#NAME?</v>
      </c>
      <c r="S227" s="133" t="e">
        <f t="shared" ref="S227:S232" ca="1" si="269">PutCtData("PKAMOUNT","AMOUNT",S$11:S$14,$B227:$D227,S$17,$M227)</f>
        <v>#NAME?</v>
      </c>
      <c r="T227" s="134" t="e">
        <f t="shared" ref="T227:T232" ca="1" si="270">PutCtData("PKAMOUNT","AMOUNT",T$11:T$14,$B227:$D227,T$17:T$18,$P227)</f>
        <v>#NAME?</v>
      </c>
      <c r="U227" s="134" t="e">
        <f t="shared" ref="U227:U232" ca="1" si="271">PutCtData("PKAMOUNT","AMOUNT",$U$11:$U$14,$B227:$D227,U$17:U$18,Q227)</f>
        <v>#NAME?</v>
      </c>
      <c r="V227" s="144"/>
      <c r="W227" s="142" t="e">
        <f ca="1">GetCtData("COAMOUNT","AMOUNT",$B$11:$B$18,$B227,W$20,"#")</f>
        <v>#NAME?</v>
      </c>
      <c r="X227" s="142" t="e">
        <f t="shared" ref="X227:X232" ca="1" si="272">O227-W227</f>
        <v>#NAME?</v>
      </c>
      <c r="Y227" s="122"/>
      <c r="Z227" s="135"/>
      <c r="AA227" s="135"/>
      <c r="AB227" s="135">
        <f t="shared" si="244"/>
        <v>0</v>
      </c>
      <c r="AC227" s="135">
        <f t="shared" ref="AC227:AC232" si="273">+O227-AB227</f>
        <v>0</v>
      </c>
      <c r="AD227" s="122"/>
      <c r="AE227" s="142" t="e">
        <f ca="1">GetCtData("PKAMOUNT","AMOUNT",$AE$11:$AE$18,$B227:$D227,AE$19:AE$20,"#0")</f>
        <v>#NAME?</v>
      </c>
      <c r="AF227" s="142"/>
      <c r="AG227" s="142" t="e">
        <f t="shared" ca="1" si="212"/>
        <v>#NAME?</v>
      </c>
      <c r="AH227" s="143" t="e">
        <f t="shared" ca="1" si="211"/>
        <v>#NAME?</v>
      </c>
      <c r="AI227" s="128"/>
      <c r="AJ227" s="142" t="e">
        <f t="shared" ref="AJ227:AJ244" ca="1" si="274">O227-AO227</f>
        <v>#NAME?</v>
      </c>
      <c r="AK227" s="142" t="e">
        <f t="shared" ref="AK227:AK232" ca="1" si="275">GetCtData("PKAMOUNT","AMOUNT",$AK$11:$AK$18,$B227:$D227,AK$19:AK$20,"#")</f>
        <v>#NAME?</v>
      </c>
      <c r="AL227" s="143" t="e">
        <f t="shared" ref="AL227:AL232" ca="1" si="276">(O227-AO227)-AK227</f>
        <v>#NAME?</v>
      </c>
      <c r="AM227" s="122"/>
      <c r="AN227" s="142" t="e">
        <f ca="1">GetCtData("PKAMOUNT","AMOUNT",$AN$11:$AN$18,$B227:$D227,AN$19:AN$20,"#0")</f>
        <v>#NAME?</v>
      </c>
      <c r="AO227" s="142" t="e">
        <f ca="1">GetCtData("PKAMOUNT","AMOUNT",$AO$11:$AO$18,$B227:$D227,AO$19:AO$20,"#0")</f>
        <v>#NAME?</v>
      </c>
      <c r="AP227" s="122"/>
      <c r="AQ227" s="142" t="e">
        <f ca="1">GetCtData("PKAMOUNT","AMOUNT",$AQ$11:$AQ$18,$B227:$D227,AQ$19:AQ$20,"#")</f>
        <v>#NAME?</v>
      </c>
      <c r="AR227" s="142" t="e">
        <f t="shared" ref="AR227:AR232" ca="1" si="277">O227-AQ227</f>
        <v>#NAME?</v>
      </c>
      <c r="AS227" s="142"/>
      <c r="AT227" s="142" t="e">
        <f ca="1">GetCtData("PKAMOUNT","AMOUNT",AT$11:AT$18,$B227:$D227,AT$19:AT$20,"#0")</f>
        <v>#NAME?</v>
      </c>
      <c r="AU227" s="142" t="e">
        <f t="shared" ref="AU227:AU232" ca="1" si="278">O227-AT227</f>
        <v>#NAME?</v>
      </c>
      <c r="AV227" s="72"/>
      <c r="AW227" s="72" t="e">
        <f t="shared" ref="AW227:AW232" ca="1" si="279">GetCtData("PKAMOUNT","AMOUNT",AW$11:AW$18,$B227:$D227,AW$19:AW$20,"#")</f>
        <v>#NAME?</v>
      </c>
      <c r="AX227" s="72" t="e">
        <f t="shared" ref="AX227:AX232" ca="1" si="280">O227-AW227</f>
        <v>#NAME?</v>
      </c>
      <c r="AY227" s="72"/>
      <c r="AZ227" s="72" t="e">
        <f t="shared" ref="AZ227:AZ232" ca="1" si="281">GetCtData("COAMOUNT","AMOUNT",$AZ$11:$AZ$17,$B227,AZ$19,AZ$20,"#")</f>
        <v>#NAME?</v>
      </c>
      <c r="BA227" s="72" t="e">
        <f t="shared" ref="BA227:BA232" ca="1" si="282">O227-AZ227</f>
        <v>#NAME?</v>
      </c>
      <c r="BB227" s="72"/>
      <c r="BC227" s="72" t="e">
        <f t="shared" ref="BC227:BC232" ca="1" si="283">GetCtData("COAMOUNT","AMOUNT",$BF$11:$BF$17,$B227,BC$19,BC$20,"#")</f>
        <v>#NAME?</v>
      </c>
      <c r="BD227" s="72" t="e">
        <f t="shared" ref="BD227:BD244" ca="1" si="284">K227-BC227</f>
        <v>#NAME?</v>
      </c>
      <c r="BE227" s="72"/>
      <c r="BF227" s="72" t="e">
        <f t="shared" ref="BF227:BF232" ca="1" si="285">GetCtData("COAMOUNT","AMOUNT",$BF$11:$BF$17,$B227,BF$19,BF$20,"#")</f>
        <v>#NAME?</v>
      </c>
      <c r="BG227" s="72" t="e">
        <f t="shared" ref="BG227:BG244" ca="1" si="286">O227-BF227</f>
        <v>#NAME?</v>
      </c>
      <c r="BH227" s="72"/>
      <c r="BI227" s="72" t="e">
        <f t="shared" ref="BI227:BI232" ca="1" si="287">GetCtData("COAMOUNT","AMOUNT",$AO$11:$AO$17,$B227,BI$19,BI$20,"#")</f>
        <v>#NAME?</v>
      </c>
      <c r="BJ227" s="72" t="e">
        <f t="shared" ref="BJ227:BJ244" ca="1" si="288">O227-BI227</f>
        <v>#NAME?</v>
      </c>
      <c r="BK227" s="72"/>
      <c r="BL227" s="72" t="e">
        <f ca="1">GetCtData("COAMOUNT","AMOUNT",$AK$11:$AK$17,$B227,BL$19,BL$20,"#")</f>
        <v>#NAME?</v>
      </c>
      <c r="BM227" s="72" t="e">
        <f t="shared" ref="BM227:BM232" ca="1" si="289">O227-BL227</f>
        <v>#NAME?</v>
      </c>
      <c r="BN227" s="72"/>
      <c r="BO227" s="72" t="e">
        <f ca="1">GetCtData("COAMOUNT","AMOUNT",$AK$11:$AK$17,$B227,BO$19,BO$20,"#")</f>
        <v>#NAME?</v>
      </c>
      <c r="BP227" s="72" t="e">
        <f t="shared" ref="BP227:BP244" ca="1" si="290">O227-BO227</f>
        <v>#NAME?</v>
      </c>
      <c r="BQ227" s="72"/>
      <c r="BR227" s="72" t="e">
        <f ca="1">GetCtData("COAMOUNT","AMOUNT",$AK$11:$AK$17,$B227,BR$19,BR$20,"#")</f>
        <v>#NAME?</v>
      </c>
      <c r="BS227" s="72" t="e">
        <f ca="1">#REF!-BR227</f>
        <v>#REF!</v>
      </c>
    </row>
    <row r="228" spans="1:71" x14ac:dyDescent="0.2">
      <c r="A228" s="82" t="s">
        <v>243</v>
      </c>
      <c r="B228" s="82" t="s">
        <v>419</v>
      </c>
      <c r="D228" s="82" t="s">
        <v>172</v>
      </c>
      <c r="E228" s="74" t="e">
        <f ca="1">GetCtLabel(B228,"CURINIT(AC)!LDESC","#Profit/(loss) on sale of fixed assets")</f>
        <v>#NAME?</v>
      </c>
      <c r="F228" s="130">
        <v>-3</v>
      </c>
      <c r="G228" s="131">
        <v>3</v>
      </c>
      <c r="H228" s="130"/>
      <c r="I228" s="72"/>
      <c r="J228" s="72"/>
      <c r="K228" s="72"/>
      <c r="L228" s="72"/>
      <c r="M228" s="72"/>
      <c r="N228" s="130"/>
      <c r="O228" s="140">
        <f t="shared" si="266"/>
        <v>0</v>
      </c>
      <c r="P228" s="141">
        <f t="shared" si="267"/>
        <v>0</v>
      </c>
      <c r="Q228" s="141">
        <f t="shared" si="267"/>
        <v>0</v>
      </c>
      <c r="R228" s="133" t="e">
        <f t="shared" ca="1" si="268"/>
        <v>#NAME?</v>
      </c>
      <c r="S228" s="133" t="e">
        <f t="shared" ca="1" si="269"/>
        <v>#NAME?</v>
      </c>
      <c r="T228" s="134" t="e">
        <f t="shared" ca="1" si="270"/>
        <v>#NAME?</v>
      </c>
      <c r="U228" s="134" t="e">
        <f t="shared" ca="1" si="271"/>
        <v>#NAME?</v>
      </c>
      <c r="V228" s="144"/>
      <c r="W228" s="142" t="e">
        <f ca="1">GetCtData("COAMOUNT","AMOUNT",$B$11:$B$18,$B228,W$20,"#")</f>
        <v>#NAME?</v>
      </c>
      <c r="X228" s="142" t="e">
        <f t="shared" ca="1" si="272"/>
        <v>#NAME?</v>
      </c>
      <c r="Y228" s="122"/>
      <c r="Z228" s="135"/>
      <c r="AA228" s="135"/>
      <c r="AB228" s="135">
        <f t="shared" si="244"/>
        <v>0</v>
      </c>
      <c r="AC228" s="135">
        <f t="shared" si="273"/>
        <v>0</v>
      </c>
      <c r="AD228" s="122"/>
      <c r="AE228" s="142" t="e">
        <f ca="1">GetCtData("PKAMOUNT","AMOUNT",$AE$11:$AE$18,$B228:$D228,AE$19:AE$20,"#0")</f>
        <v>#NAME?</v>
      </c>
      <c r="AF228" s="142"/>
      <c r="AG228" s="142" t="e">
        <f t="shared" ca="1" si="212"/>
        <v>#NAME?</v>
      </c>
      <c r="AH228" s="143" t="e">
        <f t="shared" ca="1" si="211"/>
        <v>#NAME?</v>
      </c>
      <c r="AI228" s="128"/>
      <c r="AJ228" s="142" t="e">
        <f t="shared" ca="1" si="274"/>
        <v>#NAME?</v>
      </c>
      <c r="AK228" s="142" t="e">
        <f t="shared" ca="1" si="275"/>
        <v>#NAME?</v>
      </c>
      <c r="AL228" s="143" t="e">
        <f t="shared" ca="1" si="276"/>
        <v>#NAME?</v>
      </c>
      <c r="AM228" s="122"/>
      <c r="AN228" s="142" t="e">
        <f ca="1">GetCtData("PKAMOUNT","AMOUNT",$AN$11:$AN$18,$B228:$D228,AN$19:AN$20,"#0")</f>
        <v>#NAME?</v>
      </c>
      <c r="AO228" s="142" t="e">
        <f ca="1">GetCtData("PKAMOUNT","AMOUNT",$AO$11:$AO$18,$B228:$D228,AO$19:AO$20,"#0")</f>
        <v>#NAME?</v>
      </c>
      <c r="AP228" s="122"/>
      <c r="AQ228" s="142" t="e">
        <f ca="1">GetCtData("PKAMOUNT","AMOUNT",$AQ$11:$AQ$18,$B228:$D228,AQ$19:AQ$20,"#")</f>
        <v>#NAME?</v>
      </c>
      <c r="AR228" s="142" t="e">
        <f t="shared" ca="1" si="277"/>
        <v>#NAME?</v>
      </c>
      <c r="AS228" s="142"/>
      <c r="AT228" s="142" t="e">
        <f ca="1">GetCtData("PKAMOUNT","AMOUNT",AT$11:AT$18,$B228:$D228,AT$19:AT$20,"#0")</f>
        <v>#NAME?</v>
      </c>
      <c r="AU228" s="142" t="e">
        <f t="shared" ca="1" si="278"/>
        <v>#NAME?</v>
      </c>
      <c r="AV228" s="72"/>
      <c r="AW228" s="72" t="e">
        <f t="shared" ca="1" si="279"/>
        <v>#NAME?</v>
      </c>
      <c r="AX228" s="72" t="e">
        <f t="shared" ca="1" si="280"/>
        <v>#NAME?</v>
      </c>
      <c r="AY228" s="72"/>
      <c r="AZ228" s="72" t="e">
        <f t="shared" ca="1" si="281"/>
        <v>#NAME?</v>
      </c>
      <c r="BA228" s="72" t="e">
        <f t="shared" ca="1" si="282"/>
        <v>#NAME?</v>
      </c>
      <c r="BB228" s="72"/>
      <c r="BC228" s="72" t="e">
        <f t="shared" ca="1" si="283"/>
        <v>#NAME?</v>
      </c>
      <c r="BD228" s="72" t="e">
        <f t="shared" ca="1" si="284"/>
        <v>#NAME?</v>
      </c>
      <c r="BE228" s="72"/>
      <c r="BF228" s="72" t="e">
        <f t="shared" ca="1" si="285"/>
        <v>#NAME?</v>
      </c>
      <c r="BG228" s="72" t="e">
        <f t="shared" ca="1" si="286"/>
        <v>#NAME?</v>
      </c>
      <c r="BH228" s="72"/>
      <c r="BI228" s="72" t="e">
        <f t="shared" ca="1" si="287"/>
        <v>#NAME?</v>
      </c>
      <c r="BJ228" s="72" t="e">
        <f t="shared" ca="1" si="288"/>
        <v>#NAME?</v>
      </c>
      <c r="BK228" s="72"/>
      <c r="BL228" s="72" t="e">
        <f ca="1">GetCtData("COAMOUNT","AMOUNT",$BO$11:$BO$17,$B228,BL$19,BL$20,"#")</f>
        <v>#NAME?</v>
      </c>
      <c r="BM228" s="72" t="e">
        <f t="shared" ca="1" si="289"/>
        <v>#NAME?</v>
      </c>
      <c r="BN228" s="72"/>
      <c r="BO228" s="72" t="e">
        <f ca="1">GetCtData("COAMOUNT","AMOUNT",$BO$11:$BO$17,$B228,BO$19,BO$20,"#")</f>
        <v>#NAME?</v>
      </c>
      <c r="BP228" s="72" t="e">
        <f t="shared" ca="1" si="290"/>
        <v>#NAME?</v>
      </c>
      <c r="BQ228" s="72"/>
      <c r="BR228" s="72" t="e">
        <f ca="1">GetCtData("COAMOUNT","AMOUNT",$BO$11:$BO$17,$B228,BR$19,BR$20,"#")</f>
        <v>#NAME?</v>
      </c>
      <c r="BS228" s="72" t="e">
        <f ca="1">#REF!-BR228</f>
        <v>#REF!</v>
      </c>
    </row>
    <row r="229" spans="1:71" x14ac:dyDescent="0.2">
      <c r="A229" s="82" t="s">
        <v>243</v>
      </c>
      <c r="B229" s="82" t="s">
        <v>420</v>
      </c>
      <c r="D229" s="82" t="s">
        <v>172</v>
      </c>
      <c r="E229" s="208" t="e">
        <f ca="1">GetCtLabel(B229,"CURINIT(AC)!LDESC","#I/G exchange gains/(losses)")</f>
        <v>#NAME?</v>
      </c>
      <c r="F229" s="130">
        <f>-16+9</f>
        <v>-7</v>
      </c>
      <c r="G229" s="131">
        <v>7</v>
      </c>
      <c r="H229" s="130"/>
      <c r="I229" s="72"/>
      <c r="J229" s="72"/>
      <c r="K229" s="72">
        <v>1</v>
      </c>
      <c r="L229" s="72"/>
      <c r="M229" s="72"/>
      <c r="N229" s="130"/>
      <c r="O229" s="140">
        <f t="shared" si="266"/>
        <v>1</v>
      </c>
      <c r="P229" s="141">
        <f t="shared" si="267"/>
        <v>-1</v>
      </c>
      <c r="Q229" s="141">
        <f t="shared" si="267"/>
        <v>0</v>
      </c>
      <c r="R229" s="133" t="e">
        <f t="shared" ca="1" si="268"/>
        <v>#NAME?</v>
      </c>
      <c r="S229" s="133" t="e">
        <f t="shared" ca="1" si="269"/>
        <v>#NAME?</v>
      </c>
      <c r="T229" s="134" t="e">
        <f t="shared" ca="1" si="270"/>
        <v>#NAME?</v>
      </c>
      <c r="U229" s="134" t="e">
        <f t="shared" ca="1" si="271"/>
        <v>#NAME?</v>
      </c>
      <c r="V229" s="144"/>
      <c r="W229" s="142" t="e">
        <f ca="1">GetCtData("COAMOUNT","AMOUNT",$B$11:$B$18,$B229,W$20,"#")</f>
        <v>#NAME?</v>
      </c>
      <c r="X229" s="142" t="e">
        <f t="shared" ca="1" si="272"/>
        <v>#NAME?</v>
      </c>
      <c r="Y229" s="122"/>
      <c r="Z229" s="135"/>
      <c r="AA229" s="135"/>
      <c r="AB229" s="135">
        <f t="shared" si="244"/>
        <v>0</v>
      </c>
      <c r="AC229" s="135">
        <f t="shared" si="273"/>
        <v>1</v>
      </c>
      <c r="AD229" s="122"/>
      <c r="AE229" s="142" t="e">
        <f ca="1">GetCtData("PKAMOUNT","AMOUNT",$AE$11:$AE$18,$B229:$D229,AE$19:AE$20,"#")</f>
        <v>#NAME?</v>
      </c>
      <c r="AF229" s="142"/>
      <c r="AG229" s="142" t="e">
        <f t="shared" ca="1" si="212"/>
        <v>#NAME?</v>
      </c>
      <c r="AH229" s="143" t="e">
        <f t="shared" ca="1" si="211"/>
        <v>#NAME?</v>
      </c>
      <c r="AI229" s="128"/>
      <c r="AJ229" s="142" t="e">
        <f t="shared" ca="1" si="274"/>
        <v>#NAME?</v>
      </c>
      <c r="AK229" s="142" t="e">
        <f t="shared" ca="1" si="275"/>
        <v>#NAME?</v>
      </c>
      <c r="AL229" s="143" t="e">
        <f t="shared" ca="1" si="276"/>
        <v>#NAME?</v>
      </c>
      <c r="AM229" s="122"/>
      <c r="AN229" s="142" t="e">
        <f ca="1">GetCtData("PKAMOUNT","AMOUNT",$AN$11:$AN$18,$B229:$D229,AN$19:AN$20,"#")</f>
        <v>#NAME?</v>
      </c>
      <c r="AO229" s="142" t="e">
        <f ca="1">GetCtData("PKAMOUNT","AMOUNT",$AO$11:$AO$18,$B229:$D229,AO$19:AO$20,"#")</f>
        <v>#NAME?</v>
      </c>
      <c r="AP229" s="122"/>
      <c r="AQ229" s="142" t="e">
        <f ca="1">GetCtData("PKAMOUNT","AMOUNT",$AQ$11:$AQ$18,$B229:$D229,AQ$19:AQ$20,"#0")</f>
        <v>#NAME?</v>
      </c>
      <c r="AR229" s="142" t="e">
        <f t="shared" ca="1" si="277"/>
        <v>#NAME?</v>
      </c>
      <c r="AS229" s="142"/>
      <c r="AT229" s="142" t="e">
        <f ca="1">GetCtData("PKAMOUNT","AMOUNT",AT$11:AT$18,$B229:$D229,AT$19:AT$20,"#")</f>
        <v>#NAME?</v>
      </c>
      <c r="AU229" s="142" t="e">
        <f t="shared" ca="1" si="278"/>
        <v>#NAME?</v>
      </c>
      <c r="AV229" s="72"/>
      <c r="AW229" s="72" t="e">
        <f t="shared" ca="1" si="279"/>
        <v>#NAME?</v>
      </c>
      <c r="AX229" s="72" t="e">
        <f t="shared" ca="1" si="280"/>
        <v>#NAME?</v>
      </c>
      <c r="AY229" s="72"/>
      <c r="AZ229" s="72" t="e">
        <f t="shared" ca="1" si="281"/>
        <v>#NAME?</v>
      </c>
      <c r="BA229" s="72" t="e">
        <f t="shared" ca="1" si="282"/>
        <v>#NAME?</v>
      </c>
      <c r="BB229" s="72"/>
      <c r="BC229" s="72" t="e">
        <f t="shared" ca="1" si="283"/>
        <v>#NAME?</v>
      </c>
      <c r="BD229" s="72" t="e">
        <f t="shared" ca="1" si="284"/>
        <v>#NAME?</v>
      </c>
      <c r="BE229" s="72"/>
      <c r="BF229" s="72" t="e">
        <f t="shared" ca="1" si="285"/>
        <v>#NAME?</v>
      </c>
      <c r="BG229" s="72" t="e">
        <f t="shared" ca="1" si="286"/>
        <v>#NAME?</v>
      </c>
      <c r="BH229" s="72"/>
      <c r="BI229" s="72" t="e">
        <f t="shared" ca="1" si="287"/>
        <v>#NAME?</v>
      </c>
      <c r="BJ229" s="72" t="e">
        <f t="shared" ca="1" si="288"/>
        <v>#NAME?</v>
      </c>
      <c r="BK229" s="72"/>
      <c r="BL229" s="72" t="e">
        <f ca="1">GetCtData("COAMOUNT","AMOUNT",$BO$11:$BO$17,$B229,BL$19,BL$20,"#")</f>
        <v>#NAME?</v>
      </c>
      <c r="BM229" s="72" t="e">
        <f t="shared" ca="1" si="289"/>
        <v>#NAME?</v>
      </c>
      <c r="BN229" s="72"/>
      <c r="BO229" s="72" t="e">
        <f ca="1">GetCtData("COAMOUNT","AMOUNT",$BO$11:$BO$17,$B229,BO$19,BO$20,"#")</f>
        <v>#NAME?</v>
      </c>
      <c r="BP229" s="72" t="e">
        <f t="shared" ca="1" si="290"/>
        <v>#NAME?</v>
      </c>
      <c r="BQ229" s="72"/>
      <c r="BR229" s="72" t="e">
        <f ca="1">GetCtData("COAMOUNT","AMOUNT",$BO$11:$BO$17,$B229,BR$19,BR$20,"#")</f>
        <v>#NAME?</v>
      </c>
      <c r="BS229" s="72" t="e">
        <f ca="1">#REF!-BR229</f>
        <v>#REF!</v>
      </c>
    </row>
    <row r="230" spans="1:71" outlineLevel="1" x14ac:dyDescent="0.2">
      <c r="A230" s="82" t="s">
        <v>243</v>
      </c>
      <c r="B230" s="82" t="s">
        <v>421</v>
      </c>
      <c r="D230" s="82" t="s">
        <v>172</v>
      </c>
      <c r="E230" s="74" t="e">
        <f ca="1">GetCtLabel(B230,"CURINIT(AC)!LDESC","#Impairment and amortisation of acquired Intangibles")</f>
        <v>#NAME?</v>
      </c>
      <c r="F230" s="130"/>
      <c r="G230" s="131"/>
      <c r="H230" s="130"/>
      <c r="I230" s="72"/>
      <c r="J230" s="72"/>
      <c r="K230" s="72"/>
      <c r="L230" s="72"/>
      <c r="M230" s="72"/>
      <c r="N230" s="130"/>
      <c r="O230" s="140">
        <f t="shared" si="266"/>
        <v>0</v>
      </c>
      <c r="P230" s="141">
        <f t="shared" si="267"/>
        <v>0</v>
      </c>
      <c r="Q230" s="141">
        <f t="shared" si="267"/>
        <v>0</v>
      </c>
      <c r="R230" s="133" t="e">
        <f t="shared" ca="1" si="268"/>
        <v>#NAME?</v>
      </c>
      <c r="S230" s="133" t="e">
        <f t="shared" ca="1" si="269"/>
        <v>#NAME?</v>
      </c>
      <c r="T230" s="134" t="e">
        <f t="shared" ca="1" si="270"/>
        <v>#NAME?</v>
      </c>
      <c r="U230" s="134" t="e">
        <f t="shared" ca="1" si="271"/>
        <v>#NAME?</v>
      </c>
      <c r="V230" s="144"/>
      <c r="W230" s="142" t="e">
        <f ca="1">GetCtData("COAMOUNT","AMOUNT",$B$11:$B$18,$B230,W$20,"#")</f>
        <v>#NAME?</v>
      </c>
      <c r="X230" s="142" t="e">
        <f t="shared" ca="1" si="272"/>
        <v>#NAME?</v>
      </c>
      <c r="Y230" s="122"/>
      <c r="Z230" s="135"/>
      <c r="AA230" s="135"/>
      <c r="AB230" s="135">
        <f t="shared" si="244"/>
        <v>0</v>
      </c>
      <c r="AC230" s="135">
        <f t="shared" si="273"/>
        <v>0</v>
      </c>
      <c r="AD230" s="122"/>
      <c r="AE230" s="142" t="e">
        <f ca="1">GetCtData("PKAMOUNT","AMOUNT",$AE$11:$AE$18,$B230:$D230,AE$19:AE$20,"#0")</f>
        <v>#NAME?</v>
      </c>
      <c r="AF230" s="142"/>
      <c r="AG230" s="142" t="e">
        <f t="shared" ca="1" si="212"/>
        <v>#NAME?</v>
      </c>
      <c r="AH230" s="143" t="e">
        <f t="shared" ca="1" si="211"/>
        <v>#NAME?</v>
      </c>
      <c r="AI230" s="128"/>
      <c r="AJ230" s="142" t="e">
        <f t="shared" ca="1" si="274"/>
        <v>#NAME?</v>
      </c>
      <c r="AK230" s="142" t="e">
        <f t="shared" ca="1" si="275"/>
        <v>#NAME?</v>
      </c>
      <c r="AL230" s="143" t="e">
        <f t="shared" ca="1" si="276"/>
        <v>#NAME?</v>
      </c>
      <c r="AM230" s="122"/>
      <c r="AN230" s="142" t="e">
        <f ca="1">GetCtData("PKAMOUNT","AMOUNT",$AN$11:$AN$18,$B230:$D230,AN$19:AN$20,"#0")</f>
        <v>#NAME?</v>
      </c>
      <c r="AO230" s="142" t="e">
        <f ca="1">GetCtData("PKAMOUNT","AMOUNT",$AO$11:$AO$18,$B230:$D230,AO$19:AO$20,"#0")</f>
        <v>#NAME?</v>
      </c>
      <c r="AP230" s="122"/>
      <c r="AQ230" s="142" t="e">
        <f ca="1">GetCtData("PKAMOUNT","AMOUNT",$AQ$11:$AQ$18,$B230:$D230,AQ$19:AQ$20,"#")</f>
        <v>#NAME?</v>
      </c>
      <c r="AR230" s="142" t="e">
        <f t="shared" ca="1" si="277"/>
        <v>#NAME?</v>
      </c>
      <c r="AS230" s="142"/>
      <c r="AT230" s="142" t="e">
        <f ca="1">GetCtData("PKAMOUNT","AMOUNT",AT$11:AT$18,$B230:$D230,AT$19:AT$20,"#0")</f>
        <v>#NAME?</v>
      </c>
      <c r="AU230" s="142" t="e">
        <f t="shared" ca="1" si="278"/>
        <v>#NAME?</v>
      </c>
      <c r="AV230" s="72"/>
      <c r="AW230" s="72" t="e">
        <f t="shared" ca="1" si="279"/>
        <v>#NAME?</v>
      </c>
      <c r="AX230" s="72" t="e">
        <f t="shared" ca="1" si="280"/>
        <v>#NAME?</v>
      </c>
      <c r="AY230" s="72"/>
      <c r="AZ230" s="72" t="e">
        <f t="shared" ca="1" si="281"/>
        <v>#NAME?</v>
      </c>
      <c r="BA230" s="72" t="e">
        <f t="shared" ca="1" si="282"/>
        <v>#NAME?</v>
      </c>
      <c r="BB230" s="72"/>
      <c r="BC230" s="72" t="e">
        <f t="shared" ca="1" si="283"/>
        <v>#NAME?</v>
      </c>
      <c r="BD230" s="72" t="e">
        <f t="shared" ca="1" si="284"/>
        <v>#NAME?</v>
      </c>
      <c r="BE230" s="72"/>
      <c r="BF230" s="72" t="e">
        <f t="shared" ca="1" si="285"/>
        <v>#NAME?</v>
      </c>
      <c r="BG230" s="72" t="e">
        <f t="shared" ca="1" si="286"/>
        <v>#NAME?</v>
      </c>
      <c r="BH230" s="72"/>
      <c r="BI230" s="72" t="e">
        <f t="shared" ca="1" si="287"/>
        <v>#NAME?</v>
      </c>
      <c r="BJ230" s="72" t="e">
        <f t="shared" ca="1" si="288"/>
        <v>#NAME?</v>
      </c>
      <c r="BK230" s="72"/>
      <c r="BL230" s="72" t="e">
        <f ca="1">GetCtData("COAMOUNT","AMOUNT",$BO$11:$BO$17,$B230,BL$19,BL$20,"#")</f>
        <v>#NAME?</v>
      </c>
      <c r="BM230" s="72" t="e">
        <f t="shared" ca="1" si="289"/>
        <v>#NAME?</v>
      </c>
      <c r="BN230" s="72"/>
      <c r="BO230" s="72" t="e">
        <f ca="1">GetCtData("COAMOUNT","AMOUNT",$BO$11:$BO$17,$B230,BO$19,BO$20,"#")</f>
        <v>#NAME?</v>
      </c>
      <c r="BP230" s="72" t="e">
        <f t="shared" ca="1" si="290"/>
        <v>#NAME?</v>
      </c>
      <c r="BQ230" s="72"/>
      <c r="BR230" s="72" t="e">
        <f ca="1">GetCtData("COAMOUNT","AMOUNT",$BO$11:$BO$17,$B230,BR$19,BR$20,"#")</f>
        <v>#NAME?</v>
      </c>
      <c r="BS230" s="72" t="e">
        <f ca="1">#REF!-BR230</f>
        <v>#REF!</v>
      </c>
    </row>
    <row r="231" spans="1:71" outlineLevel="1" x14ac:dyDescent="0.2">
      <c r="A231" s="82" t="s">
        <v>243</v>
      </c>
      <c r="B231" s="82" t="s">
        <v>422</v>
      </c>
      <c r="D231" s="82" t="s">
        <v>172</v>
      </c>
      <c r="E231" s="74" t="e">
        <f ca="1">GetCtLabel(B231,"CURINIT(AC)!LDESC","#Cash Discounts")</f>
        <v>#NAME?</v>
      </c>
      <c r="F231" s="130"/>
      <c r="G231" s="131"/>
      <c r="H231" s="130"/>
      <c r="I231" s="72"/>
      <c r="J231" s="72"/>
      <c r="K231" s="72"/>
      <c r="L231" s="72"/>
      <c r="M231" s="72"/>
      <c r="N231" s="130"/>
      <c r="O231" s="140">
        <f t="shared" si="266"/>
        <v>0</v>
      </c>
      <c r="P231" s="141">
        <f t="shared" si="267"/>
        <v>0</v>
      </c>
      <c r="Q231" s="141">
        <f t="shared" si="267"/>
        <v>0</v>
      </c>
      <c r="R231" s="133" t="e">
        <f t="shared" ca="1" si="268"/>
        <v>#NAME?</v>
      </c>
      <c r="S231" s="133" t="e">
        <f t="shared" ca="1" si="269"/>
        <v>#NAME?</v>
      </c>
      <c r="T231" s="134" t="e">
        <f t="shared" ca="1" si="270"/>
        <v>#NAME?</v>
      </c>
      <c r="U231" s="134" t="e">
        <f t="shared" ca="1" si="271"/>
        <v>#NAME?</v>
      </c>
      <c r="V231" s="144"/>
      <c r="W231" s="142" t="e">
        <f ca="1">GetCtData("COAMOUNT","AMOUNT",$B$11:$B$18,$B231,W$20,"#")</f>
        <v>#NAME?</v>
      </c>
      <c r="X231" s="142" t="e">
        <f t="shared" ca="1" si="272"/>
        <v>#NAME?</v>
      </c>
      <c r="Y231" s="122"/>
      <c r="Z231" s="135"/>
      <c r="AA231" s="135"/>
      <c r="AB231" s="135">
        <f t="shared" si="244"/>
        <v>0</v>
      </c>
      <c r="AC231" s="135">
        <f t="shared" si="273"/>
        <v>0</v>
      </c>
      <c r="AD231" s="122"/>
      <c r="AE231" s="142" t="e">
        <f ca="1">GetCtData("PKAMOUNT","AMOUNT",$AE$11:$AE$18,$B231:$D231,AE$19:AE$20,"#0")</f>
        <v>#NAME?</v>
      </c>
      <c r="AF231" s="142"/>
      <c r="AG231" s="142" t="e">
        <f t="shared" ca="1" si="212"/>
        <v>#NAME?</v>
      </c>
      <c r="AH231" s="143" t="e">
        <f t="shared" ca="1" si="211"/>
        <v>#NAME?</v>
      </c>
      <c r="AI231" s="128"/>
      <c r="AJ231" s="142" t="e">
        <f t="shared" ca="1" si="274"/>
        <v>#NAME?</v>
      </c>
      <c r="AK231" s="142" t="e">
        <f t="shared" ca="1" si="275"/>
        <v>#NAME?</v>
      </c>
      <c r="AL231" s="143" t="e">
        <f t="shared" ca="1" si="276"/>
        <v>#NAME?</v>
      </c>
      <c r="AM231" s="122"/>
      <c r="AN231" s="142" t="e">
        <f ca="1">GetCtData("PKAMOUNT","AMOUNT",$AN$11:$AN$18,$B231:$D231,AN$19:AN$20,"#0")</f>
        <v>#NAME?</v>
      </c>
      <c r="AO231" s="142" t="e">
        <f ca="1">GetCtData("PKAMOUNT","AMOUNT",$AO$11:$AO$18,$B231:$D231,AO$19:AO$20,"#0")</f>
        <v>#NAME?</v>
      </c>
      <c r="AP231" s="122"/>
      <c r="AQ231" s="142" t="e">
        <f ca="1">GetCtData("PKAMOUNT","AMOUNT",$AQ$11:$AQ$18,$B231:$D231,AQ$19:AQ$20,"#")</f>
        <v>#NAME?</v>
      </c>
      <c r="AR231" s="142" t="e">
        <f t="shared" ca="1" si="277"/>
        <v>#NAME?</v>
      </c>
      <c r="AS231" s="142"/>
      <c r="AT231" s="142" t="e">
        <f ca="1">GetCtData("PKAMOUNT","AMOUNT",AT$11:AT$18,$B231:$D231,AT$19:AT$20,"#0")</f>
        <v>#NAME?</v>
      </c>
      <c r="AU231" s="142" t="e">
        <f t="shared" ca="1" si="278"/>
        <v>#NAME?</v>
      </c>
      <c r="AV231" s="72"/>
      <c r="AW231" s="72" t="e">
        <f t="shared" ca="1" si="279"/>
        <v>#NAME?</v>
      </c>
      <c r="AX231" s="72" t="e">
        <f t="shared" ca="1" si="280"/>
        <v>#NAME?</v>
      </c>
      <c r="AY231" s="72"/>
      <c r="AZ231" s="72" t="e">
        <f t="shared" ca="1" si="281"/>
        <v>#NAME?</v>
      </c>
      <c r="BA231" s="72" t="e">
        <f t="shared" ca="1" si="282"/>
        <v>#NAME?</v>
      </c>
      <c r="BB231" s="72"/>
      <c r="BC231" s="72" t="e">
        <f t="shared" ca="1" si="283"/>
        <v>#NAME?</v>
      </c>
      <c r="BD231" s="72" t="e">
        <f t="shared" ca="1" si="284"/>
        <v>#NAME?</v>
      </c>
      <c r="BE231" s="72"/>
      <c r="BF231" s="72" t="e">
        <f t="shared" ca="1" si="285"/>
        <v>#NAME?</v>
      </c>
      <c r="BG231" s="72" t="e">
        <f t="shared" ca="1" si="286"/>
        <v>#NAME?</v>
      </c>
      <c r="BH231" s="72"/>
      <c r="BI231" s="72" t="e">
        <f t="shared" ca="1" si="287"/>
        <v>#NAME?</v>
      </c>
      <c r="BJ231" s="72" t="e">
        <f t="shared" ca="1" si="288"/>
        <v>#NAME?</v>
      </c>
      <c r="BK231" s="72"/>
      <c r="BL231" s="72" t="e">
        <f ca="1">GetCtData("COAMOUNT","AMOUNT",$BO$11:$BO$17,$B231,BL$19,BL$20,"#")</f>
        <v>#NAME?</v>
      </c>
      <c r="BM231" s="72" t="e">
        <f t="shared" ca="1" si="289"/>
        <v>#NAME?</v>
      </c>
      <c r="BN231" s="72"/>
      <c r="BO231" s="72" t="e">
        <f ca="1">GetCtData("COAMOUNT","AMOUNT",$BO$11:$BO$17,$B231,BO$19,BO$20,"#")</f>
        <v>#NAME?</v>
      </c>
      <c r="BP231" s="72" t="e">
        <f t="shared" ca="1" si="290"/>
        <v>#NAME?</v>
      </c>
      <c r="BQ231" s="72"/>
      <c r="BR231" s="72" t="e">
        <f ca="1">GetCtData("COAMOUNT","AMOUNT",$BO$11:$BO$17,$B231,BR$19,BR$20,"#")</f>
        <v>#NAME?</v>
      </c>
      <c r="BS231" s="72" t="e">
        <f ca="1">#REF!-BR231</f>
        <v>#REF!</v>
      </c>
    </row>
    <row r="232" spans="1:71" x14ac:dyDescent="0.2">
      <c r="A232" s="82" t="s">
        <v>243</v>
      </c>
      <c r="B232" s="82" t="s">
        <v>423</v>
      </c>
      <c r="D232" s="82" t="s">
        <v>172</v>
      </c>
      <c r="E232" s="74" t="e">
        <f ca="1">GetCtLabel(B232,"CURINIT(AC)!LDESC","#Other Income/(Expense)")</f>
        <v>#NAME?</v>
      </c>
      <c r="F232" s="130"/>
      <c r="G232" s="131">
        <v>-7</v>
      </c>
      <c r="H232" s="130"/>
      <c r="I232" s="72"/>
      <c r="J232" s="72"/>
      <c r="K232" s="72"/>
      <c r="L232" s="72"/>
      <c r="M232" s="72"/>
      <c r="N232" s="130"/>
      <c r="O232" s="140">
        <f t="shared" si="266"/>
        <v>-7</v>
      </c>
      <c r="P232" s="141">
        <f t="shared" si="267"/>
        <v>0</v>
      </c>
      <c r="Q232" s="141">
        <f t="shared" si="267"/>
        <v>0</v>
      </c>
      <c r="R232" s="133" t="e">
        <f t="shared" ca="1" si="268"/>
        <v>#NAME?</v>
      </c>
      <c r="S232" s="133" t="e">
        <f t="shared" ca="1" si="269"/>
        <v>#NAME?</v>
      </c>
      <c r="T232" s="134" t="e">
        <f t="shared" ca="1" si="270"/>
        <v>#NAME?</v>
      </c>
      <c r="U232" s="134" t="e">
        <f t="shared" ca="1" si="271"/>
        <v>#NAME?</v>
      </c>
      <c r="V232" s="144"/>
      <c r="W232" s="142"/>
      <c r="X232" s="142">
        <f t="shared" si="272"/>
        <v>-7</v>
      </c>
      <c r="Y232" s="122"/>
      <c r="Z232" s="135">
        <v>2</v>
      </c>
      <c r="AA232" s="135"/>
      <c r="AB232" s="135">
        <f t="shared" si="244"/>
        <v>2</v>
      </c>
      <c r="AC232" s="135">
        <f t="shared" si="273"/>
        <v>-9</v>
      </c>
      <c r="AD232" s="122"/>
      <c r="AE232" s="142" t="e">
        <f ca="1">GetCtData("PKAMOUNT","AMOUNT",$AE$11:$AE$18,$B232:$D232,AE$19:AE$20,"#-10")</f>
        <v>#NAME?</v>
      </c>
      <c r="AF232" s="142"/>
      <c r="AG232" s="142" t="e">
        <f t="shared" ca="1" si="212"/>
        <v>#NAME?</v>
      </c>
      <c r="AH232" s="143" t="e">
        <f t="shared" ca="1" si="211"/>
        <v>#NAME?</v>
      </c>
      <c r="AI232" s="128"/>
      <c r="AJ232" s="142" t="e">
        <f t="shared" ca="1" si="274"/>
        <v>#NAME?</v>
      </c>
      <c r="AK232" s="142" t="e">
        <f t="shared" ca="1" si="275"/>
        <v>#NAME?</v>
      </c>
      <c r="AL232" s="143" t="e">
        <f t="shared" ca="1" si="276"/>
        <v>#NAME?</v>
      </c>
      <c r="AM232" s="122"/>
      <c r="AN232" s="142" t="e">
        <f ca="1">GetCtData("PKAMOUNT","AMOUNT",$AN$11:$AN$18,$B232:$D232,AN$19:AN$20,"#-3")</f>
        <v>#NAME?</v>
      </c>
      <c r="AO232" s="142" t="e">
        <f ca="1">GetCtData("PKAMOUNT","AMOUNT",$AO$11:$AO$18,$B232:$D232,AO$19:AO$20,"#-10")</f>
        <v>#NAME?</v>
      </c>
      <c r="AP232" s="122"/>
      <c r="AQ232" s="142" t="e">
        <f ca="1">GetCtData("PKAMOUNT","AMOUNT",$AQ$11:$AQ$18,$B232:$D232,AQ$19:AQ$20,"#")</f>
        <v>#NAME?</v>
      </c>
      <c r="AR232" s="142" t="e">
        <f t="shared" ca="1" si="277"/>
        <v>#NAME?</v>
      </c>
      <c r="AS232" s="142"/>
      <c r="AT232" s="142" t="e">
        <f ca="1">GetCtData("PKAMOUNT","AMOUNT",AT$11:AT$18,$B232:$D232,AT$19:AT$20,"#3")</f>
        <v>#NAME?</v>
      </c>
      <c r="AU232" s="142" t="e">
        <f t="shared" ca="1" si="278"/>
        <v>#NAME?</v>
      </c>
      <c r="AV232" s="72"/>
      <c r="AW232" s="72" t="e">
        <f t="shared" ca="1" si="279"/>
        <v>#NAME?</v>
      </c>
      <c r="AX232" s="72" t="e">
        <f t="shared" ca="1" si="280"/>
        <v>#NAME?</v>
      </c>
      <c r="AY232" s="72"/>
      <c r="AZ232" s="72" t="e">
        <f t="shared" ca="1" si="281"/>
        <v>#NAME?</v>
      </c>
      <c r="BA232" s="72" t="e">
        <f t="shared" ca="1" si="282"/>
        <v>#NAME?</v>
      </c>
      <c r="BB232" s="72"/>
      <c r="BC232" s="72" t="e">
        <f t="shared" ca="1" si="283"/>
        <v>#NAME?</v>
      </c>
      <c r="BD232" s="72" t="e">
        <f t="shared" ca="1" si="284"/>
        <v>#NAME?</v>
      </c>
      <c r="BE232" s="72"/>
      <c r="BF232" s="72" t="e">
        <f t="shared" ca="1" si="285"/>
        <v>#NAME?</v>
      </c>
      <c r="BG232" s="72" t="e">
        <f t="shared" ca="1" si="286"/>
        <v>#NAME?</v>
      </c>
      <c r="BH232" s="72"/>
      <c r="BI232" s="72" t="e">
        <f t="shared" ca="1" si="287"/>
        <v>#NAME?</v>
      </c>
      <c r="BJ232" s="72" t="e">
        <f t="shared" ca="1" si="288"/>
        <v>#NAME?</v>
      </c>
      <c r="BK232" s="72"/>
      <c r="BL232" s="72" t="e">
        <f ca="1">GetCtData("COAMOUNT","AMOUNT",$BO$11:$BO$17,$B232,BL$19,BL$20,"#")</f>
        <v>#NAME?</v>
      </c>
      <c r="BM232" s="72" t="e">
        <f t="shared" ca="1" si="289"/>
        <v>#NAME?</v>
      </c>
      <c r="BN232" s="72"/>
      <c r="BO232" s="72" t="e">
        <f ca="1">GetCtData("COAMOUNT","AMOUNT",$BO$11:$BO$17,$B232,BO$19,BO$20,"#")</f>
        <v>#NAME?</v>
      </c>
      <c r="BP232" s="72" t="e">
        <f t="shared" ca="1" si="290"/>
        <v>#NAME?</v>
      </c>
      <c r="BQ232" s="72"/>
      <c r="BR232" s="72" t="e">
        <f ca="1">GetCtData("COAMOUNT","AMOUNT",$BO$11:$BO$17,$B232,BR$19,BR$20,"#")</f>
        <v>#NAME?</v>
      </c>
      <c r="BS232" s="72" t="e">
        <f ca="1">#REF!-BR232</f>
        <v>#REF!</v>
      </c>
    </row>
    <row r="233" spans="1:71" x14ac:dyDescent="0.2">
      <c r="E233" s="74"/>
      <c r="F233" s="130"/>
      <c r="G233" s="131"/>
      <c r="H233" s="130"/>
      <c r="I233" s="72"/>
      <c r="J233" s="72"/>
      <c r="K233" s="72"/>
      <c r="L233" s="72"/>
      <c r="M233" s="72"/>
      <c r="N233" s="130"/>
      <c r="O233" s="121"/>
      <c r="P233" s="141">
        <f t="shared" si="267"/>
        <v>0</v>
      </c>
      <c r="Q233" s="141">
        <f t="shared" si="267"/>
        <v>0</v>
      </c>
      <c r="R233" s="122"/>
      <c r="S233" s="122"/>
      <c r="T233" s="122" t="e">
        <f ca="1">PutCtData("PKAMOUNT","AMOUNT",$T$11:$T$15,$B233,$T$18,$T$17,P233)</f>
        <v>#NAME?</v>
      </c>
      <c r="U233" s="122" t="e">
        <f ca="1">PutCtData("PKAMOUNT","AMOUNT",$U$11:$U$15,$B233,$U$18,$U$17,L233)</f>
        <v>#NAME?</v>
      </c>
      <c r="V233" s="144"/>
      <c r="W233" s="122"/>
      <c r="X233" s="122"/>
      <c r="Y233" s="122"/>
      <c r="Z233" s="135"/>
      <c r="AA233" s="135"/>
      <c r="AB233" s="135">
        <f t="shared" si="244"/>
        <v>0</v>
      </c>
      <c r="AC233" s="135"/>
      <c r="AD233" s="122"/>
      <c r="AE233" s="122"/>
      <c r="AF233" s="122"/>
      <c r="AG233" s="122">
        <f t="shared" si="212"/>
        <v>0</v>
      </c>
      <c r="AH233" s="136">
        <f t="shared" si="211"/>
        <v>0</v>
      </c>
      <c r="AI233" s="128"/>
      <c r="AJ233" s="122">
        <f t="shared" si="274"/>
        <v>0</v>
      </c>
      <c r="AK233" s="122"/>
      <c r="AL233" s="136"/>
      <c r="AM233" s="122"/>
      <c r="AN233" s="122"/>
      <c r="AO233" s="122"/>
      <c r="AP233" s="122"/>
      <c r="AQ233" s="122"/>
      <c r="AR233" s="122"/>
      <c r="AS233" s="122"/>
      <c r="AT233" s="122"/>
      <c r="AU233" s="122"/>
      <c r="AV233" s="130"/>
      <c r="AW233" s="130"/>
      <c r="AX233" s="130"/>
      <c r="AY233" s="130"/>
      <c r="AZ233" s="130"/>
      <c r="BA233" s="130"/>
      <c r="BB233" s="130"/>
      <c r="BC233" s="130"/>
      <c r="BD233" s="130">
        <f t="shared" si="284"/>
        <v>0</v>
      </c>
      <c r="BE233" s="130"/>
      <c r="BF233" s="130"/>
      <c r="BG233" s="130">
        <f t="shared" si="286"/>
        <v>0</v>
      </c>
      <c r="BH233" s="130"/>
      <c r="BI233" s="130"/>
      <c r="BJ233" s="130">
        <f t="shared" si="288"/>
        <v>0</v>
      </c>
      <c r="BK233" s="130"/>
      <c r="BL233" s="130"/>
      <c r="BM233" s="130">
        <f>J233-BL233</f>
        <v>0</v>
      </c>
      <c r="BN233" s="130"/>
      <c r="BO233" s="130"/>
      <c r="BP233" s="130">
        <f t="shared" si="290"/>
        <v>0</v>
      </c>
      <c r="BQ233" s="130"/>
      <c r="BR233" s="130"/>
      <c r="BS233" s="130" t="e">
        <f>#REF!-BR233</f>
        <v>#REF!</v>
      </c>
    </row>
    <row r="234" spans="1:71" s="152" customFormat="1" x14ac:dyDescent="0.2">
      <c r="A234" s="146"/>
      <c r="B234" s="146" t="s">
        <v>424</v>
      </c>
      <c r="C234" s="146"/>
      <c r="D234" s="146" t="s">
        <v>250</v>
      </c>
      <c r="E234" s="147" t="e">
        <f ca="1">GetCtLabel(B234,"CURINIT(AC)!LDESC","#TOTAL OTHER INCOME/(EXPENSE)")</f>
        <v>#NAME?</v>
      </c>
      <c r="F234" s="148">
        <f t="shared" ref="F234:O234" si="291">SUM(F227:F233)</f>
        <v>-10</v>
      </c>
      <c r="G234" s="148">
        <f t="shared" si="291"/>
        <v>3</v>
      </c>
      <c r="H234" s="148"/>
      <c r="I234" s="148">
        <f t="shared" si="291"/>
        <v>0</v>
      </c>
      <c r="J234" s="148">
        <f t="shared" si="291"/>
        <v>0</v>
      </c>
      <c r="K234" s="148">
        <f t="shared" si="291"/>
        <v>1</v>
      </c>
      <c r="L234" s="148">
        <f>SUM(L227:L233)</f>
        <v>0</v>
      </c>
      <c r="M234" s="148">
        <f t="shared" si="291"/>
        <v>0</v>
      </c>
      <c r="N234" s="148"/>
      <c r="O234" s="149">
        <f t="shared" si="291"/>
        <v>-6</v>
      </c>
      <c r="P234" s="123">
        <f t="shared" si="267"/>
        <v>-1</v>
      </c>
      <c r="Q234" s="123">
        <f t="shared" si="267"/>
        <v>0</v>
      </c>
      <c r="R234" s="148" t="e">
        <f t="shared" ref="R234:X234" ca="1" si="292">SUM(R227:R233)</f>
        <v>#NAME?</v>
      </c>
      <c r="S234" s="148" t="e">
        <f t="shared" ca="1" si="292"/>
        <v>#NAME?</v>
      </c>
      <c r="T234" s="148" t="e">
        <f t="shared" ca="1" si="292"/>
        <v>#NAME?</v>
      </c>
      <c r="U234" s="148" t="e">
        <f t="shared" ca="1" si="292"/>
        <v>#NAME?</v>
      </c>
      <c r="V234" s="144">
        <f t="shared" si="292"/>
        <v>0</v>
      </c>
      <c r="W234" s="148" t="e">
        <f t="shared" ca="1" si="292"/>
        <v>#NAME?</v>
      </c>
      <c r="X234" s="148" t="e">
        <f t="shared" ca="1" si="292"/>
        <v>#NAME?</v>
      </c>
      <c r="Y234" s="136"/>
      <c r="Z234" s="150">
        <f>SUM(Z227:Z233)</f>
        <v>2</v>
      </c>
      <c r="AA234" s="150">
        <f>SUM(AA227:AA233)</f>
        <v>0</v>
      </c>
      <c r="AB234" s="150">
        <f t="shared" si="244"/>
        <v>2</v>
      </c>
      <c r="AC234" s="150">
        <f>SUM(AC227:AC233)</f>
        <v>-8</v>
      </c>
      <c r="AD234" s="136"/>
      <c r="AE234" s="148" t="e">
        <f ca="1">GetCtData("PKAMOUNT","AMOUNT",$AE$11:$AE$18,$B234:$D234,AE$19:AE$20,"#-10")</f>
        <v>#NAME?</v>
      </c>
      <c r="AF234" s="148">
        <f>SUM(AF227:AF233)</f>
        <v>0</v>
      </c>
      <c r="AG234" s="148" t="e">
        <f t="shared" ca="1" si="212"/>
        <v>#NAME?</v>
      </c>
      <c r="AH234" s="148" t="e">
        <f t="shared" ca="1" si="211"/>
        <v>#NAME?</v>
      </c>
      <c r="AI234" s="151"/>
      <c r="AJ234" s="148" t="e">
        <f t="shared" ca="1" si="274"/>
        <v>#NAME?</v>
      </c>
      <c r="AK234" s="148" t="e">
        <f ca="1">GetCtData("PKAMOUNT","AMOUNT",$AK$11:$AK$18,$B234:$D234,AK$19:AK$20,"#0")</f>
        <v>#NAME?</v>
      </c>
      <c r="AL234" s="148" t="e">
        <f ca="1">(O234-AO234)-AK234</f>
        <v>#NAME?</v>
      </c>
      <c r="AM234" s="136"/>
      <c r="AN234" s="148" t="e">
        <f ca="1">GetCtData("PKAMOUNT","AMOUNT",$AN$11:$AN$18,$B234:$D234,AN$19:AN$20,"#-3")</f>
        <v>#NAME?</v>
      </c>
      <c r="AO234" s="148" t="e">
        <f ca="1">GetCtData("PKAMOUNT","AMOUNT",$AO$11:$AO$18,$B234:$D234,AO$19:AO$20,"#-10")</f>
        <v>#NAME?</v>
      </c>
      <c r="AP234" s="136"/>
      <c r="AQ234" s="148" t="e">
        <f ca="1">GetCtData("PKAMOUNT","AMOUNT",$AQ$11:$AQ$18,$B234:$D234,AQ$19:AQ$20,"#0")</f>
        <v>#NAME?</v>
      </c>
      <c r="AR234" s="148" t="e">
        <f ca="1">O234-AQ234</f>
        <v>#NAME?</v>
      </c>
      <c r="AS234" s="148"/>
      <c r="AT234" s="148" t="e">
        <f ca="1">GetCtData("PKAMOUNT","AMOUNT",AT$11:AT$18,$B234:$D234,AT$19:AT$20,"#3")</f>
        <v>#NAME?</v>
      </c>
      <c r="AU234" s="148" t="e">
        <f ca="1">O234-AT234</f>
        <v>#NAME?</v>
      </c>
      <c r="AV234" s="148"/>
      <c r="AW234" s="148" t="e">
        <f ca="1">GetCtData("PKAMOUNT","AMOUNT",AW$11:AW$18,$B234:$D234,AW$19:AW$20,"#")</f>
        <v>#NAME?</v>
      </c>
      <c r="AX234" s="148" t="e">
        <f ca="1">O234-AW234</f>
        <v>#NAME?</v>
      </c>
      <c r="AY234" s="148"/>
      <c r="AZ234" s="148" t="e">
        <f ca="1">SUM(AZ227:AZ233)</f>
        <v>#NAME?</v>
      </c>
      <c r="BA234" s="148" t="e">
        <f ca="1">SUM(BA227:BA233)</f>
        <v>#NAME?</v>
      </c>
      <c r="BB234" s="148"/>
      <c r="BC234" s="148" t="e">
        <f ca="1">SUM(BC227:BC233)</f>
        <v>#NAME?</v>
      </c>
      <c r="BD234" s="148" t="e">
        <f t="shared" ca="1" si="284"/>
        <v>#NAME?</v>
      </c>
      <c r="BE234" s="148"/>
      <c r="BF234" s="148" t="e">
        <f ca="1">SUM(BF227:BF233)</f>
        <v>#NAME?</v>
      </c>
      <c r="BG234" s="148" t="e">
        <f t="shared" ca="1" si="286"/>
        <v>#NAME?</v>
      </c>
      <c r="BH234" s="148"/>
      <c r="BI234" s="148" t="e">
        <f ca="1">SUM(BI227:BI233)</f>
        <v>#NAME?</v>
      </c>
      <c r="BJ234" s="148" t="e">
        <f t="shared" ca="1" si="288"/>
        <v>#NAME?</v>
      </c>
      <c r="BK234" s="148"/>
      <c r="BL234" s="148" t="e">
        <f ca="1">SUM(BL227:BL233)</f>
        <v>#NAME?</v>
      </c>
      <c r="BM234" s="148" t="e">
        <f ca="1">O234-BL234</f>
        <v>#NAME?</v>
      </c>
      <c r="BN234" s="148"/>
      <c r="BO234" s="148" t="e">
        <f ca="1">SUM(BO227:BO233)</f>
        <v>#NAME?</v>
      </c>
      <c r="BP234" s="148" t="e">
        <f t="shared" ca="1" si="290"/>
        <v>#NAME?</v>
      </c>
      <c r="BQ234" s="148"/>
      <c r="BR234" s="148" t="e">
        <f ca="1">SUM(BR227:BR233)</f>
        <v>#NAME?</v>
      </c>
      <c r="BS234" s="148" t="e">
        <f ca="1">#REF!-BR234</f>
        <v>#REF!</v>
      </c>
    </row>
    <row r="235" spans="1:71" ht="10.5" customHeight="1" x14ac:dyDescent="0.2">
      <c r="E235" s="74"/>
      <c r="F235" s="130"/>
      <c r="G235" s="130"/>
      <c r="H235" s="130"/>
      <c r="I235" s="72"/>
      <c r="J235" s="72"/>
      <c r="K235" s="72"/>
      <c r="L235" s="72"/>
      <c r="M235" s="72"/>
      <c r="N235" s="130"/>
      <c r="O235" s="121"/>
      <c r="P235" s="141">
        <f t="shared" si="267"/>
        <v>0</v>
      </c>
      <c r="Q235" s="141">
        <f t="shared" si="267"/>
        <v>0</v>
      </c>
      <c r="R235" s="122"/>
      <c r="S235" s="122"/>
      <c r="T235" s="122"/>
      <c r="U235" s="122"/>
      <c r="V235" s="144"/>
      <c r="W235" s="122"/>
      <c r="X235" s="122"/>
      <c r="Y235" s="122"/>
      <c r="Z235" s="135"/>
      <c r="AA235" s="135"/>
      <c r="AB235" s="135">
        <f t="shared" si="244"/>
        <v>0</v>
      </c>
      <c r="AC235" s="135"/>
      <c r="AD235" s="122"/>
      <c r="AE235" s="156" t="e">
        <f ca="1">AE234-SUMIF($A226:AG232,"yes",AE226:AE232)</f>
        <v>#NAME?</v>
      </c>
      <c r="AF235" s="156"/>
      <c r="AG235" s="156" t="e">
        <f t="shared" ca="1" si="212"/>
        <v>#NAME?</v>
      </c>
      <c r="AH235" s="164" t="e">
        <f ca="1">AH234-SUMIF($A226:AH232,"yes",AH226:AH232)</f>
        <v>#NAME?</v>
      </c>
      <c r="AI235" s="128"/>
      <c r="AJ235" s="122">
        <f t="shared" si="274"/>
        <v>0</v>
      </c>
      <c r="AK235" s="122"/>
      <c r="AL235" s="136"/>
      <c r="AM235" s="122"/>
      <c r="AN235" s="122"/>
      <c r="AO235" s="122"/>
      <c r="AP235" s="122"/>
      <c r="AQ235" s="122"/>
      <c r="AR235" s="122"/>
      <c r="AS235" s="122"/>
      <c r="AT235" s="122"/>
      <c r="AU235" s="122"/>
      <c r="AV235" s="130"/>
      <c r="AW235" s="130"/>
      <c r="AX235" s="130"/>
      <c r="AY235" s="130"/>
      <c r="AZ235" s="130"/>
      <c r="BA235" s="130"/>
      <c r="BB235" s="130"/>
      <c r="BC235" s="130"/>
      <c r="BD235" s="130">
        <f t="shared" si="284"/>
        <v>0</v>
      </c>
      <c r="BE235" s="130"/>
      <c r="BF235" s="130"/>
      <c r="BG235" s="130">
        <f t="shared" si="286"/>
        <v>0</v>
      </c>
      <c r="BH235" s="130"/>
      <c r="BI235" s="130"/>
      <c r="BJ235" s="130">
        <f t="shared" si="288"/>
        <v>0</v>
      </c>
      <c r="BK235" s="130"/>
      <c r="BL235" s="130"/>
      <c r="BM235" s="130">
        <f t="shared" ref="BM235:BM244" si="293">J235-BL235</f>
        <v>0</v>
      </c>
      <c r="BN235" s="130"/>
      <c r="BO235" s="130"/>
      <c r="BP235" s="130">
        <f t="shared" si="290"/>
        <v>0</v>
      </c>
      <c r="BQ235" s="130"/>
      <c r="BR235" s="130"/>
      <c r="BS235" s="130" t="e">
        <f>#REF!-BR235</f>
        <v>#REF!</v>
      </c>
    </row>
    <row r="236" spans="1:71" s="152" customFormat="1" outlineLevel="1" x14ac:dyDescent="0.2">
      <c r="A236" s="146"/>
      <c r="B236" s="146" t="s">
        <v>425</v>
      </c>
      <c r="C236" s="146"/>
      <c r="D236" s="146" t="s">
        <v>250</v>
      </c>
      <c r="E236" s="147" t="e">
        <f ca="1">GetCtLabel(B236,"CURINIT(AC)!LDESC","#PBI, EQUITY INC/(LOSS) AND TAX")</f>
        <v>#NAME?</v>
      </c>
      <c r="F236" s="148">
        <f t="shared" ref="F236:O236" ca="1" si="294">F224+F234</f>
        <v>-100.15300000000025</v>
      </c>
      <c r="G236" s="148">
        <f t="shared" ca="1" si="294"/>
        <v>0</v>
      </c>
      <c r="H236" s="148">
        <f t="shared" si="294"/>
        <v>0</v>
      </c>
      <c r="I236" s="148">
        <f t="shared" ca="1" si="294"/>
        <v>0</v>
      </c>
      <c r="J236" s="148">
        <f t="shared" ca="1" si="294"/>
        <v>0</v>
      </c>
      <c r="K236" s="148">
        <f ca="1">K224+K234</f>
        <v>-758.2489999999998</v>
      </c>
      <c r="L236" s="148">
        <f ca="1">L224+L234</f>
        <v>52</v>
      </c>
      <c r="M236" s="148">
        <f t="shared" ca="1" si="294"/>
        <v>-486.61799999999994</v>
      </c>
      <c r="N236" s="148"/>
      <c r="O236" s="149">
        <f t="shared" ca="1" si="294"/>
        <v>-1293.0200000000004</v>
      </c>
      <c r="P236" s="123">
        <f t="shared" ca="1" si="267"/>
        <v>758.2489999999998</v>
      </c>
      <c r="Q236" s="123">
        <f t="shared" ca="1" si="267"/>
        <v>-52</v>
      </c>
      <c r="R236" s="148" t="e">
        <f ca="1">R224+R234</f>
        <v>#NAME?</v>
      </c>
      <c r="S236" s="197" t="e">
        <f ca="1">S224+S234</f>
        <v>#NAME?</v>
      </c>
      <c r="T236" s="197" t="e">
        <f ca="1">T224+T234</f>
        <v>#NAME?</v>
      </c>
      <c r="U236" s="148" t="e">
        <f ca="1">PutCtData("PKAMOUNT","AMOUNT",$U$11:$U$14,$B236:$D236,U$17:U$18,Q236)</f>
        <v>#NAME?</v>
      </c>
      <c r="V236" s="144"/>
      <c r="W236" s="148" t="e">
        <f ca="1">W224+W234</f>
        <v>#NAME?</v>
      </c>
      <c r="X236" s="148" t="e">
        <f ca="1">X224+X234</f>
        <v>#NAME?</v>
      </c>
      <c r="Y236" s="136"/>
      <c r="Z236" s="150">
        <f>Z224+Z234</f>
        <v>-5957.3850000000002</v>
      </c>
      <c r="AA236" s="150">
        <f>AA224+AA234</f>
        <v>0</v>
      </c>
      <c r="AB236" s="150">
        <f t="shared" si="244"/>
        <v>-5957.3850000000002</v>
      </c>
      <c r="AC236" s="150">
        <f ca="1">AC224+AC234</f>
        <v>4664.3649999999998</v>
      </c>
      <c r="AD236" s="136"/>
      <c r="AE236" s="148" t="e">
        <f ca="1">GetCtData("PKAMOUNT","AMOUNT",$AE$11:$AE$18,$B236:$D236,AE$19:AE$20,"#-1308.02")</f>
        <v>#NAME?</v>
      </c>
      <c r="AF236" s="148">
        <f>AF224+AF234</f>
        <v>0</v>
      </c>
      <c r="AG236" s="148" t="e">
        <f t="shared" ca="1" si="212"/>
        <v>#NAME?</v>
      </c>
      <c r="AH236" s="148" t="e">
        <f t="shared" ca="1" si="211"/>
        <v>#NAME?</v>
      </c>
      <c r="AI236" s="151"/>
      <c r="AJ236" s="148" t="e">
        <f t="shared" ca="1" si="274"/>
        <v>#NAME?</v>
      </c>
      <c r="AK236" s="148" t="e">
        <f ca="1">GetCtData("PKAMOUNT","AMOUNT",$AK$11:$AK$18,$B236:$D236,AK$19:AK$20,"#-118.409")</f>
        <v>#NAME?</v>
      </c>
      <c r="AL236" s="148" t="e">
        <f ca="1">(O236-AO236)-AK236</f>
        <v>#NAME?</v>
      </c>
      <c r="AM236" s="136"/>
      <c r="AN236" s="148" t="e">
        <f ca="1">GetCtData("PKAMOUNT","AMOUNT",$AN$11:$AN$18,$B236:$D236,AN$19:AN$20,"#-67.42")</f>
        <v>#NAME?</v>
      </c>
      <c r="AO236" s="148" t="e">
        <f ca="1">GetCtData("PKAMOUNT","AMOUNT",$AO$11:$AO$18,$B236:$D236,AO$19:AO$20,"#-1189.611")</f>
        <v>#NAME?</v>
      </c>
      <c r="AP236" s="136"/>
      <c r="AQ236" s="148" t="e">
        <f ca="1">GetCtData("PKAMOUNT","AMOUNT",$AQ$11:$AQ$18,$B236:$D236,AQ$19:AQ$20,"#-1326.952")</f>
        <v>#NAME?</v>
      </c>
      <c r="AR236" s="148"/>
      <c r="AS236" s="148"/>
      <c r="AT236" s="148" t="e">
        <f ca="1">GetCtData("PKAMOUNT","AMOUNT",AT$11:AT$18,$B236:$D236,AT$19:AT$20,"#-1436.87")</f>
        <v>#NAME?</v>
      </c>
      <c r="AU236" s="148" t="e">
        <f ca="1">O236-AT236</f>
        <v>#NAME?</v>
      </c>
      <c r="AV236" s="148"/>
      <c r="AW236" s="148" t="e">
        <f ca="1">GetCtData("PKAMOUNT","AMOUNT",AW$11:AW$18,$B236:$D236,AW$19:AW$20,"#")</f>
        <v>#NAME?</v>
      </c>
      <c r="AX236" s="148" t="e">
        <f t="shared" ref="AX236:AX244" ca="1" si="295">O236-AW236</f>
        <v>#NAME?</v>
      </c>
      <c r="AY236" s="148"/>
      <c r="AZ236" s="148" t="e">
        <f ca="1">AZ224+AZ234</f>
        <v>#NAME?</v>
      </c>
      <c r="BA236" s="148" t="e">
        <f ca="1">BA224+BA234</f>
        <v>#NAME?</v>
      </c>
      <c r="BB236" s="148"/>
      <c r="BC236" s="148" t="e">
        <f ca="1">BC224+BC234</f>
        <v>#NAME?</v>
      </c>
      <c r="BD236" s="148" t="e">
        <f t="shared" ca="1" si="284"/>
        <v>#NAME?</v>
      </c>
      <c r="BE236" s="148"/>
      <c r="BF236" s="148" t="e">
        <f ca="1">BF224+BF234</f>
        <v>#NAME?</v>
      </c>
      <c r="BG236" s="148" t="e">
        <f t="shared" ca="1" si="286"/>
        <v>#NAME?</v>
      </c>
      <c r="BH236" s="148"/>
      <c r="BI236" s="148" t="e">
        <f ca="1">BI224+BI234</f>
        <v>#NAME?</v>
      </c>
      <c r="BJ236" s="148" t="e">
        <f t="shared" ca="1" si="288"/>
        <v>#NAME?</v>
      </c>
      <c r="BK236" s="148"/>
      <c r="BL236" s="148" t="e">
        <f ca="1">BL224+BL234</f>
        <v>#NAME?</v>
      </c>
      <c r="BM236" s="148" t="e">
        <f t="shared" ca="1" si="293"/>
        <v>#NAME?</v>
      </c>
      <c r="BN236" s="148"/>
      <c r="BO236" s="148" t="e">
        <f ca="1">BO224+BO234</f>
        <v>#NAME?</v>
      </c>
      <c r="BP236" s="148" t="e">
        <f t="shared" ca="1" si="290"/>
        <v>#NAME?</v>
      </c>
      <c r="BQ236" s="148"/>
      <c r="BR236" s="148" t="e">
        <f ca="1">BR224+BR234</f>
        <v>#NAME?</v>
      </c>
      <c r="BS236" s="148" t="e">
        <f ca="1">#REF!-BR236</f>
        <v>#REF!</v>
      </c>
    </row>
    <row r="237" spans="1:71" outlineLevel="1" x14ac:dyDescent="0.2">
      <c r="E237" s="74"/>
      <c r="F237" s="130"/>
      <c r="G237" s="131"/>
      <c r="H237" s="130"/>
      <c r="I237" s="72"/>
      <c r="J237" s="72"/>
      <c r="K237" s="72"/>
      <c r="L237" s="72"/>
      <c r="M237" s="72"/>
      <c r="N237" s="130"/>
      <c r="O237" s="121"/>
      <c r="P237" s="141">
        <f t="shared" si="267"/>
        <v>0</v>
      </c>
      <c r="Q237" s="141">
        <f t="shared" si="267"/>
        <v>0</v>
      </c>
      <c r="R237" s="122"/>
      <c r="S237" s="122"/>
      <c r="T237" s="122" t="e">
        <f ca="1">PutCtData("PKAMOUNT","AMOUNT",$T$11:$T$15,$B237,$T$18,$T$17,P237)</f>
        <v>#NAME?</v>
      </c>
      <c r="U237" s="122" t="e">
        <f ca="1">PutCtData("PKAMOUNT","AMOUNT",$U$11:$U$15,$B237,$U$18,$U$17,L237)</f>
        <v>#NAME?</v>
      </c>
      <c r="V237" s="144"/>
      <c r="W237" s="122"/>
      <c r="X237" s="122"/>
      <c r="Y237" s="122"/>
      <c r="Z237" s="135"/>
      <c r="AA237" s="135"/>
      <c r="AB237" s="135">
        <f t="shared" si="244"/>
        <v>0</v>
      </c>
      <c r="AC237" s="135"/>
      <c r="AD237" s="122"/>
      <c r="AE237" s="122"/>
      <c r="AF237" s="122"/>
      <c r="AG237" s="122">
        <f t="shared" si="212"/>
        <v>0</v>
      </c>
      <c r="AH237" s="136">
        <f t="shared" si="211"/>
        <v>0</v>
      </c>
      <c r="AI237" s="128"/>
      <c r="AJ237" s="122">
        <f t="shared" si="274"/>
        <v>0</v>
      </c>
      <c r="AK237" s="122"/>
      <c r="AL237" s="136"/>
      <c r="AM237" s="122"/>
      <c r="AN237" s="122"/>
      <c r="AO237" s="122"/>
      <c r="AP237" s="122"/>
      <c r="AQ237" s="122"/>
      <c r="AR237" s="122"/>
      <c r="AS237" s="122"/>
      <c r="AT237" s="122"/>
      <c r="AU237" s="122"/>
      <c r="AV237" s="130"/>
      <c r="AW237" s="130" t="e">
        <f ca="1">GetCtData("PKAMOUNT","AMOUNT",AW$11:AW$18,$B237:$D237,AW$19:AW$20,"#The dimension AC (Account) must be initialized")</f>
        <v>#NAME?</v>
      </c>
      <c r="AX237" s="130" t="e">
        <f t="shared" ca="1" si="295"/>
        <v>#NAME?</v>
      </c>
      <c r="AY237" s="130"/>
      <c r="AZ237" s="130"/>
      <c r="BA237" s="130"/>
      <c r="BB237" s="130"/>
      <c r="BC237" s="130"/>
      <c r="BD237" s="130">
        <f t="shared" si="284"/>
        <v>0</v>
      </c>
      <c r="BE237" s="130"/>
      <c r="BF237" s="130"/>
      <c r="BG237" s="130">
        <f t="shared" si="286"/>
        <v>0</v>
      </c>
      <c r="BH237" s="130"/>
      <c r="BI237" s="130"/>
      <c r="BJ237" s="130">
        <f t="shared" si="288"/>
        <v>0</v>
      </c>
      <c r="BK237" s="130"/>
      <c r="BL237" s="130"/>
      <c r="BM237" s="130">
        <f t="shared" si="293"/>
        <v>0</v>
      </c>
      <c r="BN237" s="130"/>
      <c r="BO237" s="130"/>
      <c r="BP237" s="130">
        <f t="shared" si="290"/>
        <v>0</v>
      </c>
      <c r="BQ237" s="130"/>
      <c r="BR237" s="130"/>
      <c r="BS237" s="130" t="e">
        <f>#REF!-BR237</f>
        <v>#REF!</v>
      </c>
    </row>
    <row r="238" spans="1:71" outlineLevel="1" x14ac:dyDescent="0.2">
      <c r="A238" s="82" t="s">
        <v>243</v>
      </c>
      <c r="B238" s="82" t="s">
        <v>426</v>
      </c>
      <c r="D238" s="82" t="s">
        <v>172</v>
      </c>
      <c r="E238" s="74" t="e">
        <f ca="1">GetCtLabel(B238,"CURINIT(AC)!LDESC","#Equity income/(loss)")</f>
        <v>#NAME?</v>
      </c>
      <c r="F238" s="130"/>
      <c r="G238" s="131"/>
      <c r="H238" s="130"/>
      <c r="I238" s="130"/>
      <c r="J238" s="72"/>
      <c r="K238" s="72"/>
      <c r="L238" s="72"/>
      <c r="M238" s="72"/>
      <c r="N238" s="130"/>
      <c r="O238" s="140">
        <f>SUM(F238:M238)</f>
        <v>0</v>
      </c>
      <c r="P238" s="141">
        <f t="shared" si="267"/>
        <v>0</v>
      </c>
      <c r="Q238" s="141">
        <f t="shared" si="267"/>
        <v>0</v>
      </c>
      <c r="R238" s="133" t="e">
        <f ca="1">PutCtData("PKAMOUNT","AMOUNT",R$11:R$14,$B238:$D238,R$17:R$18,$O238)</f>
        <v>#NAME?</v>
      </c>
      <c r="S238" s="133" t="e">
        <f ca="1">PutCtData("PKAMOUNT","AMOUNT",S$11:S$14,$B238:$D238,S$17,$M238)</f>
        <v>#NAME?</v>
      </c>
      <c r="T238" s="134" t="e">
        <f ca="1">PutCtData("PKAMOUNT","AMOUNT",T$11:T$14,$B238:$D238,T$17:T$18,$P238)</f>
        <v>#NAME?</v>
      </c>
      <c r="U238" s="134" t="e">
        <f ca="1">PutCtData("PKAMOUNT","AMOUNT",$U$11:$U$14,$B238:$D238,U$17:U$18,Q238)</f>
        <v>#NAME?</v>
      </c>
      <c r="V238" s="144"/>
      <c r="W238" s="142" t="e">
        <f ca="1">GetCtData("COAMOUNT","AMOUNT",$B$11:$B$18,$B238,W$20,"#")</f>
        <v>#NAME?</v>
      </c>
      <c r="X238" s="142" t="e">
        <f ca="1">O238-W238</f>
        <v>#NAME?</v>
      </c>
      <c r="Y238" s="122"/>
      <c r="Z238" s="135"/>
      <c r="AA238" s="135"/>
      <c r="AB238" s="135">
        <f t="shared" si="244"/>
        <v>0</v>
      </c>
      <c r="AC238" s="135">
        <f>G238-AB238</f>
        <v>0</v>
      </c>
      <c r="AD238" s="122"/>
      <c r="AE238" s="142" t="e">
        <f ca="1">GetCtData("PKAMOUNT","AMOUNT",$AE$11:$AE$18,$B238:$D238,AE$19:AE$20,"#0")</f>
        <v>#NAME?</v>
      </c>
      <c r="AF238" s="142"/>
      <c r="AG238" s="142" t="e">
        <f t="shared" ca="1" si="212"/>
        <v>#NAME?</v>
      </c>
      <c r="AH238" s="143" t="e">
        <f t="shared" ca="1" si="211"/>
        <v>#NAME?</v>
      </c>
      <c r="AI238" s="128"/>
      <c r="AJ238" s="142" t="e">
        <f t="shared" ca="1" si="274"/>
        <v>#NAME?</v>
      </c>
      <c r="AK238" s="142" t="e">
        <f ca="1">GetCtData("PKAMOUNT","AMOUNT",$AK$11:$AK$18,$B238:$D238,AK$19:AK$20,"#")</f>
        <v>#NAME?</v>
      </c>
      <c r="AL238" s="143" t="e">
        <f ca="1">(O238-AO238)-AK238</f>
        <v>#NAME?</v>
      </c>
      <c r="AM238" s="122"/>
      <c r="AN238" s="142" t="e">
        <f ca="1">GetCtData("PKAMOUNT","AMOUNT",$AN$11:$AN$18,$B238:$D238,AN$19:AN$20,"#0")</f>
        <v>#NAME?</v>
      </c>
      <c r="AO238" s="142" t="e">
        <f ca="1">GetCtData("PKAMOUNT","AMOUNT",$AN$11:$AN$18,$B238:$D238,AO$19:AO$20,"#0")</f>
        <v>#NAME?</v>
      </c>
      <c r="AP238" s="122"/>
      <c r="AQ238" s="142" t="e">
        <f ca="1">GetCtData("PKAMOUNT","AMOUNT",$AQ$11:$AQ$18,$B238:$D238,AQ$19:AQ$20,"#")</f>
        <v>#NAME?</v>
      </c>
      <c r="AR238" s="142" t="e">
        <f ca="1">O238-AQ238</f>
        <v>#NAME?</v>
      </c>
      <c r="AS238" s="142"/>
      <c r="AT238" s="142" t="e">
        <f ca="1">GetCtData("PKAMOUNT","AMOUNT",AT$11:AT$18,$B238:$D238,AT$19:AT$20,"#0")</f>
        <v>#NAME?</v>
      </c>
      <c r="AU238" s="142" t="e">
        <f ca="1">O238-AT238</f>
        <v>#NAME?</v>
      </c>
      <c r="AV238" s="72"/>
      <c r="AW238" s="72" t="e">
        <f ca="1">GetCtData("PKAMOUNT","AMOUNT",AW$11:AW$18,$B238:$D238,AW$19:AW$20,"#")</f>
        <v>#NAME?</v>
      </c>
      <c r="AX238" s="72" t="e">
        <f t="shared" ca="1" si="295"/>
        <v>#NAME?</v>
      </c>
      <c r="AY238" s="72"/>
      <c r="AZ238" s="72" t="e">
        <f ca="1">GetCtData("COAMOUNT","AMOUNT",$AO$11:$AO$17,$B238,AZ$19,AZ$20,"#")</f>
        <v>#NAME?</v>
      </c>
      <c r="BA238" s="72" t="e">
        <f ca="1">AD238-AZ238</f>
        <v>#NAME?</v>
      </c>
      <c r="BB238" s="72"/>
      <c r="BC238" s="72" t="e">
        <f ca="1">GetCtData("COAMOUNT","AMOUNT",$AO$11:$AO$17,$B238,BC$19,BC$20,"#")</f>
        <v>#NAME?</v>
      </c>
      <c r="BD238" s="72" t="e">
        <f t="shared" ca="1" si="284"/>
        <v>#NAME?</v>
      </c>
      <c r="BE238" s="72"/>
      <c r="BF238" s="72" t="e">
        <f ca="1">GetCtData("COAMOUNT","AMOUNT",$AO$11:$AO$17,$B238,BF$19,BF$20,"#")</f>
        <v>#NAME?</v>
      </c>
      <c r="BG238" s="72" t="e">
        <f t="shared" ca="1" si="286"/>
        <v>#NAME?</v>
      </c>
      <c r="BH238" s="72"/>
      <c r="BI238" s="72" t="e">
        <f ca="1">GetCtData("COAMOUNT","AMOUNT",$AO$11:$AO$17,$B238,BI$19,BI$20,"#")</f>
        <v>#NAME?</v>
      </c>
      <c r="BJ238" s="72" t="e">
        <f t="shared" ca="1" si="288"/>
        <v>#NAME?</v>
      </c>
      <c r="BK238" s="72"/>
      <c r="BL238" s="72" t="e">
        <f ca="1">GetCtData("COAMOUNT","AMOUNT",$AK$11:$AK$17,$B238,BL$19,BL$20,"#")</f>
        <v>#NAME?</v>
      </c>
      <c r="BM238" s="72" t="e">
        <f t="shared" ca="1" si="293"/>
        <v>#NAME?</v>
      </c>
      <c r="BN238" s="72"/>
      <c r="BO238" s="72" t="e">
        <f ca="1">GetCtData("COAMOUNT","AMOUNT",$AK$11:$AK$17,$B238,BO$19,BO$20,"#")</f>
        <v>#NAME?</v>
      </c>
      <c r="BP238" s="72" t="e">
        <f t="shared" ca="1" si="290"/>
        <v>#NAME?</v>
      </c>
      <c r="BQ238" s="72"/>
      <c r="BR238" s="72" t="e">
        <f ca="1">GetCtData("COAMOUNT","AMOUNT",$AK$11:$AK$17,$B238,BR$19,BR$20,"#")</f>
        <v>#NAME?</v>
      </c>
      <c r="BS238" s="72" t="e">
        <f ca="1">#REF!-BR238</f>
        <v>#REF!</v>
      </c>
    </row>
    <row r="239" spans="1:71" outlineLevel="1" x14ac:dyDescent="0.2">
      <c r="A239" s="82" t="s">
        <v>243</v>
      </c>
      <c r="B239" s="82" t="s">
        <v>427</v>
      </c>
      <c r="D239" s="82" t="s">
        <v>172</v>
      </c>
      <c r="E239" s="74" t="e">
        <f ca="1">GetCtLabel(B239,"CURINIT(AC)!LDESC","#Internal Joint Venture income/(loss)")</f>
        <v>#NAME?</v>
      </c>
      <c r="F239" s="130"/>
      <c r="G239" s="131"/>
      <c r="H239" s="130"/>
      <c r="I239" s="130"/>
      <c r="J239" s="72"/>
      <c r="K239" s="72"/>
      <c r="L239" s="72"/>
      <c r="M239" s="72"/>
      <c r="N239" s="130"/>
      <c r="O239" s="140">
        <f>SUM(F239:M239)</f>
        <v>0</v>
      </c>
      <c r="P239" s="141">
        <f t="shared" si="267"/>
        <v>0</v>
      </c>
      <c r="Q239" s="141">
        <f t="shared" si="267"/>
        <v>0</v>
      </c>
      <c r="R239" s="133" t="e">
        <f ca="1">PutCtData("PKAMOUNT","AMOUNT",R$11:R$14,$B239:$D239,R$17:R$18,$O239)</f>
        <v>#NAME?</v>
      </c>
      <c r="S239" s="133" t="e">
        <f ca="1">PutCtData("PKAMOUNT","AMOUNT",S$11:S$14,$B239:$D239,S$17,$M239)</f>
        <v>#NAME?</v>
      </c>
      <c r="T239" s="134" t="e">
        <f ca="1">PutCtData("PKAMOUNT","AMOUNT",T$11:T$14,$B239:$D239,T$17:T$18,$P239)</f>
        <v>#NAME?</v>
      </c>
      <c r="U239" s="134" t="e">
        <f ca="1">PutCtData("PKAMOUNT","AMOUNT",$U$11:$U$14,$B239:$D239,U$17:U$18,Q239)</f>
        <v>#NAME?</v>
      </c>
      <c r="V239" s="144"/>
      <c r="W239" s="142" t="e">
        <f ca="1">GetCtData("COAMOUNT","AMOUNT",$B$11:$B$18,$B239,W$20,"#")</f>
        <v>#NAME?</v>
      </c>
      <c r="X239" s="142" t="e">
        <f ca="1">O239-W239</f>
        <v>#NAME?</v>
      </c>
      <c r="Y239" s="122"/>
      <c r="Z239" s="135"/>
      <c r="AA239" s="135"/>
      <c r="AB239" s="135">
        <f t="shared" si="244"/>
        <v>0</v>
      </c>
      <c r="AC239" s="135">
        <f>G239-AB239</f>
        <v>0</v>
      </c>
      <c r="AD239" s="122"/>
      <c r="AE239" s="142" t="e">
        <f ca="1">GetCtData("PKAMOUNT","AMOUNT",$AE$11:$AE$18,$B239:$D239,AE$19:AE$20,"#")</f>
        <v>#NAME?</v>
      </c>
      <c r="AF239" s="142"/>
      <c r="AG239" s="142" t="e">
        <f t="shared" ca="1" si="212"/>
        <v>#NAME?</v>
      </c>
      <c r="AH239" s="143" t="e">
        <f t="shared" ca="1" si="211"/>
        <v>#NAME?</v>
      </c>
      <c r="AI239" s="128"/>
      <c r="AJ239" s="142" t="e">
        <f t="shared" ca="1" si="274"/>
        <v>#NAME?</v>
      </c>
      <c r="AK239" s="142" t="e">
        <f ca="1">GetCtData("PKAMOUNT","AMOUNT",$AK$11:$AK$18,$B239:$D239,AK$19:AK$20,"#")</f>
        <v>#NAME?</v>
      </c>
      <c r="AL239" s="143" t="e">
        <f ca="1">(O239-AO239)-AK239</f>
        <v>#NAME?</v>
      </c>
      <c r="AM239" s="122"/>
      <c r="AN239" s="142" t="e">
        <f ca="1">GetCtData("PKAMOUNT","AMOUNT",$AN$11:$AN$18,$B239:$D239,AN$19:AN$20,"#")</f>
        <v>#NAME?</v>
      </c>
      <c r="AO239" s="142" t="e">
        <f ca="1">GetCtData("PKAMOUNT","AMOUNT",$AN$11:$AN$18,$B239:$D239,AO$19:AO$20,"#")</f>
        <v>#NAME?</v>
      </c>
      <c r="AP239" s="122"/>
      <c r="AQ239" s="142" t="e">
        <f ca="1">GetCtData("PKAMOUNT","AMOUNT",$AQ$11:$AQ$18,$B239:$D239,AQ$19:AQ$20,"#")</f>
        <v>#NAME?</v>
      </c>
      <c r="AR239" s="142" t="e">
        <f ca="1">O239-AQ239</f>
        <v>#NAME?</v>
      </c>
      <c r="AS239" s="142"/>
      <c r="AT239" s="142" t="e">
        <f ca="1">GetCtData("PKAMOUNT","AMOUNT",AT$11:AT$18,$B239:$D239,AT$19:AT$20,"#")</f>
        <v>#NAME?</v>
      </c>
      <c r="AU239" s="142" t="e">
        <f ca="1">O239-AT239</f>
        <v>#NAME?</v>
      </c>
      <c r="AV239" s="72"/>
      <c r="AW239" s="72" t="e">
        <f ca="1">GetCtData("PKAMOUNT","AMOUNT",AW$11:AW$18,$B239:$D239,AW$19:AW$20,"#")</f>
        <v>#NAME?</v>
      </c>
      <c r="AX239" s="72" t="e">
        <f t="shared" ca="1" si="295"/>
        <v>#NAME?</v>
      </c>
      <c r="AY239" s="72"/>
      <c r="AZ239" s="72" t="e">
        <f ca="1">GetCtData("COAMOUNT","AMOUNT",$AO$11:$AO$17,$B239,AZ$19,AZ$20,"#")</f>
        <v>#NAME?</v>
      </c>
      <c r="BA239" s="72" t="e">
        <f ca="1">AD239-AZ239</f>
        <v>#NAME?</v>
      </c>
      <c r="BB239" s="72"/>
      <c r="BC239" s="72" t="e">
        <f ca="1">GetCtData("COAMOUNT","AMOUNT",$AO$11:$AO$17,$B239,BC$19,BC$20,"#")</f>
        <v>#NAME?</v>
      </c>
      <c r="BD239" s="72" t="e">
        <f t="shared" ca="1" si="284"/>
        <v>#NAME?</v>
      </c>
      <c r="BE239" s="72"/>
      <c r="BF239" s="72" t="e">
        <f ca="1">GetCtData("COAMOUNT","AMOUNT",$AO$11:$AO$17,$B239,BF$19,BF$20,"#")</f>
        <v>#NAME?</v>
      </c>
      <c r="BG239" s="72" t="e">
        <f t="shared" ca="1" si="286"/>
        <v>#NAME?</v>
      </c>
      <c r="BH239" s="72"/>
      <c r="BI239" s="72" t="e">
        <f ca="1">GetCtData("COAMOUNT","AMOUNT",$AO$11:$AO$17,$B239,BI$19,BI$20,"#")</f>
        <v>#NAME?</v>
      </c>
      <c r="BJ239" s="72" t="e">
        <f t="shared" ca="1" si="288"/>
        <v>#NAME?</v>
      </c>
      <c r="BK239" s="72"/>
      <c r="BL239" s="72" t="e">
        <f ca="1">GetCtData("COAMOUNT","AMOUNT",$AK$11:$AK$17,$B239,BL$19,BL$20,"#")</f>
        <v>#NAME?</v>
      </c>
      <c r="BM239" s="72" t="e">
        <f t="shared" ca="1" si="293"/>
        <v>#NAME?</v>
      </c>
      <c r="BN239" s="72"/>
      <c r="BO239" s="72" t="e">
        <f ca="1">GetCtData("COAMOUNT","AMOUNT",$AK$11:$AK$17,$B239,BO$19,BO$20,"#")</f>
        <v>#NAME?</v>
      </c>
      <c r="BP239" s="72" t="e">
        <f t="shared" ca="1" si="290"/>
        <v>#NAME?</v>
      </c>
      <c r="BQ239" s="72"/>
      <c r="BR239" s="72" t="e">
        <f ca="1">GetCtData("COAMOUNT","AMOUNT",$AK$11:$AK$17,$B239,BR$19,BR$20,"#")</f>
        <v>#NAME?</v>
      </c>
      <c r="BS239" s="72" t="e">
        <f ca="1">#REF!-BR239</f>
        <v>#REF!</v>
      </c>
    </row>
    <row r="240" spans="1:71" outlineLevel="1" x14ac:dyDescent="0.2">
      <c r="A240" s="82" t="s">
        <v>243</v>
      </c>
      <c r="B240" s="82" t="s">
        <v>428</v>
      </c>
      <c r="D240" s="82" t="s">
        <v>172</v>
      </c>
      <c r="E240" s="74" t="e">
        <f ca="1">GetCtLabel(B240,"CURINIT(AC)!LDESC","#Share of exceptional income/(loss) of Associates")</f>
        <v>#NAME?</v>
      </c>
      <c r="F240" s="130"/>
      <c r="G240" s="131"/>
      <c r="H240" s="130"/>
      <c r="I240" s="130"/>
      <c r="J240" s="72"/>
      <c r="K240" s="72"/>
      <c r="L240" s="72"/>
      <c r="M240" s="72"/>
      <c r="N240" s="130"/>
      <c r="O240" s="140">
        <f>SUM(F240:M240)</f>
        <v>0</v>
      </c>
      <c r="P240" s="141">
        <f t="shared" si="267"/>
        <v>0</v>
      </c>
      <c r="Q240" s="141">
        <f t="shared" si="267"/>
        <v>0</v>
      </c>
      <c r="R240" s="133" t="e">
        <f ca="1">PutCtData("PKAMOUNT","AMOUNT",R$11:R$14,$B240:$D240,R$17:R$18,$O240)</f>
        <v>#NAME?</v>
      </c>
      <c r="S240" s="133" t="e">
        <f ca="1">PutCtData("PKAMOUNT","AMOUNT",S$11:S$14,$B240:$D240,S$17,$M240)</f>
        <v>#NAME?</v>
      </c>
      <c r="T240" s="134" t="e">
        <f ca="1">PutCtData("PKAMOUNT","AMOUNT",T$11:T$14,$B240:$D240,T$17:T$18,$P240)</f>
        <v>#NAME?</v>
      </c>
      <c r="U240" s="134" t="e">
        <f ca="1">PutCtData("PKAMOUNT","AMOUNT",$U$11:$U$14,$B240:$D240,U$17:U$18,Q240)</f>
        <v>#NAME?</v>
      </c>
      <c r="V240" s="144"/>
      <c r="W240" s="142" t="e">
        <f ca="1">GetCtData("COAMOUNT","AMOUNT",$B$11:$B$18,$B240,W$20,"#")</f>
        <v>#NAME?</v>
      </c>
      <c r="X240" s="142" t="e">
        <f ca="1">O240-W240</f>
        <v>#NAME?</v>
      </c>
      <c r="Y240" s="122"/>
      <c r="Z240" s="135"/>
      <c r="AA240" s="135"/>
      <c r="AB240" s="135">
        <f t="shared" si="244"/>
        <v>0</v>
      </c>
      <c r="AC240" s="135">
        <f>G240-AB240</f>
        <v>0</v>
      </c>
      <c r="AD240" s="122"/>
      <c r="AE240" s="142" t="e">
        <f ca="1">GetCtData("PKAMOUNT","AMOUNT",$AE$11:$AE$18,$B240:$D240,AE$19:AE$20,"#0")</f>
        <v>#NAME?</v>
      </c>
      <c r="AF240" s="142"/>
      <c r="AG240" s="142" t="e">
        <f t="shared" ca="1" si="212"/>
        <v>#NAME?</v>
      </c>
      <c r="AH240" s="143" t="e">
        <f t="shared" ca="1" si="211"/>
        <v>#NAME?</v>
      </c>
      <c r="AI240" s="128"/>
      <c r="AJ240" s="142" t="e">
        <f t="shared" ca="1" si="274"/>
        <v>#NAME?</v>
      </c>
      <c r="AK240" s="142" t="e">
        <f ca="1">GetCtData("PKAMOUNT","AMOUNT",$AK$11:$AK$18,$B240:$D240,AK$19:AK$20,"#")</f>
        <v>#NAME?</v>
      </c>
      <c r="AL240" s="143" t="e">
        <f ca="1">(O240-AO240)-AK240</f>
        <v>#NAME?</v>
      </c>
      <c r="AM240" s="122"/>
      <c r="AN240" s="142" t="e">
        <f ca="1">GetCtData("PKAMOUNT","AMOUNT",$AN$11:$AN$18,$B240:$D240,AN$19:AN$20,"#0")</f>
        <v>#NAME?</v>
      </c>
      <c r="AO240" s="142" t="e">
        <f ca="1">GetCtData("PKAMOUNT","AMOUNT",$AN$11:$AN$18,$B240:$D240,AO$19:AO$20,"#0")</f>
        <v>#NAME?</v>
      </c>
      <c r="AP240" s="122"/>
      <c r="AQ240" s="142" t="e">
        <f ca="1">GetCtData("PKAMOUNT","AMOUNT",$AQ$11:$AQ$18,$B240:$D240,AQ$19:AQ$20,"#")</f>
        <v>#NAME?</v>
      </c>
      <c r="AR240" s="142" t="e">
        <f ca="1">O240-AQ240</f>
        <v>#NAME?</v>
      </c>
      <c r="AS240" s="142"/>
      <c r="AT240" s="142" t="e">
        <f ca="1">GetCtData("PKAMOUNT","AMOUNT",AT$11:AT$18,$B240:$D240,AT$19:AT$20,"#0")</f>
        <v>#NAME?</v>
      </c>
      <c r="AU240" s="142" t="e">
        <f ca="1">O240-AT240</f>
        <v>#NAME?</v>
      </c>
      <c r="AV240" s="72"/>
      <c r="AW240" s="72" t="e">
        <f ca="1">GetCtData("PKAMOUNT","AMOUNT",AW$11:AW$18,$B240:$D240,AW$19:AW$20,"#")</f>
        <v>#NAME?</v>
      </c>
      <c r="AX240" s="72" t="e">
        <f t="shared" ca="1" si="295"/>
        <v>#NAME?</v>
      </c>
      <c r="AY240" s="72"/>
      <c r="AZ240" s="72" t="e">
        <f ca="1">GetCtData("COAMOUNT","AMOUNT",$AO$11:$AO$17,$B240,AZ$19,AZ$20,"#")</f>
        <v>#NAME?</v>
      </c>
      <c r="BA240" s="72" t="e">
        <f ca="1">AD240-AZ240</f>
        <v>#NAME?</v>
      </c>
      <c r="BB240" s="72"/>
      <c r="BC240" s="72" t="e">
        <f ca="1">GetCtData("COAMOUNT","AMOUNT",$AO$11:$AO$17,$B240,BC$19,BC$20,"#")</f>
        <v>#NAME?</v>
      </c>
      <c r="BD240" s="72" t="e">
        <f t="shared" ca="1" si="284"/>
        <v>#NAME?</v>
      </c>
      <c r="BE240" s="72"/>
      <c r="BF240" s="72" t="e">
        <f ca="1">GetCtData("COAMOUNT","AMOUNT",$AO$11:$AO$17,$B240,BF$19,BF$20,"#")</f>
        <v>#NAME?</v>
      </c>
      <c r="BG240" s="72" t="e">
        <f t="shared" ca="1" si="286"/>
        <v>#NAME?</v>
      </c>
      <c r="BH240" s="72"/>
      <c r="BI240" s="72" t="e">
        <f ca="1">GetCtData("COAMOUNT","AMOUNT",$AO$11:$AO$17,$B240,BI$19,BI$20,"#")</f>
        <v>#NAME?</v>
      </c>
      <c r="BJ240" s="72" t="e">
        <f t="shared" ca="1" si="288"/>
        <v>#NAME?</v>
      </c>
      <c r="BK240" s="72"/>
      <c r="BL240" s="72" t="e">
        <f ca="1">GetCtData("COAMOUNT","AMOUNT",$AK$11:$AK$17,$B240,BL$19,BL$20,"#")</f>
        <v>#NAME?</v>
      </c>
      <c r="BM240" s="72" t="e">
        <f t="shared" ca="1" si="293"/>
        <v>#NAME?</v>
      </c>
      <c r="BN240" s="72"/>
      <c r="BO240" s="72" t="e">
        <f ca="1">GetCtData("COAMOUNT","AMOUNT",$AK$11:$AK$17,$B240,BO$19,BO$20,"#")</f>
        <v>#NAME?</v>
      </c>
      <c r="BP240" s="72" t="e">
        <f t="shared" ca="1" si="290"/>
        <v>#NAME?</v>
      </c>
      <c r="BQ240" s="72"/>
      <c r="BR240" s="72" t="e">
        <f ca="1">GetCtData("COAMOUNT","AMOUNT",$AK$11:$AK$17,$B240,BR$19,BR$20,"#")</f>
        <v>#NAME?</v>
      </c>
      <c r="BS240" s="72" t="e">
        <f ca="1">#REF!-BR240</f>
        <v>#REF!</v>
      </c>
    </row>
    <row r="241" spans="1:71" outlineLevel="1" x14ac:dyDescent="0.2">
      <c r="E241" s="74"/>
      <c r="F241" s="130"/>
      <c r="G241" s="131"/>
      <c r="H241" s="130"/>
      <c r="I241" s="72"/>
      <c r="J241" s="72"/>
      <c r="K241" s="72"/>
      <c r="L241" s="72"/>
      <c r="M241" s="72"/>
      <c r="N241" s="130"/>
      <c r="O241" s="121"/>
      <c r="P241" s="141">
        <f t="shared" si="267"/>
        <v>0</v>
      </c>
      <c r="Q241" s="141">
        <f t="shared" si="267"/>
        <v>0</v>
      </c>
      <c r="R241" s="122"/>
      <c r="S241" s="122"/>
      <c r="T241" s="122" t="e">
        <f ca="1">PutCtData("PKAMOUNT","AMOUNT",$T$11:$T$15,$B241,$T$18,$T$17,P241)</f>
        <v>#NAME?</v>
      </c>
      <c r="U241" s="122" t="e">
        <f ca="1">PutCtData("PKAMOUNT","AMOUNT",$U$11:$U$15,$B241,$U$18,$U$17,L241)</f>
        <v>#NAME?</v>
      </c>
      <c r="V241" s="144"/>
      <c r="W241" s="122"/>
      <c r="X241" s="122"/>
      <c r="Y241" s="122"/>
      <c r="Z241" s="135"/>
      <c r="AA241" s="135"/>
      <c r="AB241" s="135">
        <f t="shared" si="244"/>
        <v>0</v>
      </c>
      <c r="AC241" s="135"/>
      <c r="AD241" s="122"/>
      <c r="AE241" s="122"/>
      <c r="AF241" s="122"/>
      <c r="AG241" s="122">
        <f t="shared" si="212"/>
        <v>0</v>
      </c>
      <c r="AH241" s="136">
        <f t="shared" si="211"/>
        <v>0</v>
      </c>
      <c r="AI241" s="128"/>
      <c r="AJ241" s="122">
        <f t="shared" si="274"/>
        <v>0</v>
      </c>
      <c r="AK241" s="122"/>
      <c r="AL241" s="136"/>
      <c r="AM241" s="122"/>
      <c r="AN241" s="122"/>
      <c r="AO241" s="122"/>
      <c r="AP241" s="122"/>
      <c r="AQ241" s="122"/>
      <c r="AR241" s="122"/>
      <c r="AS241" s="122"/>
      <c r="AT241" s="122"/>
      <c r="AU241" s="122"/>
      <c r="AV241" s="130"/>
      <c r="AW241" s="130" t="e">
        <f ca="1">GetCtData("PKAMOUNT","AMOUNT",AW$11:AW$18,$B241:$D241,AW$19:AW$20,"#The dimension AC (Account) must be initialized")</f>
        <v>#NAME?</v>
      </c>
      <c r="AX241" s="130" t="e">
        <f t="shared" ca="1" si="295"/>
        <v>#NAME?</v>
      </c>
      <c r="AY241" s="130"/>
      <c r="AZ241" s="130"/>
      <c r="BA241" s="130"/>
      <c r="BB241" s="130"/>
      <c r="BC241" s="130"/>
      <c r="BD241" s="130">
        <f t="shared" si="284"/>
        <v>0</v>
      </c>
      <c r="BE241" s="130"/>
      <c r="BF241" s="130"/>
      <c r="BG241" s="130">
        <f t="shared" si="286"/>
        <v>0</v>
      </c>
      <c r="BH241" s="130"/>
      <c r="BI241" s="130"/>
      <c r="BJ241" s="130">
        <f t="shared" si="288"/>
        <v>0</v>
      </c>
      <c r="BK241" s="130"/>
      <c r="BL241" s="130"/>
      <c r="BM241" s="130">
        <f t="shared" si="293"/>
        <v>0</v>
      </c>
      <c r="BN241" s="130"/>
      <c r="BO241" s="130"/>
      <c r="BP241" s="130">
        <f t="shared" si="290"/>
        <v>0</v>
      </c>
      <c r="BQ241" s="130"/>
      <c r="BR241" s="130"/>
      <c r="BS241" s="130" t="e">
        <f>#REF!-BR241</f>
        <v>#REF!</v>
      </c>
    </row>
    <row r="242" spans="1:71" s="152" customFormat="1" outlineLevel="1" x14ac:dyDescent="0.2">
      <c r="A242" s="146"/>
      <c r="B242" s="146" t="s">
        <v>429</v>
      </c>
      <c r="C242" s="146"/>
      <c r="D242" s="146" t="s">
        <v>250</v>
      </c>
      <c r="E242" s="147" t="e">
        <f ca="1">GetCtLabel(B242,"CURINIT(AC)!LDESC","#ASSOCIATES AND INTERNAL JOINT VENTURE TOTAL")</f>
        <v>#NAME?</v>
      </c>
      <c r="F242" s="148">
        <f t="shared" ref="F242:O242" si="296">SUM(F238:F240)</f>
        <v>0</v>
      </c>
      <c r="G242" s="148">
        <f t="shared" si="296"/>
        <v>0</v>
      </c>
      <c r="H242" s="148"/>
      <c r="I242" s="148">
        <f t="shared" si="296"/>
        <v>0</v>
      </c>
      <c r="J242" s="148">
        <f t="shared" si="296"/>
        <v>0</v>
      </c>
      <c r="K242" s="148">
        <f t="shared" si="296"/>
        <v>0</v>
      </c>
      <c r="L242" s="148">
        <f>SUM(L238:L240)</f>
        <v>0</v>
      </c>
      <c r="M242" s="148">
        <f t="shared" si="296"/>
        <v>0</v>
      </c>
      <c r="N242" s="148"/>
      <c r="O242" s="149">
        <f t="shared" si="296"/>
        <v>0</v>
      </c>
      <c r="P242" s="123">
        <f t="shared" si="267"/>
        <v>0</v>
      </c>
      <c r="Q242" s="123">
        <f t="shared" si="267"/>
        <v>0</v>
      </c>
      <c r="R242" s="148" t="e">
        <f ca="1">SUM(R238:R240)</f>
        <v>#NAME?</v>
      </c>
      <c r="S242" s="148" t="e">
        <f ca="1">SUM(S238:S240)</f>
        <v>#NAME?</v>
      </c>
      <c r="T242" s="148" t="e">
        <f ca="1">PutCtData("PKAMOUNT","AMOUNT",$T$11:$T$15,$B242,$T$18,$T$17,P242)</f>
        <v>#NAME?</v>
      </c>
      <c r="U242" s="148" t="e">
        <f ca="1">PutCtData("PKAMOUNT","AMOUNT",$U$11:$U$15,$B242,$U$18,$U$17,L242)</f>
        <v>#NAME?</v>
      </c>
      <c r="V242" s="144"/>
      <c r="W242" s="148" t="e">
        <f ca="1">SUM(W238:W240)</f>
        <v>#NAME?</v>
      </c>
      <c r="X242" s="148" t="e">
        <f ca="1">SUM(X238:X240)</f>
        <v>#NAME?</v>
      </c>
      <c r="Y242" s="136"/>
      <c r="Z242" s="150">
        <f>SUM(Z238:Z240)</f>
        <v>0</v>
      </c>
      <c r="AA242" s="150">
        <f>SUM(AA238:AA240)</f>
        <v>0</v>
      </c>
      <c r="AB242" s="150">
        <f t="shared" si="244"/>
        <v>0</v>
      </c>
      <c r="AC242" s="150">
        <f>SUM(AC238:AC240)</f>
        <v>0</v>
      </c>
      <c r="AD242" s="136"/>
      <c r="AE242" s="148" t="e">
        <f ca="1">GetCtData("PKAMOUNT","AMOUNT",$AE$11:$AE$18,$B242:$D242,AE$19:AE$20,"#0")</f>
        <v>#NAME?</v>
      </c>
      <c r="AF242" s="148">
        <f>SUM(AF238:AF240)</f>
        <v>0</v>
      </c>
      <c r="AG242" s="148" t="e">
        <f t="shared" ca="1" si="212"/>
        <v>#NAME?</v>
      </c>
      <c r="AH242" s="148" t="e">
        <f t="shared" ca="1" si="211"/>
        <v>#NAME?</v>
      </c>
      <c r="AI242" s="151"/>
      <c r="AJ242" s="148" t="e">
        <f t="shared" ca="1" si="274"/>
        <v>#NAME?</v>
      </c>
      <c r="AK242" s="148" t="e">
        <f ca="1">GetCtData("PKAMOUNT","AMOUNT",$AK$11:$AK$18,$B242:$D242,AK$19:AK$20,"#")</f>
        <v>#NAME?</v>
      </c>
      <c r="AL242" s="148" t="e">
        <f ca="1">(O242-AO242)-AK242</f>
        <v>#NAME?</v>
      </c>
      <c r="AM242" s="136"/>
      <c r="AN242" s="148" t="e">
        <f ca="1">SUM(AN238:AN240)</f>
        <v>#NAME?</v>
      </c>
      <c r="AO242" s="148" t="e">
        <f ca="1">SUM(AO238:AO240)</f>
        <v>#NAME?</v>
      </c>
      <c r="AP242" s="136"/>
      <c r="AQ242" s="148" t="e">
        <f ca="1">GetCtData("PKAMOUNT","AMOUNT",$AQ$11:$AQ$18,$B242:$D242,AQ$19:AQ$20,"#")</f>
        <v>#NAME?</v>
      </c>
      <c r="AR242" s="148" t="e">
        <f ca="1">O242-AQ242</f>
        <v>#NAME?</v>
      </c>
      <c r="AS242" s="148"/>
      <c r="AT242" s="148" t="e">
        <f ca="1">GetCtData("PKAMOUNT","AMOUNT",AT$11:AT$18,$B242:$D242,AT$19:AT$20,"#0")</f>
        <v>#NAME?</v>
      </c>
      <c r="AU242" s="148" t="e">
        <f ca="1">O242-AT242</f>
        <v>#NAME?</v>
      </c>
      <c r="AV242" s="148"/>
      <c r="AW242" s="148" t="e">
        <f ca="1">GetCtData("PKAMOUNT","AMOUNT",AW$11:AW$18,$B242:$D242,AW$19:AW$20,"#")</f>
        <v>#NAME?</v>
      </c>
      <c r="AX242" s="148" t="e">
        <f t="shared" ca="1" si="295"/>
        <v>#NAME?</v>
      </c>
      <c r="AY242" s="148"/>
      <c r="AZ242" s="148" t="e">
        <f ca="1">SUM(AZ238:AZ240)</f>
        <v>#NAME?</v>
      </c>
      <c r="BA242" s="148" t="e">
        <f ca="1">SUM(BA238:BA240)</f>
        <v>#NAME?</v>
      </c>
      <c r="BB242" s="148"/>
      <c r="BC242" s="148" t="e">
        <f ca="1">SUM(BC238:BC240)</f>
        <v>#NAME?</v>
      </c>
      <c r="BD242" s="148" t="e">
        <f t="shared" ca="1" si="284"/>
        <v>#NAME?</v>
      </c>
      <c r="BE242" s="148"/>
      <c r="BF242" s="148" t="e">
        <f ca="1">SUM(BF238:BF240)</f>
        <v>#NAME?</v>
      </c>
      <c r="BG242" s="148" t="e">
        <f t="shared" ca="1" si="286"/>
        <v>#NAME?</v>
      </c>
      <c r="BH242" s="148"/>
      <c r="BI242" s="148" t="e">
        <f ca="1">SUM(BI238:BI240)</f>
        <v>#NAME?</v>
      </c>
      <c r="BJ242" s="148" t="e">
        <f t="shared" ca="1" si="288"/>
        <v>#NAME?</v>
      </c>
      <c r="BK242" s="148"/>
      <c r="BL242" s="148" t="e">
        <f ca="1">SUM(BL238:BL240)</f>
        <v>#NAME?</v>
      </c>
      <c r="BM242" s="148" t="e">
        <f t="shared" ca="1" si="293"/>
        <v>#NAME?</v>
      </c>
      <c r="BN242" s="148"/>
      <c r="BO242" s="148" t="e">
        <f ca="1">SUM(BO238:BO240)</f>
        <v>#NAME?</v>
      </c>
      <c r="BP242" s="148" t="e">
        <f t="shared" ca="1" si="290"/>
        <v>#NAME?</v>
      </c>
      <c r="BQ242" s="148"/>
      <c r="BR242" s="148" t="e">
        <f ca="1">SUM(BR238:BR240)</f>
        <v>#NAME?</v>
      </c>
      <c r="BS242" s="148" t="e">
        <f ca="1">#REF!-BR242</f>
        <v>#REF!</v>
      </c>
    </row>
    <row r="243" spans="1:71" outlineLevel="1" x14ac:dyDescent="0.2">
      <c r="E243" s="74"/>
      <c r="F243" s="130"/>
      <c r="G243" s="131"/>
      <c r="H243" s="130"/>
      <c r="I243" s="72"/>
      <c r="J243" s="72"/>
      <c r="K243" s="72"/>
      <c r="L243" s="72"/>
      <c r="M243" s="72"/>
      <c r="N243" s="130"/>
      <c r="O243" s="121"/>
      <c r="P243" s="141">
        <f t="shared" si="267"/>
        <v>0</v>
      </c>
      <c r="Q243" s="141">
        <f t="shared" si="267"/>
        <v>0</v>
      </c>
      <c r="R243" s="122"/>
      <c r="S243" s="122"/>
      <c r="T243" s="122" t="e">
        <f ca="1">PutCtData("PKAMOUNT","AMOUNT",$T$11:$T$15,$B243,$T$18,$T$17,P243)</f>
        <v>#NAME?</v>
      </c>
      <c r="U243" s="122" t="e">
        <f ca="1">PutCtData("PKAMOUNT","AMOUNT",$U$11:$U$15,$B243,$U$18,$U$17,L243)</f>
        <v>#NAME?</v>
      </c>
      <c r="V243" s="144"/>
      <c r="W243" s="122"/>
      <c r="X243" s="122"/>
      <c r="Y243" s="122"/>
      <c r="Z243" s="135"/>
      <c r="AA243" s="135"/>
      <c r="AB243" s="135">
        <f t="shared" si="244"/>
        <v>0</v>
      </c>
      <c r="AC243" s="135"/>
      <c r="AD243" s="122"/>
      <c r="AE243" s="156"/>
      <c r="AF243" s="156"/>
      <c r="AG243" s="156">
        <f t="shared" si="212"/>
        <v>0</v>
      </c>
      <c r="AH243" s="164">
        <f t="shared" si="211"/>
        <v>0</v>
      </c>
      <c r="AI243" s="128"/>
      <c r="AJ243" s="122">
        <f t="shared" si="274"/>
        <v>0</v>
      </c>
      <c r="AK243" s="122"/>
      <c r="AL243" s="136"/>
      <c r="AM243" s="122"/>
      <c r="AN243" s="122"/>
      <c r="AO243" s="122"/>
      <c r="AP243" s="122"/>
      <c r="AQ243" s="122"/>
      <c r="AR243" s="122"/>
      <c r="AS243" s="122"/>
      <c r="AT243" s="122"/>
      <c r="AU243" s="122"/>
      <c r="AV243" s="130"/>
      <c r="AW243" s="130" t="e">
        <f ca="1">GetCtData("PKAMOUNT","AMOUNT",AW$11:AW$18,$B243:$D243,AW$19:AW$20,"#The dimension AC (Account) must be initialized")</f>
        <v>#NAME?</v>
      </c>
      <c r="AX243" s="130" t="e">
        <f t="shared" ca="1" si="295"/>
        <v>#NAME?</v>
      </c>
      <c r="AY243" s="130"/>
      <c r="AZ243" s="130"/>
      <c r="BA243" s="130"/>
      <c r="BB243" s="130"/>
      <c r="BC243" s="130"/>
      <c r="BD243" s="130">
        <f t="shared" si="284"/>
        <v>0</v>
      </c>
      <c r="BE243" s="130"/>
      <c r="BF243" s="130"/>
      <c r="BG243" s="130">
        <f t="shared" si="286"/>
        <v>0</v>
      </c>
      <c r="BH243" s="130"/>
      <c r="BI243" s="130"/>
      <c r="BJ243" s="130">
        <f t="shared" si="288"/>
        <v>0</v>
      </c>
      <c r="BK243" s="130"/>
      <c r="BL243" s="130"/>
      <c r="BM243" s="130">
        <f t="shared" si="293"/>
        <v>0</v>
      </c>
      <c r="BN243" s="130"/>
      <c r="BO243" s="130"/>
      <c r="BP243" s="130">
        <f t="shared" si="290"/>
        <v>0</v>
      </c>
      <c r="BQ243" s="130"/>
      <c r="BR243" s="130"/>
      <c r="BS243" s="130" t="e">
        <f>#REF!-BR243</f>
        <v>#REF!</v>
      </c>
    </row>
    <row r="244" spans="1:71" s="152" customFormat="1" x14ac:dyDescent="0.2">
      <c r="A244" s="146"/>
      <c r="B244" s="146" t="s">
        <v>430</v>
      </c>
      <c r="C244" s="146"/>
      <c r="D244" s="146" t="s">
        <v>250</v>
      </c>
      <c r="E244" s="147" t="e">
        <f ca="1">GetCtLabel(B244,"CURINIT(AC)!LDESC","#PROFIT/(LOSS) BEFORE INT. &amp; TAX")</f>
        <v>#NAME?</v>
      </c>
      <c r="F244" s="148">
        <f t="shared" ref="F244:O244" ca="1" si="297">F236+F242</f>
        <v>-100.15300000000025</v>
      </c>
      <c r="G244" s="148">
        <f t="shared" ca="1" si="297"/>
        <v>0</v>
      </c>
      <c r="H244" s="148">
        <f t="shared" si="297"/>
        <v>0</v>
      </c>
      <c r="I244" s="148">
        <f t="shared" ca="1" si="297"/>
        <v>0</v>
      </c>
      <c r="J244" s="148">
        <f t="shared" ca="1" si="297"/>
        <v>0</v>
      </c>
      <c r="K244" s="148">
        <f t="shared" ca="1" si="297"/>
        <v>-758.2489999999998</v>
      </c>
      <c r="L244" s="148">
        <f ca="1">L236+L242</f>
        <v>52</v>
      </c>
      <c r="M244" s="148">
        <f t="shared" ca="1" si="297"/>
        <v>-486.61799999999994</v>
      </c>
      <c r="N244" s="148"/>
      <c r="O244" s="149">
        <f t="shared" ca="1" si="297"/>
        <v>-1293.0200000000004</v>
      </c>
      <c r="P244" s="123">
        <f t="shared" ca="1" si="267"/>
        <v>758.2489999999998</v>
      </c>
      <c r="Q244" s="123">
        <f t="shared" ca="1" si="267"/>
        <v>-52</v>
      </c>
      <c r="R244" s="148" t="e">
        <f ca="1">R236+R242</f>
        <v>#NAME?</v>
      </c>
      <c r="S244" s="197" t="e">
        <f ca="1">S236+S242</f>
        <v>#NAME?</v>
      </c>
      <c r="T244" s="197" t="e">
        <f ca="1">T236+T242</f>
        <v>#NAME?</v>
      </c>
      <c r="U244" s="148" t="e">
        <f ca="1">U236+U242</f>
        <v>#NAME?</v>
      </c>
      <c r="V244" s="144"/>
      <c r="W244" s="148" t="e">
        <f ca="1">W236+W242</f>
        <v>#NAME?</v>
      </c>
      <c r="X244" s="148" t="e">
        <f ca="1">X236+X242</f>
        <v>#NAME?</v>
      </c>
      <c r="Y244" s="136"/>
      <c r="Z244" s="150">
        <f>Z236+Z242</f>
        <v>-5957.3850000000002</v>
      </c>
      <c r="AA244" s="150">
        <f>AA236+AA242</f>
        <v>0</v>
      </c>
      <c r="AB244" s="150">
        <f>Z244+AA244</f>
        <v>-5957.3850000000002</v>
      </c>
      <c r="AC244" s="150">
        <f ca="1">AC236+AC242</f>
        <v>4664.3649999999998</v>
      </c>
      <c r="AD244" s="136"/>
      <c r="AE244" s="148" t="e">
        <f ca="1">GetCtData("PKAMOUNT","AMOUNT",$AE$11:$AE$18,$B244:$D244,AE$19:AE$20,"#-1308.02")</f>
        <v>#NAME?</v>
      </c>
      <c r="AF244" s="148">
        <f>AF236+AF242</f>
        <v>0</v>
      </c>
      <c r="AG244" s="148" t="e">
        <f t="shared" ca="1" si="212"/>
        <v>#NAME?</v>
      </c>
      <c r="AH244" s="148" t="e">
        <f t="shared" ca="1" si="211"/>
        <v>#NAME?</v>
      </c>
      <c r="AI244" s="151"/>
      <c r="AJ244" s="148" t="e">
        <f t="shared" ca="1" si="274"/>
        <v>#NAME?</v>
      </c>
      <c r="AK244" s="148" t="e">
        <f ca="1">GetCtData("PKAMOUNT","AMOUNT",$AK$11:$AK$18,$B244:$D244,AK$19:AK$20,"#-118.409")</f>
        <v>#NAME?</v>
      </c>
      <c r="AL244" s="148" t="e">
        <f ca="1">(O244-AO244)-AK244</f>
        <v>#NAME?</v>
      </c>
      <c r="AM244" s="136"/>
      <c r="AN244" s="148" t="e">
        <f ca="1">GetCtData("PKAMOUNT","AMOUNT",$AN$11:$AN$18,$B244:$D244,AN$19:AN$20,"#-67.42")</f>
        <v>#NAME?</v>
      </c>
      <c r="AO244" s="148" t="e">
        <f ca="1">GetCtData("PKAMOUNT","AMOUNT",$AO$11:$AO$18,$B244:$D244,AO$19:AO$20,"#-1189.611")</f>
        <v>#NAME?</v>
      </c>
      <c r="AP244" s="136"/>
      <c r="AQ244" s="148" t="e">
        <f ca="1">GetCtData("PKAMOUNT","AMOUNT",$AQ$11:$AQ$18,$B244:$D244,AQ$19:AQ$20,"#-1326.952")</f>
        <v>#NAME?</v>
      </c>
      <c r="AR244" s="148"/>
      <c r="AS244" s="148"/>
      <c r="AT244" s="148" t="e">
        <f ca="1">GetCtData("PKAMOUNT","AMOUNT",AT$11:AT$18,$B244:$D244,AT$19:AT$20,"#-1436.87")</f>
        <v>#NAME?</v>
      </c>
      <c r="AU244" s="148" t="e">
        <f ca="1">O244-AT244</f>
        <v>#NAME?</v>
      </c>
      <c r="AV244" s="148"/>
      <c r="AW244" s="148" t="e">
        <f ca="1">GetCtData("PKAMOUNT","AMOUNT",AW$11:AW$18,$B244:$D244,AW$19:AW$20,"#")</f>
        <v>#NAME?</v>
      </c>
      <c r="AX244" s="148" t="e">
        <f t="shared" ca="1" si="295"/>
        <v>#NAME?</v>
      </c>
      <c r="AY244" s="148"/>
      <c r="AZ244" s="148" t="e">
        <f ca="1">AZ236+AZ242</f>
        <v>#NAME?</v>
      </c>
      <c r="BA244" s="148" t="e">
        <f ca="1">BA236+BA242</f>
        <v>#NAME?</v>
      </c>
      <c r="BB244" s="148"/>
      <c r="BC244" s="148" t="e">
        <f ca="1">BC236+BC242</f>
        <v>#NAME?</v>
      </c>
      <c r="BD244" s="148" t="e">
        <f t="shared" ca="1" si="284"/>
        <v>#NAME?</v>
      </c>
      <c r="BE244" s="148"/>
      <c r="BF244" s="148" t="e">
        <f ca="1">BF236+BF242</f>
        <v>#NAME?</v>
      </c>
      <c r="BG244" s="148" t="e">
        <f t="shared" ca="1" si="286"/>
        <v>#NAME?</v>
      </c>
      <c r="BH244" s="148"/>
      <c r="BI244" s="148" t="e">
        <f ca="1">BI236+BI242</f>
        <v>#NAME?</v>
      </c>
      <c r="BJ244" s="148" t="e">
        <f t="shared" ca="1" si="288"/>
        <v>#NAME?</v>
      </c>
      <c r="BK244" s="148"/>
      <c r="BL244" s="148" t="e">
        <f ca="1">BL236+BL242</f>
        <v>#NAME?</v>
      </c>
      <c r="BM244" s="148" t="e">
        <f t="shared" ca="1" si="293"/>
        <v>#NAME?</v>
      </c>
      <c r="BN244" s="148"/>
      <c r="BO244" s="148" t="e">
        <f ca="1">BO236+BO242</f>
        <v>#NAME?</v>
      </c>
      <c r="BP244" s="148" t="e">
        <f t="shared" ca="1" si="290"/>
        <v>#NAME?</v>
      </c>
      <c r="BQ244" s="148"/>
      <c r="BR244" s="148" t="e">
        <f ca="1">BR236+BR242</f>
        <v>#NAME?</v>
      </c>
      <c r="BS244" s="148" t="e">
        <f ca="1">#REF!-BR244</f>
        <v>#REF!</v>
      </c>
    </row>
    <row r="245" spans="1:71" outlineLevel="1" x14ac:dyDescent="0.2">
      <c r="E245" s="74"/>
      <c r="F245" s="130"/>
      <c r="G245" s="131"/>
      <c r="H245" s="130"/>
      <c r="I245" s="72"/>
      <c r="J245" s="72"/>
      <c r="K245" s="72"/>
      <c r="L245" s="72"/>
      <c r="M245" s="72"/>
      <c r="N245" s="130"/>
      <c r="O245" s="121"/>
      <c r="P245" s="141">
        <f t="shared" si="267"/>
        <v>0</v>
      </c>
      <c r="Q245" s="141">
        <f t="shared" si="267"/>
        <v>0</v>
      </c>
      <c r="R245" s="133"/>
      <c r="S245" s="133"/>
      <c r="T245" s="134"/>
      <c r="U245" s="134"/>
      <c r="V245" s="144"/>
      <c r="W245" s="122"/>
      <c r="X245" s="122"/>
      <c r="Y245" s="122"/>
      <c r="Z245" s="135"/>
      <c r="AA245" s="135"/>
      <c r="AB245" s="135"/>
      <c r="AC245" s="135"/>
      <c r="AD245" s="122"/>
      <c r="AE245" s="122"/>
      <c r="AF245" s="122"/>
      <c r="AG245" s="122">
        <f t="shared" si="212"/>
        <v>0</v>
      </c>
      <c r="AH245" s="136">
        <f t="shared" si="211"/>
        <v>0</v>
      </c>
      <c r="AI245" s="128"/>
      <c r="AJ245" s="122"/>
      <c r="AK245" s="122"/>
      <c r="AL245" s="136"/>
      <c r="AM245" s="122"/>
      <c r="AN245" s="122"/>
      <c r="AO245" s="122"/>
      <c r="AP245" s="122"/>
      <c r="AQ245" s="122"/>
      <c r="AR245" s="122"/>
      <c r="AS245" s="122"/>
      <c r="AT245" s="122"/>
      <c r="AU245" s="122"/>
      <c r="AV245" s="130"/>
      <c r="AW245" s="130"/>
      <c r="AX245" s="130"/>
      <c r="AY245" s="130"/>
      <c r="AZ245" s="130"/>
      <c r="BA245" s="130"/>
      <c r="BB245" s="130"/>
      <c r="BC245" s="130"/>
      <c r="BD245" s="130"/>
      <c r="BE245" s="130"/>
      <c r="BF245" s="130"/>
      <c r="BG245" s="130"/>
      <c r="BH245" s="130"/>
      <c r="BI245" s="130"/>
      <c r="BJ245" s="130"/>
      <c r="BK245" s="130"/>
      <c r="BL245" s="130"/>
      <c r="BM245" s="130"/>
      <c r="BN245" s="130"/>
      <c r="BO245" s="130"/>
      <c r="BP245" s="130"/>
      <c r="BQ245" s="130"/>
      <c r="BR245" s="130"/>
      <c r="BS245" s="130" t="e">
        <f>#REF!-BR245</f>
        <v>#REF!</v>
      </c>
    </row>
    <row r="246" spans="1:71" outlineLevel="1" x14ac:dyDescent="0.2">
      <c r="A246" s="82" t="s">
        <v>243</v>
      </c>
      <c r="B246" s="82" t="s">
        <v>431</v>
      </c>
      <c r="D246" s="82" t="s">
        <v>172</v>
      </c>
      <c r="E246" s="74" t="e">
        <f ca="1">GetCtLabel(B246,"CURINIT(AC)!LDESC","#External interest income")</f>
        <v>#NAME?</v>
      </c>
      <c r="F246" s="130"/>
      <c r="G246" s="131"/>
      <c r="H246" s="130"/>
      <c r="I246" s="72"/>
      <c r="J246" s="72"/>
      <c r="K246" s="72"/>
      <c r="L246" s="72"/>
      <c r="M246" s="72"/>
      <c r="N246" s="130"/>
      <c r="O246" s="140">
        <f>SUM(F246:M246)</f>
        <v>0</v>
      </c>
      <c r="P246" s="141">
        <f t="shared" si="267"/>
        <v>0</v>
      </c>
      <c r="Q246" s="141">
        <f t="shared" si="267"/>
        <v>0</v>
      </c>
      <c r="R246" s="133" t="e">
        <f ca="1">PutCtData("PKAMOUNT","AMOUNT",R$11:R$14,$B246:$D246,R$17:R$18,$O246)</f>
        <v>#NAME?</v>
      </c>
      <c r="S246" s="133" t="e">
        <f ca="1">PutCtData("PKAMOUNT","AMOUNT",S$11:S$14,$B246:$D246,S$17,$M246)</f>
        <v>#NAME?</v>
      </c>
      <c r="T246" s="134" t="e">
        <f ca="1">PutCtData("PKAMOUNT","AMOUNT",T$11:T$14,$B246:$D246,T$17:T$18,$P246)</f>
        <v>#NAME?</v>
      </c>
      <c r="U246" s="134" t="e">
        <f ca="1">PutCtData("PKAMOUNT","AMOUNT",$U$11:$U$14,$B246:$D246,U$17:U$18,L246)</f>
        <v>#NAME?</v>
      </c>
      <c r="V246" s="144"/>
      <c r="W246" s="142" t="e">
        <f ca="1">GetCtData("COAMOUNT","AMOUNT",$B$11:$B$18,$B246,W$20,"#")</f>
        <v>#NAME?</v>
      </c>
      <c r="X246" s="142" t="e">
        <f ca="1">O246-W246</f>
        <v>#NAME?</v>
      </c>
      <c r="Y246" s="122"/>
      <c r="Z246" s="135"/>
      <c r="AA246" s="135"/>
      <c r="AB246" s="135">
        <f t="shared" si="244"/>
        <v>0</v>
      </c>
      <c r="AC246" s="135">
        <f t="shared" ref="AC246:AC251" si="298">+O246-AB246</f>
        <v>0</v>
      </c>
      <c r="AD246" s="122"/>
      <c r="AE246" s="142" t="e">
        <f ca="1">GetCtData("PKAMOUNT","AMOUNT",$AE$11:$AE$18,$B246:$D246,AE$19:AE$20,"#0")</f>
        <v>#NAME?</v>
      </c>
      <c r="AF246" s="142"/>
      <c r="AG246" s="142" t="e">
        <f t="shared" ca="1" si="212"/>
        <v>#NAME?</v>
      </c>
      <c r="AH246" s="143" t="e">
        <f t="shared" ca="1" si="211"/>
        <v>#NAME?</v>
      </c>
      <c r="AI246" s="128"/>
      <c r="AJ246" s="142" t="e">
        <f t="shared" ref="AJ246:AJ265" ca="1" si="299">O246-AO246</f>
        <v>#NAME?</v>
      </c>
      <c r="AK246" s="142" t="e">
        <f ca="1">GetCtData("PKAMOUNT","AMOUNT",$AK$11:$AK$18,$B246:$D246,AK$19:AK$20,"#")</f>
        <v>#NAME?</v>
      </c>
      <c r="AL246" s="143" t="e">
        <f ca="1">(O246-AO246)-AK246</f>
        <v>#NAME?</v>
      </c>
      <c r="AM246" s="122"/>
      <c r="AN246" s="142" t="e">
        <f ca="1">GetCtData("PKAMOUNT","AMOUNT",$AN$11:$AN$18,$B246:$D246,AN$19:AN$20,"#0")</f>
        <v>#NAME?</v>
      </c>
      <c r="AO246" s="142" t="e">
        <f ca="1">GetCtData("PKAMOUNT","AMOUNT",$AN$11:$AN$18,$B246:$D246,AO$19:AO$20,"#0")</f>
        <v>#NAME?</v>
      </c>
      <c r="AP246" s="122"/>
      <c r="AQ246" s="142" t="e">
        <f ca="1">GetCtData("PKAMOUNT","AMOUNT",$AQ$11:$AQ$18,$B246:$D246,AQ$19:AQ$20,"#")</f>
        <v>#NAME?</v>
      </c>
      <c r="AR246" s="142" t="e">
        <f ca="1">O246-AQ246</f>
        <v>#NAME?</v>
      </c>
      <c r="AS246" s="142"/>
      <c r="AT246" s="142" t="e">
        <f ca="1">GetCtData("PKAMOUNT","AMOUNT",AT$11:AT$18,$B246:$D246,AT$19:AT$20,"#0")</f>
        <v>#NAME?</v>
      </c>
      <c r="AU246" s="142" t="e">
        <f ca="1">O246-AT246</f>
        <v>#NAME?</v>
      </c>
      <c r="AV246" s="72"/>
      <c r="AW246" s="72" t="e">
        <f ca="1">GetCtData("PKAMOUNT","AMOUNT",AW$11:AW$18,$B246:$D246,AW$19:AW$20,"#")</f>
        <v>#NAME?</v>
      </c>
      <c r="AX246" s="72" t="e">
        <f ca="1">O246-AW246</f>
        <v>#NAME?</v>
      </c>
      <c r="AY246" s="72"/>
      <c r="AZ246" s="72" t="e">
        <f ca="1">GetCtData("COAMOUNT","AMOUNT",$AZ$11:$AZ$17,$B246,AZ$19,AZ$20,"#")</f>
        <v>#NAME?</v>
      </c>
      <c r="BA246" s="72" t="e">
        <f ca="1">O246-AZ246</f>
        <v>#NAME?</v>
      </c>
      <c r="BB246" s="72"/>
      <c r="BC246" s="72" t="e">
        <f ca="1">GetCtData("COAMOUNT","AMOUNT",$BF$11:$BF$17,$B246,BC$19,BC$20,"#")</f>
        <v>#NAME?</v>
      </c>
      <c r="BD246" s="72" t="e">
        <f t="shared" ref="BD246:BD265" ca="1" si="300">K246-BC246</f>
        <v>#NAME?</v>
      </c>
      <c r="BE246" s="72"/>
      <c r="BF246" s="72" t="e">
        <f ca="1">GetCtData("COAMOUNT","AMOUNT",$BF$11:$BF$17,$B246,BF$19,BF$20,"#")</f>
        <v>#NAME?</v>
      </c>
      <c r="BG246" s="72" t="e">
        <f t="shared" ref="BG246:BG265" ca="1" si="301">O246-BF246</f>
        <v>#NAME?</v>
      </c>
      <c r="BH246" s="72"/>
      <c r="BI246" s="72" t="e">
        <f ca="1">GetCtData("COAMOUNT","AMOUNT",$AO$11:$AO$17,$B246,BI$19,BI$20,"#")</f>
        <v>#NAME?</v>
      </c>
      <c r="BJ246" s="72" t="e">
        <f t="shared" ref="BJ246:BJ265" ca="1" si="302">O246-BI246</f>
        <v>#NAME?</v>
      </c>
      <c r="BK246" s="72"/>
      <c r="BL246" s="72" t="e">
        <f ca="1">GetCtData("COAMOUNT","AMOUNT",$AK$11:$AK$17,$B246,BL$19,BL$20,"#")</f>
        <v>#NAME?</v>
      </c>
      <c r="BM246" s="72" t="e">
        <f t="shared" ref="BM246:BM251" ca="1" si="303">O246-BL246</f>
        <v>#NAME?</v>
      </c>
      <c r="BN246" s="72"/>
      <c r="BO246" s="72" t="e">
        <f ca="1">GetCtData("COAMOUNT","AMOUNT",$AK$11:$AK$17,$B246,BO$19,BO$20,"#")</f>
        <v>#NAME?</v>
      </c>
      <c r="BP246" s="72" t="e">
        <f t="shared" ref="BP246:BP265" ca="1" si="304">O246-BO246</f>
        <v>#NAME?</v>
      </c>
      <c r="BQ246" s="72"/>
      <c r="BR246" s="72" t="e">
        <f ca="1">GetCtData("COAMOUNT","AMOUNT",$AK$11:$AK$17,$B246,BR$19,BR$20,"#")</f>
        <v>#NAME?</v>
      </c>
      <c r="BS246" s="72" t="e">
        <f ca="1">#REF!-BR246</f>
        <v>#REF!</v>
      </c>
    </row>
    <row r="247" spans="1:71" outlineLevel="1" x14ac:dyDescent="0.2">
      <c r="A247" s="82" t="s">
        <v>243</v>
      </c>
      <c r="B247" s="82" t="s">
        <v>432</v>
      </c>
      <c r="D247" s="82" t="s">
        <v>172</v>
      </c>
      <c r="E247" s="74" t="e">
        <f ca="1">GetCtLabel(B247,"CURINIT(AC)!LDESC","#I/G interest income")</f>
        <v>#NAME?</v>
      </c>
      <c r="F247" s="130"/>
      <c r="G247" s="131"/>
      <c r="H247" s="130"/>
      <c r="I247" s="72"/>
      <c r="J247" s="72"/>
      <c r="K247" s="72"/>
      <c r="L247" s="72"/>
      <c r="M247" s="72"/>
      <c r="N247" s="130"/>
      <c r="O247" s="140">
        <f>SUM(F247:M247)</f>
        <v>0</v>
      </c>
      <c r="P247" s="141">
        <f t="shared" si="267"/>
        <v>0</v>
      </c>
      <c r="Q247" s="141">
        <f t="shared" si="267"/>
        <v>0</v>
      </c>
      <c r="R247" s="133" t="e">
        <f ca="1">PutCtData("PKAMOUNT","AMOUNT",R$11:R$14,$B247:$D247,R$17:R$18,$O247)</f>
        <v>#NAME?</v>
      </c>
      <c r="S247" s="133" t="e">
        <f ca="1">PutCtData("PKAMOUNT","AMOUNT",S$11:S$14,$B247:$D247,S$17,$M247)</f>
        <v>#NAME?</v>
      </c>
      <c r="T247" s="134" t="e">
        <f ca="1">PutCtData("PKAMOUNT","AMOUNT",T$11:T$14,$B247:$D247,T$17:T$18,$P247)</f>
        <v>#NAME?</v>
      </c>
      <c r="U247" s="134" t="e">
        <f ca="1">PutCtData("PKAMOUNT","AMOUNT",$U$11:$U$14,$B247:$D247,U$17:U$18,L247)</f>
        <v>#NAME?</v>
      </c>
      <c r="V247" s="144"/>
      <c r="W247" s="142">
        <v>24</v>
      </c>
      <c r="X247" s="142">
        <f>O247-W247</f>
        <v>-24</v>
      </c>
      <c r="Y247" s="122"/>
      <c r="Z247" s="135"/>
      <c r="AA247" s="135"/>
      <c r="AB247" s="135">
        <f t="shared" si="244"/>
        <v>0</v>
      </c>
      <c r="AC247" s="135">
        <f t="shared" si="298"/>
        <v>0</v>
      </c>
      <c r="AD247" s="122"/>
      <c r="AE247" s="142" t="e">
        <f ca="1">GetCtData("PKAMOUNT","AMOUNT",$AE$11:$AE$18,$B247:$D247,AE$19:AE$20,"#")</f>
        <v>#NAME?</v>
      </c>
      <c r="AF247" s="142"/>
      <c r="AG247" s="142" t="e">
        <f t="shared" ca="1" si="212"/>
        <v>#NAME?</v>
      </c>
      <c r="AH247" s="143" t="e">
        <f t="shared" ca="1" si="211"/>
        <v>#NAME?</v>
      </c>
      <c r="AI247" s="128"/>
      <c r="AJ247" s="142" t="e">
        <f t="shared" ca="1" si="299"/>
        <v>#NAME?</v>
      </c>
      <c r="AK247" s="142" t="e">
        <f ca="1">GetCtData("PKAMOUNT","AMOUNT",$AK$11:$AK$18,$B247:$D247,AK$19:AK$20,"#")</f>
        <v>#NAME?</v>
      </c>
      <c r="AL247" s="143" t="e">
        <f ca="1">(O247-AO247)-AK247</f>
        <v>#NAME?</v>
      </c>
      <c r="AM247" s="122"/>
      <c r="AN247" s="142" t="e">
        <f ca="1">GetCtData("PKAMOUNT","AMOUNT",$AN$11:$AN$18,$B247:$D247,AN$19:AN$20,"#")</f>
        <v>#NAME?</v>
      </c>
      <c r="AO247" s="142" t="e">
        <f ca="1">GetCtData("PKAMOUNT","AMOUNT",$AN$11:$AN$18,$B247:$D247,AO$19:AO$20,"#")</f>
        <v>#NAME?</v>
      </c>
      <c r="AP247" s="122"/>
      <c r="AQ247" s="142" t="e">
        <f ca="1">GetCtData("PKAMOUNT","AMOUNT",$AQ$11:$AQ$18,$B247:$D247,AQ$19:AQ$20,"#")</f>
        <v>#NAME?</v>
      </c>
      <c r="AR247" s="142" t="e">
        <f ca="1">O247-AQ247</f>
        <v>#NAME?</v>
      </c>
      <c r="AS247" s="142"/>
      <c r="AT247" s="142" t="e">
        <f ca="1">GetCtData("PKAMOUNT","AMOUNT",AT$11:AT$18,$B247:$D247,AT$19:AT$20,"#")</f>
        <v>#NAME?</v>
      </c>
      <c r="AU247" s="142" t="e">
        <f ca="1">O247-AT247</f>
        <v>#NAME?</v>
      </c>
      <c r="AV247" s="72"/>
      <c r="AW247" s="72" t="e">
        <f ca="1">GetCtData("PKAMOUNT","AMOUNT",AW$11:AW$18,$B247:$D247,AW$19:AW$20,"#")</f>
        <v>#NAME?</v>
      </c>
      <c r="AX247" s="72" t="e">
        <f ca="1">O247-AW247</f>
        <v>#NAME?</v>
      </c>
      <c r="AY247" s="72"/>
      <c r="AZ247" s="72" t="e">
        <f ca="1">GetCtData("COAMOUNT","AMOUNT",$AZ$11:$AZ$17,$B247,AZ$19,AZ$20,"#")</f>
        <v>#NAME?</v>
      </c>
      <c r="BA247" s="72" t="e">
        <f ca="1">O247-AZ247</f>
        <v>#NAME?</v>
      </c>
      <c r="BB247" s="72"/>
      <c r="BC247" s="72" t="e">
        <f ca="1">GetCtData("COAMOUNT","AMOUNT",$BF$11:$BF$17,$B247,BC$19,BC$20,"#")</f>
        <v>#NAME?</v>
      </c>
      <c r="BD247" s="72" t="e">
        <f t="shared" ca="1" si="300"/>
        <v>#NAME?</v>
      </c>
      <c r="BE247" s="72"/>
      <c r="BF247" s="72" t="e">
        <f ca="1">GetCtData("COAMOUNT","AMOUNT",$BF$11:$BF$17,$B247,BF$19,BF$20,"#")</f>
        <v>#NAME?</v>
      </c>
      <c r="BG247" s="72" t="e">
        <f t="shared" ca="1" si="301"/>
        <v>#NAME?</v>
      </c>
      <c r="BH247" s="72"/>
      <c r="BI247" s="72" t="e">
        <f ca="1">GetCtData("COAMOUNT","AMOUNT",$AO$11:$AO$17,$B247,BI$19,BI$20,"#")</f>
        <v>#NAME?</v>
      </c>
      <c r="BJ247" s="72" t="e">
        <f t="shared" ca="1" si="302"/>
        <v>#NAME?</v>
      </c>
      <c r="BK247" s="72"/>
      <c r="BL247" s="72" t="e">
        <f ca="1">GetCtData("COAMOUNT","AMOUNT",$BO$11:$BO$17,$B247,BL$19,BL$20,"#")</f>
        <v>#NAME?</v>
      </c>
      <c r="BM247" s="72" t="e">
        <f t="shared" ca="1" si="303"/>
        <v>#NAME?</v>
      </c>
      <c r="BN247" s="72"/>
      <c r="BO247" s="72" t="e">
        <f ca="1">GetCtData("COAMOUNT","AMOUNT",$BO$11:$BO$17,$B247,BO$19,BO$20,"#")</f>
        <v>#NAME?</v>
      </c>
      <c r="BP247" s="72" t="e">
        <f t="shared" ca="1" si="304"/>
        <v>#NAME?</v>
      </c>
      <c r="BQ247" s="72"/>
      <c r="BR247" s="72" t="e">
        <f ca="1">GetCtData("COAMOUNT","AMOUNT",$BO$11:$BO$17,$B247,BR$19,BR$20,"#")</f>
        <v>#NAME?</v>
      </c>
      <c r="BS247" s="72" t="e">
        <f ca="1">#REF!-BR247</f>
        <v>#REF!</v>
      </c>
    </row>
    <row r="248" spans="1:71" outlineLevel="1" x14ac:dyDescent="0.2">
      <c r="A248" s="82" t="s">
        <v>243</v>
      </c>
      <c r="B248" s="82" t="s">
        <v>433</v>
      </c>
      <c r="D248" s="82" t="s">
        <v>172</v>
      </c>
      <c r="E248" s="74" t="e">
        <f ca="1">GetCtLabel(B248,"CURINIT(AC)!LDESC","#Investment Income - from &lt; 20% Investments")</f>
        <v>#NAME?</v>
      </c>
      <c r="F248" s="130"/>
      <c r="G248" s="131"/>
      <c r="H248" s="130"/>
      <c r="I248" s="72"/>
      <c r="J248" s="72"/>
      <c r="K248" s="72"/>
      <c r="L248" s="72"/>
      <c r="M248" s="72"/>
      <c r="N248" s="130"/>
      <c r="O248" s="140">
        <f>SUM(F248:M248)</f>
        <v>0</v>
      </c>
      <c r="P248" s="141">
        <f t="shared" si="267"/>
        <v>0</v>
      </c>
      <c r="Q248" s="141">
        <f t="shared" si="267"/>
        <v>0</v>
      </c>
      <c r="R248" s="133" t="e">
        <f ca="1">PutCtData("PKAMOUNT","AMOUNT",R$11:R$14,$B248:$D248,R$17:R$18,$O248)</f>
        <v>#NAME?</v>
      </c>
      <c r="S248" s="133" t="e">
        <f ca="1">PutCtData("PKAMOUNT","AMOUNT",S$11:S$14,$B248:$D248,S$17,$M248)</f>
        <v>#NAME?</v>
      </c>
      <c r="T248" s="134" t="e">
        <f ca="1">PutCtData("PKAMOUNT","AMOUNT",T$11:T$14,$B248:$D248,T$17:T$18,$P248)</f>
        <v>#NAME?</v>
      </c>
      <c r="U248" s="134" t="e">
        <f ca="1">PutCtData("PKAMOUNT","AMOUNT",$U$11:$U$14,$B248:$D248,U$17:U$18,L248)</f>
        <v>#NAME?</v>
      </c>
      <c r="V248" s="144"/>
      <c r="W248" s="142" t="e">
        <f ca="1">GetCtData("COAMOUNT","AMOUNT",$B$11:$B$18,$B248,W$20,"#")</f>
        <v>#NAME?</v>
      </c>
      <c r="X248" s="142" t="e">
        <f ca="1">O248-W248</f>
        <v>#NAME?</v>
      </c>
      <c r="Y248" s="122"/>
      <c r="Z248" s="135"/>
      <c r="AA248" s="135"/>
      <c r="AB248" s="135">
        <f t="shared" si="244"/>
        <v>0</v>
      </c>
      <c r="AC248" s="135">
        <f t="shared" si="298"/>
        <v>0</v>
      </c>
      <c r="AD248" s="122"/>
      <c r="AE248" s="142" t="e">
        <f ca="1">GetCtData("PKAMOUNT","AMOUNT",$AE$11:$AE$18,$B248:$D248,AE$19:AE$20,"#0")</f>
        <v>#NAME?</v>
      </c>
      <c r="AF248" s="142"/>
      <c r="AG248" s="142" t="e">
        <f t="shared" ca="1" si="212"/>
        <v>#NAME?</v>
      </c>
      <c r="AH248" s="143" t="e">
        <f t="shared" ca="1" si="211"/>
        <v>#NAME?</v>
      </c>
      <c r="AI248" s="128"/>
      <c r="AJ248" s="142" t="e">
        <f t="shared" ca="1" si="299"/>
        <v>#NAME?</v>
      </c>
      <c r="AK248" s="142" t="e">
        <f ca="1">GetCtData("PKAMOUNT","AMOUNT",$AK$11:$AK$18,$B248:$D248,AK$19:AK$20,"#")</f>
        <v>#NAME?</v>
      </c>
      <c r="AL248" s="143" t="e">
        <f ca="1">(O248-AO248)-AK248</f>
        <v>#NAME?</v>
      </c>
      <c r="AM248" s="122"/>
      <c r="AN248" s="142" t="e">
        <f ca="1">GetCtData("PKAMOUNT","AMOUNT",$AN$11:$AN$18,$B248:$D248,AN$19:AN$20,"#0")</f>
        <v>#NAME?</v>
      </c>
      <c r="AO248" s="142" t="e">
        <f ca="1">GetCtData("PKAMOUNT","AMOUNT",$AN$11:$AN$18,$B248:$D248,AO$19:AO$20,"#0")</f>
        <v>#NAME?</v>
      </c>
      <c r="AP248" s="122"/>
      <c r="AQ248" s="142" t="e">
        <f ca="1">GetCtData("PKAMOUNT","AMOUNT",$AQ$11:$AQ$18,$B248:$D248,AQ$19:AQ$20,"#")</f>
        <v>#NAME?</v>
      </c>
      <c r="AR248" s="142" t="e">
        <f ca="1">O248-AQ248</f>
        <v>#NAME?</v>
      </c>
      <c r="AS248" s="142"/>
      <c r="AT248" s="142" t="e">
        <f ca="1">GetCtData("PKAMOUNT","AMOUNT",AT$11:AT$18,$B248:$D248,AT$19:AT$20,"#0")</f>
        <v>#NAME?</v>
      </c>
      <c r="AU248" s="142" t="e">
        <f ca="1">O248-AT248</f>
        <v>#NAME?</v>
      </c>
      <c r="AV248" s="72"/>
      <c r="AW248" s="72" t="e">
        <f ca="1">GetCtData("PKAMOUNT","AMOUNT",AW$11:AW$18,$B248:$D248,AW$19:AW$20,"#")</f>
        <v>#NAME?</v>
      </c>
      <c r="AX248" s="72" t="e">
        <f ca="1">O248-AW248</f>
        <v>#NAME?</v>
      </c>
      <c r="AY248" s="72"/>
      <c r="AZ248" s="72" t="e">
        <f ca="1">GetCtData("COAMOUNT","AMOUNT",$AZ$11:$AZ$17,$B248,AZ$19,AZ$20,"#")</f>
        <v>#NAME?</v>
      </c>
      <c r="BA248" s="72" t="e">
        <f ca="1">O248-AZ248</f>
        <v>#NAME?</v>
      </c>
      <c r="BB248" s="72"/>
      <c r="BC248" s="72" t="e">
        <f ca="1">GetCtData("COAMOUNT","AMOUNT",$BF$11:$BF$17,$B248,BC$19,BC$20,"#")</f>
        <v>#NAME?</v>
      </c>
      <c r="BD248" s="72" t="e">
        <f t="shared" ca="1" si="300"/>
        <v>#NAME?</v>
      </c>
      <c r="BE248" s="72"/>
      <c r="BF248" s="72" t="e">
        <f ca="1">GetCtData("COAMOUNT","AMOUNT",$BF$11:$BF$17,$B248,BF$19,BF$20,"#")</f>
        <v>#NAME?</v>
      </c>
      <c r="BG248" s="72" t="e">
        <f t="shared" ca="1" si="301"/>
        <v>#NAME?</v>
      </c>
      <c r="BH248" s="72"/>
      <c r="BI248" s="72" t="e">
        <f ca="1">GetCtData("COAMOUNT","AMOUNT",$AO$11:$AO$17,$B248,BI$19,BI$20,"#")</f>
        <v>#NAME?</v>
      </c>
      <c r="BJ248" s="72" t="e">
        <f t="shared" ca="1" si="302"/>
        <v>#NAME?</v>
      </c>
      <c r="BK248" s="72"/>
      <c r="BL248" s="72" t="e">
        <f ca="1">GetCtData("COAMOUNT","AMOUNT",$AK$11:$AK$17,$B248,BL$19,BL$20,"#")</f>
        <v>#NAME?</v>
      </c>
      <c r="BM248" s="72" t="e">
        <f t="shared" ca="1" si="303"/>
        <v>#NAME?</v>
      </c>
      <c r="BN248" s="72"/>
      <c r="BO248" s="72" t="e">
        <f ca="1">GetCtData("COAMOUNT","AMOUNT",$AK$11:$AK$17,$B248,BO$19,BO$20,"#")</f>
        <v>#NAME?</v>
      </c>
      <c r="BP248" s="72" t="e">
        <f t="shared" ca="1" si="304"/>
        <v>#NAME?</v>
      </c>
      <c r="BQ248" s="72"/>
      <c r="BR248" s="72" t="e">
        <f ca="1">GetCtData("COAMOUNT","AMOUNT",$AK$11:$AK$17,$B248,BR$19,BR$20,"#")</f>
        <v>#NAME?</v>
      </c>
      <c r="BS248" s="72" t="e">
        <f ca="1">#REF!-BR248</f>
        <v>#REF!</v>
      </c>
    </row>
    <row r="249" spans="1:71" outlineLevel="1" x14ac:dyDescent="0.2">
      <c r="A249" s="82" t="s">
        <v>243</v>
      </c>
      <c r="B249" s="82" t="s">
        <v>434</v>
      </c>
      <c r="D249" s="82" t="s">
        <v>172</v>
      </c>
      <c r="E249" s="74" t="e">
        <f ca="1">GetCtLabel(B249,"CURINIT(AC)!LDESC","#Dividend Income")</f>
        <v>#NAME?</v>
      </c>
      <c r="F249" s="130"/>
      <c r="G249" s="131"/>
      <c r="H249" s="130"/>
      <c r="I249" s="72"/>
      <c r="J249" s="72"/>
      <c r="K249" s="72"/>
      <c r="L249" s="72"/>
      <c r="M249" s="72"/>
      <c r="N249" s="130"/>
      <c r="O249" s="140">
        <f>SUM(F249:M249)</f>
        <v>0</v>
      </c>
      <c r="P249" s="141">
        <f t="shared" si="267"/>
        <v>0</v>
      </c>
      <c r="Q249" s="141">
        <f t="shared" si="267"/>
        <v>0</v>
      </c>
      <c r="R249" s="133" t="e">
        <f ca="1">PutCtData("PKAMOUNT","AMOUNT",R$11:R$14,$B249:$D249,R$17:R$18,$O249)</f>
        <v>#NAME?</v>
      </c>
      <c r="S249" s="133" t="e">
        <f ca="1">PutCtData("PKAMOUNT","AMOUNT",S$11:S$14,$B249:$D249,S$17,$M249)</f>
        <v>#NAME?</v>
      </c>
      <c r="T249" s="134" t="e">
        <f ca="1">PutCtData("PKAMOUNT","AMOUNT",T$11:T$14,$B249:$D249,T$17:T$18,$P249)</f>
        <v>#NAME?</v>
      </c>
      <c r="U249" s="134" t="e">
        <f ca="1">PutCtData("PKAMOUNT","AMOUNT",$U$11:$U$14,$B249:$D249,U$17:U$18,L249)</f>
        <v>#NAME?</v>
      </c>
      <c r="V249" s="144"/>
      <c r="W249" s="142" t="e">
        <f ca="1">GetCtData("COAMOUNT","AMOUNT",$B$11:$B$18,$B249,W$20,"#")</f>
        <v>#NAME?</v>
      </c>
      <c r="X249" s="142" t="e">
        <f ca="1">O249-W249</f>
        <v>#NAME?</v>
      </c>
      <c r="Y249" s="122"/>
      <c r="Z249" s="135"/>
      <c r="AA249" s="135"/>
      <c r="AB249" s="135">
        <f t="shared" si="244"/>
        <v>0</v>
      </c>
      <c r="AC249" s="135">
        <f t="shared" si="298"/>
        <v>0</v>
      </c>
      <c r="AD249" s="122"/>
      <c r="AE249" s="142" t="e">
        <f ca="1">GetCtData("PKAMOUNT","AMOUNT",$AE$11:$AE$18,$B249:$D249,AE$19:AE$20,"#")</f>
        <v>#NAME?</v>
      </c>
      <c r="AF249" s="142"/>
      <c r="AG249" s="142" t="e">
        <f t="shared" ca="1" si="212"/>
        <v>#NAME?</v>
      </c>
      <c r="AH249" s="143" t="e">
        <f t="shared" ca="1" si="211"/>
        <v>#NAME?</v>
      </c>
      <c r="AI249" s="128"/>
      <c r="AJ249" s="142" t="e">
        <f t="shared" ca="1" si="299"/>
        <v>#NAME?</v>
      </c>
      <c r="AK249" s="142" t="e">
        <f ca="1">GetCtData("PKAMOUNT","AMOUNT",$AK$11:$AK$18,$B249:$D249,AK$19:AK$20,"#")</f>
        <v>#NAME?</v>
      </c>
      <c r="AL249" s="143" t="e">
        <f ca="1">(O249-AO249)-AK249</f>
        <v>#NAME?</v>
      </c>
      <c r="AM249" s="122"/>
      <c r="AN249" s="142" t="e">
        <f ca="1">GetCtData("PKAMOUNT","AMOUNT",$AN$11:$AN$18,$B249:$D249,AN$19:AN$20,"#")</f>
        <v>#NAME?</v>
      </c>
      <c r="AO249" s="142" t="e">
        <f ca="1">GetCtData("PKAMOUNT","AMOUNT",$AN$11:$AN$18,$B249:$D249,AO$19:AO$20,"#")</f>
        <v>#NAME?</v>
      </c>
      <c r="AP249" s="122"/>
      <c r="AQ249" s="142" t="e">
        <f ca="1">GetCtData("PKAMOUNT","AMOUNT",$AQ$11:$AQ$18,$B249:$D249,AQ$19:AQ$20,"#")</f>
        <v>#NAME?</v>
      </c>
      <c r="AR249" s="142" t="e">
        <f ca="1">O249-AQ249</f>
        <v>#NAME?</v>
      </c>
      <c r="AS249" s="142"/>
      <c r="AT249" s="142" t="e">
        <f ca="1">GetCtData("PKAMOUNT","AMOUNT",AT$11:AT$18,$B249:$D249,AT$19:AT$20,"#")</f>
        <v>#NAME?</v>
      </c>
      <c r="AU249" s="142" t="e">
        <f ca="1">O249-AT249</f>
        <v>#NAME?</v>
      </c>
      <c r="AV249" s="72"/>
      <c r="AW249" s="72" t="e">
        <f ca="1">GetCtData("PKAMOUNT","AMOUNT",AW$11:AW$18,$B249:$D249,AW$19:AW$20,"#")</f>
        <v>#NAME?</v>
      </c>
      <c r="AX249" s="72" t="e">
        <f ca="1">O249-AW249</f>
        <v>#NAME?</v>
      </c>
      <c r="AY249" s="72"/>
      <c r="AZ249" s="72" t="e">
        <f ca="1">GetCtData("COAMOUNT","AMOUNT",$AZ$11:$AZ$17,$B249,AZ$19,AZ$20,"#")</f>
        <v>#NAME?</v>
      </c>
      <c r="BA249" s="72" t="e">
        <f ca="1">O249-AZ249</f>
        <v>#NAME?</v>
      </c>
      <c r="BB249" s="72"/>
      <c r="BC249" s="72" t="e">
        <f ca="1">GetCtData("COAMOUNT","AMOUNT",$BF$11:$BF$17,$B249,BC$19,BC$20,"#")</f>
        <v>#NAME?</v>
      </c>
      <c r="BD249" s="72" t="e">
        <f t="shared" ca="1" si="300"/>
        <v>#NAME?</v>
      </c>
      <c r="BE249" s="72"/>
      <c r="BF249" s="72" t="e">
        <f ca="1">GetCtData("COAMOUNT","AMOUNT",$BF$11:$BF$17,$B249,BF$19,BF$20,"#")</f>
        <v>#NAME?</v>
      </c>
      <c r="BG249" s="72" t="e">
        <f t="shared" ca="1" si="301"/>
        <v>#NAME?</v>
      </c>
      <c r="BH249" s="72"/>
      <c r="BI249" s="72" t="e">
        <f ca="1">GetCtData("COAMOUNT","AMOUNT",$AO$11:$AO$17,$B249,BI$19,BI$20,"#")</f>
        <v>#NAME?</v>
      </c>
      <c r="BJ249" s="72" t="e">
        <f t="shared" ca="1" si="302"/>
        <v>#NAME?</v>
      </c>
      <c r="BK249" s="72"/>
      <c r="BL249" s="72" t="e">
        <f ca="1">GetCtData("COAMOUNT","AMOUNT",$AK$11:$AK$17,$B249,BL$19,BL$20,"#")</f>
        <v>#NAME?</v>
      </c>
      <c r="BM249" s="72" t="e">
        <f t="shared" ca="1" si="303"/>
        <v>#NAME?</v>
      </c>
      <c r="BN249" s="72"/>
      <c r="BO249" s="72" t="e">
        <f ca="1">GetCtData("COAMOUNT","AMOUNT",$AK$11:$AK$17,$B249,BO$19,BO$20,"#")</f>
        <v>#NAME?</v>
      </c>
      <c r="BP249" s="72" t="e">
        <f t="shared" ca="1" si="304"/>
        <v>#NAME?</v>
      </c>
      <c r="BQ249" s="72"/>
      <c r="BR249" s="72" t="e">
        <f ca="1">GetCtData("COAMOUNT","AMOUNT",$AK$11:$AK$17,$B249,BR$19,BR$20,"#")</f>
        <v>#NAME?</v>
      </c>
      <c r="BS249" s="72" t="e">
        <f ca="1">#REF!-BR249</f>
        <v>#REF!</v>
      </c>
    </row>
    <row r="250" spans="1:71" outlineLevel="1" x14ac:dyDescent="0.2">
      <c r="A250" s="82" t="s">
        <v>243</v>
      </c>
      <c r="B250" s="82" t="s">
        <v>435</v>
      </c>
      <c r="D250" s="82" t="s">
        <v>172</v>
      </c>
      <c r="E250" s="74" t="e">
        <f ca="1">GetCtLabel(B250,"CURINIT(AC)!LDESC","#Interest Income of Associates")</f>
        <v>#NAME?</v>
      </c>
      <c r="F250" s="130"/>
      <c r="G250" s="131"/>
      <c r="H250" s="130"/>
      <c r="I250" s="72"/>
      <c r="J250" s="72"/>
      <c r="K250" s="72"/>
      <c r="L250" s="72"/>
      <c r="M250" s="72"/>
      <c r="N250" s="130"/>
      <c r="O250" s="140">
        <f>SUM(F250:M250)</f>
        <v>0</v>
      </c>
      <c r="P250" s="141">
        <f t="shared" si="267"/>
        <v>0</v>
      </c>
      <c r="Q250" s="141">
        <f t="shared" si="267"/>
        <v>0</v>
      </c>
      <c r="R250" s="133" t="e">
        <f ca="1">PutCtData("PKAMOUNT","AMOUNT",R$11:R$14,$B250:$D250,R$17:R$18,$O250)</f>
        <v>#NAME?</v>
      </c>
      <c r="S250" s="133" t="e">
        <f ca="1">PutCtData("PKAMOUNT","AMOUNT",S$11:S$14,$B250:$D250,S$17,$M250)</f>
        <v>#NAME?</v>
      </c>
      <c r="T250" s="134" t="e">
        <f ca="1">PutCtData("PKAMOUNT","AMOUNT",T$11:T$14,$B250:$D250,T$17:T$18,$P250)</f>
        <v>#NAME?</v>
      </c>
      <c r="U250" s="134" t="e">
        <f ca="1">PutCtData("PKAMOUNT","AMOUNT",$U$11:$U$14,$B250:$D250,U$17:U$18,L250)</f>
        <v>#NAME?</v>
      </c>
      <c r="V250" s="144"/>
      <c r="W250" s="142" t="e">
        <f ca="1">GetCtData("COAMOUNT","AMOUNT",$B$11:$B$18,$B250,W$20,"#")</f>
        <v>#NAME?</v>
      </c>
      <c r="X250" s="142" t="e">
        <f ca="1">O250-W250</f>
        <v>#NAME?</v>
      </c>
      <c r="Y250" s="122"/>
      <c r="Z250" s="135"/>
      <c r="AA250" s="135"/>
      <c r="AB250" s="135">
        <f t="shared" si="244"/>
        <v>0</v>
      </c>
      <c r="AC250" s="135">
        <f t="shared" si="298"/>
        <v>0</v>
      </c>
      <c r="AD250" s="122"/>
      <c r="AE250" s="142" t="e">
        <f ca="1">GetCtData("PKAMOUNT","AMOUNT",$AE$11:$AE$18,$B250:$D250,AE$19:AE$20,"#0")</f>
        <v>#NAME?</v>
      </c>
      <c r="AF250" s="142"/>
      <c r="AG250" s="142" t="e">
        <f t="shared" ca="1" si="212"/>
        <v>#NAME?</v>
      </c>
      <c r="AH250" s="143" t="e">
        <f t="shared" ref="AH250:AH266" ca="1" si="305">+O250-AG250</f>
        <v>#NAME?</v>
      </c>
      <c r="AI250" s="128"/>
      <c r="AJ250" s="142" t="e">
        <f t="shared" ca="1" si="299"/>
        <v>#NAME?</v>
      </c>
      <c r="AK250" s="142" t="e">
        <f ca="1">GetCtData("PKAMOUNT","AMOUNT",$AK$11:$AK$18,$B250:$D250,AK$19:AK$20,"#")</f>
        <v>#NAME?</v>
      </c>
      <c r="AL250" s="143" t="e">
        <f ca="1">(O250-AO250)-AK250</f>
        <v>#NAME?</v>
      </c>
      <c r="AM250" s="122"/>
      <c r="AN250" s="142" t="e">
        <f ca="1">GetCtData("PKAMOUNT","AMOUNT",$AN$11:$AN$18,$B250:$D250,AN$19:AN$20,"#0")</f>
        <v>#NAME?</v>
      </c>
      <c r="AO250" s="142" t="e">
        <f ca="1">GetCtData("PKAMOUNT","AMOUNT",$AN$11:$AN$18,$B250:$D250,AO$19:AO$20,"#0")</f>
        <v>#NAME?</v>
      </c>
      <c r="AP250" s="122"/>
      <c r="AQ250" s="142" t="e">
        <f ca="1">GetCtData("PKAMOUNT","AMOUNT",$AQ$11:$AQ$18,$B250:$D250,AQ$19:AQ$20,"#")</f>
        <v>#NAME?</v>
      </c>
      <c r="AR250" s="142" t="e">
        <f ca="1">O250-AQ250</f>
        <v>#NAME?</v>
      </c>
      <c r="AS250" s="142"/>
      <c r="AT250" s="142" t="e">
        <f ca="1">GetCtData("PKAMOUNT","AMOUNT",AT$11:AT$18,$B250:$D250,AT$19:AT$20,"#0")</f>
        <v>#NAME?</v>
      </c>
      <c r="AU250" s="142" t="e">
        <f ca="1">O250-AT250</f>
        <v>#NAME?</v>
      </c>
      <c r="AV250" s="72"/>
      <c r="AW250" s="72" t="e">
        <f ca="1">GetCtData("PKAMOUNT","AMOUNT",AW$11:AW$18,$B250:$D250,AW$19:AW$20,"#")</f>
        <v>#NAME?</v>
      </c>
      <c r="AX250" s="72" t="e">
        <f ca="1">O250-AW250</f>
        <v>#NAME?</v>
      </c>
      <c r="AY250" s="72"/>
      <c r="AZ250" s="72" t="e">
        <f ca="1">GetCtData("COAMOUNT","AMOUNT",$AZ$11:$AZ$17,$B250,AZ$19,AZ$20,"#")</f>
        <v>#NAME?</v>
      </c>
      <c r="BA250" s="72" t="e">
        <f ca="1">O250-AZ250</f>
        <v>#NAME?</v>
      </c>
      <c r="BB250" s="72"/>
      <c r="BC250" s="72" t="e">
        <f ca="1">GetCtData("COAMOUNT","AMOUNT",$BF$11:$BF$17,$B250,BC$19,BC$20,"#")</f>
        <v>#NAME?</v>
      </c>
      <c r="BD250" s="72" t="e">
        <f t="shared" ca="1" si="300"/>
        <v>#NAME?</v>
      </c>
      <c r="BE250" s="72"/>
      <c r="BF250" s="72" t="e">
        <f ca="1">GetCtData("COAMOUNT","AMOUNT",$BF$11:$BF$17,$B250,BF$19,BF$20,"#")</f>
        <v>#NAME?</v>
      </c>
      <c r="BG250" s="72" t="e">
        <f t="shared" ca="1" si="301"/>
        <v>#NAME?</v>
      </c>
      <c r="BH250" s="72"/>
      <c r="BI250" s="72" t="e">
        <f ca="1">GetCtData("COAMOUNT","AMOUNT",$AO$11:$AO$17,$B250,BI$19,BI$20,"#")</f>
        <v>#NAME?</v>
      </c>
      <c r="BJ250" s="72" t="e">
        <f t="shared" ca="1" si="302"/>
        <v>#NAME?</v>
      </c>
      <c r="BK250" s="72"/>
      <c r="BL250" s="72" t="e">
        <f ca="1">GetCtData("COAMOUNT","AMOUNT",$AK$11:$AK$17,$B250,BL$19,BL$20,"#")</f>
        <v>#NAME?</v>
      </c>
      <c r="BM250" s="72" t="e">
        <f t="shared" ca="1" si="303"/>
        <v>#NAME?</v>
      </c>
      <c r="BN250" s="72"/>
      <c r="BO250" s="72" t="e">
        <f ca="1">GetCtData("COAMOUNT","AMOUNT",$AK$11:$AK$17,$B250,BO$19,BO$20,"#")</f>
        <v>#NAME?</v>
      </c>
      <c r="BP250" s="72" t="e">
        <f t="shared" ca="1" si="304"/>
        <v>#NAME?</v>
      </c>
      <c r="BQ250" s="72"/>
      <c r="BR250" s="72" t="e">
        <f ca="1">GetCtData("COAMOUNT","AMOUNT",$AK$11:$AK$17,$B250,BR$19,BR$20,"#")</f>
        <v>#NAME?</v>
      </c>
      <c r="BS250" s="72" t="e">
        <f ca="1">#REF!-BR250</f>
        <v>#REF!</v>
      </c>
    </row>
    <row r="251" spans="1:71" outlineLevel="1" x14ac:dyDescent="0.2">
      <c r="E251" s="74"/>
      <c r="F251" s="130"/>
      <c r="G251" s="131"/>
      <c r="H251" s="130"/>
      <c r="I251" s="72"/>
      <c r="J251" s="72"/>
      <c r="K251" s="72"/>
      <c r="L251" s="72"/>
      <c r="M251" s="72"/>
      <c r="N251" s="130"/>
      <c r="O251" s="121"/>
      <c r="P251" s="141">
        <f t="shared" si="267"/>
        <v>0</v>
      </c>
      <c r="Q251" s="141">
        <f t="shared" si="267"/>
        <v>0</v>
      </c>
      <c r="R251" s="122"/>
      <c r="S251" s="122"/>
      <c r="T251" s="122" t="e">
        <f ca="1">PutCtData("PKAMOUNT","AMOUNT",$T$11:$T$15,$B251,$T$18,$T$17,P251)</f>
        <v>#NAME?</v>
      </c>
      <c r="U251" s="122" t="e">
        <f ca="1">PutCtData("PKAMOUNT","AMOUNT",$U$11:$U$15,$B251,$U$18,$U$17,L251)</f>
        <v>#NAME?</v>
      </c>
      <c r="V251" s="144"/>
      <c r="W251" s="122"/>
      <c r="X251" s="122"/>
      <c r="Y251" s="122"/>
      <c r="Z251" s="135"/>
      <c r="AA251" s="135"/>
      <c r="AB251" s="135">
        <f t="shared" si="244"/>
        <v>0</v>
      </c>
      <c r="AC251" s="135">
        <f t="shared" si="298"/>
        <v>0</v>
      </c>
      <c r="AD251" s="122"/>
      <c r="AE251" s="122"/>
      <c r="AF251" s="122"/>
      <c r="AG251" s="122">
        <f t="shared" si="212"/>
        <v>0</v>
      </c>
      <c r="AH251" s="136">
        <f t="shared" si="305"/>
        <v>0</v>
      </c>
      <c r="AI251" s="128"/>
      <c r="AJ251" s="122">
        <f t="shared" si="299"/>
        <v>0</v>
      </c>
      <c r="AK251" s="122"/>
      <c r="AL251" s="136"/>
      <c r="AM251" s="122"/>
      <c r="AN251" s="122"/>
      <c r="AO251" s="122"/>
      <c r="AP251" s="122"/>
      <c r="AQ251" s="122"/>
      <c r="AR251" s="122"/>
      <c r="AS251" s="122"/>
      <c r="AT251" s="122"/>
      <c r="AU251" s="122"/>
      <c r="AV251" s="130"/>
      <c r="AW251" s="130"/>
      <c r="AX251" s="130"/>
      <c r="AY251" s="130"/>
      <c r="AZ251" s="130"/>
      <c r="BA251" s="130"/>
      <c r="BB251" s="130"/>
      <c r="BC251" s="130"/>
      <c r="BD251" s="130">
        <f t="shared" si="300"/>
        <v>0</v>
      </c>
      <c r="BE251" s="130"/>
      <c r="BF251" s="130"/>
      <c r="BG251" s="130">
        <f t="shared" si="301"/>
        <v>0</v>
      </c>
      <c r="BH251" s="130"/>
      <c r="BI251" s="130"/>
      <c r="BJ251" s="130">
        <f t="shared" si="302"/>
        <v>0</v>
      </c>
      <c r="BK251" s="130"/>
      <c r="BL251" s="130"/>
      <c r="BM251" s="130">
        <f t="shared" si="303"/>
        <v>0</v>
      </c>
      <c r="BN251" s="130"/>
      <c r="BO251" s="130"/>
      <c r="BP251" s="130">
        <f t="shared" si="304"/>
        <v>0</v>
      </c>
      <c r="BQ251" s="130"/>
      <c r="BR251" s="130"/>
      <c r="BS251" s="130" t="e">
        <f>#REF!-BR251</f>
        <v>#REF!</v>
      </c>
    </row>
    <row r="252" spans="1:71" s="152" customFormat="1" x14ac:dyDescent="0.2">
      <c r="A252" s="146"/>
      <c r="B252" s="146" t="s">
        <v>436</v>
      </c>
      <c r="C252" s="146"/>
      <c r="D252" s="146" t="s">
        <v>250</v>
      </c>
      <c r="E252" s="147" t="e">
        <f ca="1">GetCtLabel(B252,"CURINIT(AC)!LDESC","#TOTAL INTEREST INCOME")</f>
        <v>#NAME?</v>
      </c>
      <c r="F252" s="148">
        <f t="shared" ref="F252:O252" si="306">SUM(F246:F250)</f>
        <v>0</v>
      </c>
      <c r="G252" s="148">
        <f t="shared" si="306"/>
        <v>0</v>
      </c>
      <c r="H252" s="148"/>
      <c r="I252" s="148">
        <f t="shared" si="306"/>
        <v>0</v>
      </c>
      <c r="J252" s="148">
        <f t="shared" si="306"/>
        <v>0</v>
      </c>
      <c r="K252" s="148">
        <f t="shared" si="306"/>
        <v>0</v>
      </c>
      <c r="L252" s="148">
        <f>SUM(L246:L250)</f>
        <v>0</v>
      </c>
      <c r="M252" s="148">
        <f t="shared" si="306"/>
        <v>0</v>
      </c>
      <c r="N252" s="148"/>
      <c r="O252" s="149">
        <f t="shared" si="306"/>
        <v>0</v>
      </c>
      <c r="P252" s="123">
        <f t="shared" si="267"/>
        <v>0</v>
      </c>
      <c r="Q252" s="123">
        <f t="shared" si="267"/>
        <v>0</v>
      </c>
      <c r="R252" s="148" t="e">
        <f ca="1">SUM(R246:R250)</f>
        <v>#NAME?</v>
      </c>
      <c r="S252" s="148" t="e">
        <f ca="1">SUM(S246:S250)</f>
        <v>#NAME?</v>
      </c>
      <c r="T252" s="148" t="e">
        <f ca="1">SUM(T246:T250)</f>
        <v>#NAME?</v>
      </c>
      <c r="U252" s="148" t="e">
        <f ca="1">SUM(U246:U250)</f>
        <v>#NAME?</v>
      </c>
      <c r="V252" s="144"/>
      <c r="W252" s="148" t="e">
        <f ca="1">SUM(W246:W250)</f>
        <v>#NAME?</v>
      </c>
      <c r="X252" s="148" t="e">
        <f ca="1">SUM(X246:X250)</f>
        <v>#NAME?</v>
      </c>
      <c r="Y252" s="136"/>
      <c r="Z252" s="150">
        <f>SUM(Z246:Z250)</f>
        <v>0</v>
      </c>
      <c r="AA252" s="150">
        <f>SUM(AA246:AA250)</f>
        <v>0</v>
      </c>
      <c r="AB252" s="150">
        <f t="shared" si="244"/>
        <v>0</v>
      </c>
      <c r="AC252" s="150">
        <f>SUM(AC246:AC250)</f>
        <v>0</v>
      </c>
      <c r="AD252" s="136"/>
      <c r="AE252" s="148" t="e">
        <f ca="1">GetCtData("PKAMOUNT","AMOUNT",$AE$11:$AE$18,$B252:$D252,AE$19:AE$20,"#0")</f>
        <v>#NAME?</v>
      </c>
      <c r="AF252" s="148">
        <f>SUM(AF246:AF250)</f>
        <v>0</v>
      </c>
      <c r="AG252" s="148" t="e">
        <f t="shared" ca="1" si="212"/>
        <v>#NAME?</v>
      </c>
      <c r="AH252" s="148" t="e">
        <f t="shared" ca="1" si="305"/>
        <v>#NAME?</v>
      </c>
      <c r="AI252" s="151"/>
      <c r="AJ252" s="148" t="e">
        <f t="shared" ca="1" si="299"/>
        <v>#NAME?</v>
      </c>
      <c r="AK252" s="148" t="e">
        <f ca="1">GetCtData("PKAMOUNT","AMOUNT",$AK$11:$AK$18,$B252:$D252,AK$19:AK$20,"#")</f>
        <v>#NAME?</v>
      </c>
      <c r="AL252" s="148" t="e">
        <f ca="1">(O252-AO252)-AK252</f>
        <v>#NAME?</v>
      </c>
      <c r="AM252" s="136"/>
      <c r="AN252" s="148" t="e">
        <f ca="1">GetCtData("PKAMOUNT","AMOUNT",$AN$11:$AN$18,$B252:$D252,AN$19:AN$20,"#0")</f>
        <v>#NAME?</v>
      </c>
      <c r="AO252" s="148" t="e">
        <f ca="1">GetCtData("PKAMOUNT","AMOUNT",$AO$11:$AO$18,$B252:$D252,AO$19:AO$20,"#0")</f>
        <v>#NAME?</v>
      </c>
      <c r="AP252" s="136"/>
      <c r="AQ252" s="148" t="e">
        <f ca="1">GetCtData("PKAMOUNT","AMOUNT",$AQ$11:$AQ$18,$B252:$D252,AQ$19:AQ$20,"#")</f>
        <v>#NAME?</v>
      </c>
      <c r="AR252" s="148"/>
      <c r="AS252" s="148"/>
      <c r="AT252" s="148" t="e">
        <f ca="1">GetCtData("PKAMOUNT","AMOUNT",AT$11:AT$18,$B252:$D252,AT$19:AT$20,"#0")</f>
        <v>#NAME?</v>
      </c>
      <c r="AU252" s="148" t="e">
        <f ca="1">O252-AT252</f>
        <v>#NAME?</v>
      </c>
      <c r="AV252" s="148"/>
      <c r="AW252" s="148" t="e">
        <f ca="1">GetCtData("PKAMOUNT","AMOUNT",AW$11:AW$18,$B252:$D252,AW$19:AW$20,"#")</f>
        <v>#NAME?</v>
      </c>
      <c r="AX252" s="148" t="e">
        <f ca="1">O252-AW252</f>
        <v>#NAME?</v>
      </c>
      <c r="AY252" s="148"/>
      <c r="AZ252" s="148" t="e">
        <f ca="1">SUM(AZ246:AZ250)</f>
        <v>#NAME?</v>
      </c>
      <c r="BA252" s="148" t="e">
        <f ca="1">SUM(BA246:BA250)</f>
        <v>#NAME?</v>
      </c>
      <c r="BB252" s="148"/>
      <c r="BC252" s="148" t="e">
        <f ca="1">SUM(BC246:BC250)</f>
        <v>#NAME?</v>
      </c>
      <c r="BD252" s="148" t="e">
        <f t="shared" ca="1" si="300"/>
        <v>#NAME?</v>
      </c>
      <c r="BE252" s="148"/>
      <c r="BF252" s="148" t="e">
        <f ca="1">SUM(BF246:BF250)</f>
        <v>#NAME?</v>
      </c>
      <c r="BG252" s="148" t="e">
        <f t="shared" ca="1" si="301"/>
        <v>#NAME?</v>
      </c>
      <c r="BH252" s="148"/>
      <c r="BI252" s="148" t="e">
        <f ca="1">SUM(BI246:BI250)</f>
        <v>#NAME?</v>
      </c>
      <c r="BJ252" s="148" t="e">
        <f t="shared" ca="1" si="302"/>
        <v>#NAME?</v>
      </c>
      <c r="BK252" s="148"/>
      <c r="BL252" s="148" t="e">
        <f ca="1">SUM(BL246:BL250)</f>
        <v>#NAME?</v>
      </c>
      <c r="BM252" s="148" t="e">
        <f ca="1">J252-BL252</f>
        <v>#NAME?</v>
      </c>
      <c r="BN252" s="148"/>
      <c r="BO252" s="148" t="e">
        <f ca="1">SUM(BO246:BO250)</f>
        <v>#NAME?</v>
      </c>
      <c r="BP252" s="148" t="e">
        <f t="shared" ca="1" si="304"/>
        <v>#NAME?</v>
      </c>
      <c r="BQ252" s="148"/>
      <c r="BR252" s="148" t="e">
        <f ca="1">SUM(BR246:BR250)</f>
        <v>#NAME?</v>
      </c>
      <c r="BS252" s="148" t="e">
        <f ca="1">#REF!-BR252</f>
        <v>#REF!</v>
      </c>
    </row>
    <row r="253" spans="1:71" x14ac:dyDescent="0.2">
      <c r="E253" s="74"/>
      <c r="F253" s="130"/>
      <c r="G253" s="131"/>
      <c r="H253" s="130"/>
      <c r="I253" s="72"/>
      <c r="J253" s="72"/>
      <c r="K253" s="72"/>
      <c r="L253" s="72"/>
      <c r="M253" s="72"/>
      <c r="N253" s="130"/>
      <c r="O253" s="121"/>
      <c r="P253" s="141">
        <f t="shared" si="267"/>
        <v>0</v>
      </c>
      <c r="Q253" s="141">
        <f t="shared" si="267"/>
        <v>0</v>
      </c>
      <c r="R253" s="122"/>
      <c r="S253" s="122"/>
      <c r="T253" s="122" t="e">
        <f ca="1">PutCtData("PKAMOUNT","AMOUNT",$T$11:$T$15,$B253,$T$18,$T$17,P253)</f>
        <v>#NAME?</v>
      </c>
      <c r="U253" s="122" t="e">
        <f ca="1">PutCtData("PKAMOUNT","AMOUNT",$U$11:$U$15,$B253,$U$18,$U$17,L253)</f>
        <v>#NAME?</v>
      </c>
      <c r="V253" s="144"/>
      <c r="W253" s="122"/>
      <c r="X253" s="122"/>
      <c r="Y253" s="122"/>
      <c r="Z253" s="135"/>
      <c r="AA253" s="135"/>
      <c r="AB253" s="135">
        <f t="shared" si="244"/>
        <v>0</v>
      </c>
      <c r="AC253" s="135">
        <f t="shared" ref="AC253:AC262" si="307">+O253-AB253</f>
        <v>0</v>
      </c>
      <c r="AD253" s="122"/>
      <c r="AE253" s="122"/>
      <c r="AF253" s="122"/>
      <c r="AG253" s="122">
        <f t="shared" si="212"/>
        <v>0</v>
      </c>
      <c r="AH253" s="136">
        <f t="shared" si="305"/>
        <v>0</v>
      </c>
      <c r="AI253" s="128"/>
      <c r="AJ253" s="122">
        <f t="shared" si="299"/>
        <v>0</v>
      </c>
      <c r="AK253" s="122"/>
      <c r="AL253" s="136"/>
      <c r="AM253" s="122"/>
      <c r="AN253" s="122"/>
      <c r="AO253" s="122"/>
      <c r="AP253" s="122"/>
      <c r="AQ253" s="122"/>
      <c r="AR253" s="122"/>
      <c r="AS253" s="122"/>
      <c r="AT253" s="122"/>
      <c r="AU253" s="122"/>
      <c r="AV253" s="130"/>
      <c r="AW253" s="130"/>
      <c r="AX253" s="130"/>
      <c r="AY253" s="130"/>
      <c r="AZ253" s="130"/>
      <c r="BA253" s="130"/>
      <c r="BB253" s="130"/>
      <c r="BC253" s="130"/>
      <c r="BD253" s="130">
        <f t="shared" si="300"/>
        <v>0</v>
      </c>
      <c r="BE253" s="130"/>
      <c r="BF253" s="130"/>
      <c r="BG253" s="130">
        <f t="shared" si="301"/>
        <v>0</v>
      </c>
      <c r="BH253" s="130"/>
      <c r="BI253" s="130"/>
      <c r="BJ253" s="130">
        <f t="shared" si="302"/>
        <v>0</v>
      </c>
      <c r="BK253" s="130"/>
      <c r="BL253" s="130"/>
      <c r="BM253" s="130">
        <f>J253-BL253</f>
        <v>0</v>
      </c>
      <c r="BN253" s="130"/>
      <c r="BO253" s="130"/>
      <c r="BP253" s="130">
        <f t="shared" si="304"/>
        <v>0</v>
      </c>
      <c r="BQ253" s="130"/>
      <c r="BR253" s="130"/>
      <c r="BS253" s="130" t="e">
        <f>#REF!-BR253</f>
        <v>#REF!</v>
      </c>
    </row>
    <row r="254" spans="1:71" x14ac:dyDescent="0.2">
      <c r="A254" s="82" t="s">
        <v>243</v>
      </c>
      <c r="B254" s="82" t="s">
        <v>437</v>
      </c>
      <c r="D254" s="82" t="s">
        <v>172</v>
      </c>
      <c r="E254" s="74" t="e">
        <f ca="1">GetCtLabel(B254,"CURINIT(AC)!LDESC","#External interest (expense)")</f>
        <v>#NAME?</v>
      </c>
      <c r="F254" s="130"/>
      <c r="G254" s="131"/>
      <c r="H254" s="130"/>
      <c r="I254" s="72"/>
      <c r="J254" s="72"/>
      <c r="K254" s="72"/>
      <c r="L254" s="72"/>
      <c r="M254" s="72"/>
      <c r="N254" s="130"/>
      <c r="O254" s="140">
        <f t="shared" ref="O254:O261" si="308">SUM(F254:M254)</f>
        <v>0</v>
      </c>
      <c r="P254" s="141">
        <f t="shared" si="267"/>
        <v>0</v>
      </c>
      <c r="Q254" s="141">
        <f t="shared" si="267"/>
        <v>0</v>
      </c>
      <c r="R254" s="133" t="e">
        <f t="shared" ref="R254:R261" ca="1" si="309">PutCtData("PKAMOUNT","AMOUNT",R$11:R$14,$B254:$D254,R$17:R$18,$O254)</f>
        <v>#NAME?</v>
      </c>
      <c r="S254" s="133" t="e">
        <f t="shared" ref="S254:S261" ca="1" si="310">PutCtData("PKAMOUNT","AMOUNT",S$11:S$14,$B254:$D254,S$17,$M254)</f>
        <v>#NAME?</v>
      </c>
      <c r="T254" s="134" t="e">
        <f t="shared" ref="T254:T261" ca="1" si="311">PutCtData("PKAMOUNT","AMOUNT",T$11:T$14,$B254:$D254,T$17:T$18,$P254)</f>
        <v>#NAME?</v>
      </c>
      <c r="U254" s="134" t="e">
        <f t="shared" ref="U254:U261" ca="1" si="312">PutCtData("PKAMOUNT","AMOUNT",$U$11:$U$14,$B254:$D254,U$17:U$18,L254)</f>
        <v>#NAME?</v>
      </c>
      <c r="V254" s="144"/>
      <c r="W254" s="142" t="e">
        <f ca="1">GetCtData("COAMOUNT","AMOUNT",$B$11:$B$18,$B254,W$20,"#")</f>
        <v>#NAME?</v>
      </c>
      <c r="X254" s="142" t="e">
        <f ca="1">O254-W254</f>
        <v>#NAME?</v>
      </c>
      <c r="Y254" s="122"/>
      <c r="Z254" s="135"/>
      <c r="AA254" s="135"/>
      <c r="AB254" s="135">
        <f t="shared" si="244"/>
        <v>0</v>
      </c>
      <c r="AC254" s="135">
        <f t="shared" si="307"/>
        <v>0</v>
      </c>
      <c r="AD254" s="122"/>
      <c r="AE254" s="142" t="e">
        <f ca="1">GetCtData("PKAMOUNT","AMOUNT",$AE$11:$AE$18,$B254:$D254,AE$19:AE$20,"#0")</f>
        <v>#NAME?</v>
      </c>
      <c r="AF254" s="142"/>
      <c r="AG254" s="142" t="e">
        <f t="shared" ca="1" si="212"/>
        <v>#NAME?</v>
      </c>
      <c r="AH254" s="143" t="e">
        <f t="shared" ca="1" si="305"/>
        <v>#NAME?</v>
      </c>
      <c r="AI254" s="128"/>
      <c r="AJ254" s="142" t="e">
        <f t="shared" ca="1" si="299"/>
        <v>#NAME?</v>
      </c>
      <c r="AK254" s="142" t="e">
        <f ca="1">GetCtData("PKAMOUNT","AMOUNT",$AK$11:$AK$18,$B254:$D254,AK$19:AK$20,"#")</f>
        <v>#NAME?</v>
      </c>
      <c r="AL254" s="143" t="e">
        <f t="shared" ref="AL254:AL261" ca="1" si="313">(O254-AO254)-AK254</f>
        <v>#NAME?</v>
      </c>
      <c r="AM254" s="122"/>
      <c r="AN254" s="142" t="e">
        <f ca="1">GetCtData("PKAMOUNT","AMOUNT",$AN$11:$AN$18,$B254:$D254,AN$19:AN$20,"#0")</f>
        <v>#NAME?</v>
      </c>
      <c r="AO254" s="142" t="e">
        <f ca="1">GetCtData("PKAMOUNT","AMOUNT",$AO$11:$AO$18,$B254:$D254,AO$19:AO$20,"#0")</f>
        <v>#NAME?</v>
      </c>
      <c r="AP254" s="122"/>
      <c r="AQ254" s="142" t="e">
        <f t="shared" ref="AQ254:AQ261" ca="1" si="314">GetCtData("PKAMOUNT","AMOUNT",$AQ$11:$AQ$18,$B254:$D254,AQ$19:AQ$20,"#")</f>
        <v>#NAME?</v>
      </c>
      <c r="AR254" s="142" t="e">
        <f t="shared" ref="AR254:AR261" ca="1" si="315">O254-AQ254</f>
        <v>#NAME?</v>
      </c>
      <c r="AS254" s="142"/>
      <c r="AT254" s="142" t="e">
        <f ca="1">GetCtData("PKAMOUNT","AMOUNT",AT$11:AT$18,$B254:$D254,AT$19:AT$20,"#0")</f>
        <v>#NAME?</v>
      </c>
      <c r="AU254" s="142" t="e">
        <f t="shared" ref="AU254:AU261" ca="1" si="316">O254-AT254</f>
        <v>#NAME?</v>
      </c>
      <c r="AV254" s="72"/>
      <c r="AW254" s="72" t="e">
        <f t="shared" ref="AW254:AW261" ca="1" si="317">GetCtData("PKAMOUNT","AMOUNT",AW$11:AW$18,$B254:$D254,AW$19:AW$20,"#")</f>
        <v>#NAME?</v>
      </c>
      <c r="AX254" s="72" t="e">
        <f t="shared" ref="AX254:AX261" ca="1" si="318">O254-AW254</f>
        <v>#NAME?</v>
      </c>
      <c r="AY254" s="72"/>
      <c r="AZ254" s="72" t="e">
        <f t="shared" ref="AZ254:AZ261" ca="1" si="319">GetCtData("COAMOUNT","AMOUNT",$AZ$11:$AZ$17,$B254,AZ$19,AZ$20,"#")</f>
        <v>#NAME?</v>
      </c>
      <c r="BA254" s="72" t="e">
        <f ca="1">O254-AZ254</f>
        <v>#NAME?</v>
      </c>
      <c r="BB254" s="72"/>
      <c r="BC254" s="72" t="e">
        <f t="shared" ref="BC254:BC261" ca="1" si="320">GetCtData("COAMOUNT","AMOUNT",$BF$11:$BF$17,$B254,BC$19,BC$20,"#")</f>
        <v>#NAME?</v>
      </c>
      <c r="BD254" s="72" t="e">
        <f t="shared" ca="1" si="300"/>
        <v>#NAME?</v>
      </c>
      <c r="BE254" s="72"/>
      <c r="BF254" s="72" t="e">
        <f t="shared" ref="BF254:BF261" ca="1" si="321">GetCtData("COAMOUNT","AMOUNT",$BF$11:$BF$17,$B254,BF$19,BF$20,"#")</f>
        <v>#NAME?</v>
      </c>
      <c r="BG254" s="72" t="e">
        <f t="shared" ca="1" si="301"/>
        <v>#NAME?</v>
      </c>
      <c r="BH254" s="72"/>
      <c r="BI254" s="72" t="e">
        <f t="shared" ref="BI254:BI261" ca="1" si="322">GetCtData("COAMOUNT","AMOUNT",$AO$11:$AO$17,$B254,BI$19,BI$20,"#")</f>
        <v>#NAME?</v>
      </c>
      <c r="BJ254" s="72" t="e">
        <f t="shared" ca="1" si="302"/>
        <v>#NAME?</v>
      </c>
      <c r="BK254" s="72"/>
      <c r="BL254" s="72" t="e">
        <f ca="1">GetCtData("COAMOUNT","AMOUNT",$AK$11:$AK$17,$B254,BL$19,BL$20,"#")</f>
        <v>#NAME?</v>
      </c>
      <c r="BM254" s="72" t="e">
        <f t="shared" ref="BM254:BM263" ca="1" si="323">O254-BL254</f>
        <v>#NAME?</v>
      </c>
      <c r="BN254" s="72"/>
      <c r="BO254" s="72" t="e">
        <f ca="1">GetCtData("COAMOUNT","AMOUNT",$AK$11:$AK$17,$B254,BO$19,BO$20,"#")</f>
        <v>#NAME?</v>
      </c>
      <c r="BP254" s="72" t="e">
        <f t="shared" ca="1" si="304"/>
        <v>#NAME?</v>
      </c>
      <c r="BQ254" s="72"/>
      <c r="BR254" s="72" t="e">
        <f ca="1">GetCtData("COAMOUNT","AMOUNT",$AK$11:$AK$17,$B254,BR$19,BR$20,"#")</f>
        <v>#NAME?</v>
      </c>
      <c r="BS254" s="72" t="e">
        <f ca="1">#REF!-BR254</f>
        <v>#REF!</v>
      </c>
    </row>
    <row r="255" spans="1:71" x14ac:dyDescent="0.2">
      <c r="A255" s="82" t="s">
        <v>243</v>
      </c>
      <c r="B255" s="82" t="s">
        <v>438</v>
      </c>
      <c r="C255" s="82" t="s">
        <v>439</v>
      </c>
      <c r="D255" s="82" t="s">
        <v>172</v>
      </c>
      <c r="E255" s="74" t="e">
        <f ca="1">GetCtLabel(B255,"CURINIT(AC)!LDESC","#I/G interest (expense)")</f>
        <v>#NAME?</v>
      </c>
      <c r="F255" s="130">
        <v>-18</v>
      </c>
      <c r="G255" s="131"/>
      <c r="H255" s="130"/>
      <c r="I255" s="72"/>
      <c r="J255" s="72"/>
      <c r="K255" s="72"/>
      <c r="L255" s="72"/>
      <c r="M255" s="72"/>
      <c r="N255" s="130"/>
      <c r="O255" s="140">
        <f t="shared" si="308"/>
        <v>-18</v>
      </c>
      <c r="P255" s="141">
        <f t="shared" si="267"/>
        <v>0</v>
      </c>
      <c r="Q255" s="141">
        <f t="shared" si="267"/>
        <v>0</v>
      </c>
      <c r="R255" s="133" t="e">
        <f t="shared" ca="1" si="309"/>
        <v>#NAME?</v>
      </c>
      <c r="S255" s="133" t="e">
        <f t="shared" ca="1" si="310"/>
        <v>#NAME?</v>
      </c>
      <c r="T255" s="134" t="e">
        <f t="shared" ca="1" si="311"/>
        <v>#NAME?</v>
      </c>
      <c r="U255" s="134" t="e">
        <f t="shared" ca="1" si="312"/>
        <v>#NAME?</v>
      </c>
      <c r="V255" s="144"/>
      <c r="W255" s="142" t="e">
        <f ca="1">GetCtData("COAMOUNT","AMOUNT",$B$11:$B$18,$B255,W$20,"#")</f>
        <v>#NAME?</v>
      </c>
      <c r="X255" s="142" t="e">
        <f ca="1">O255-W255</f>
        <v>#NAME?</v>
      </c>
      <c r="Y255" s="122"/>
      <c r="Z255" s="135">
        <v>-8</v>
      </c>
      <c r="AA255" s="135"/>
      <c r="AB255" s="135">
        <f t="shared" si="244"/>
        <v>-8</v>
      </c>
      <c r="AC255" s="135">
        <f t="shared" si="307"/>
        <v>-10</v>
      </c>
      <c r="AD255" s="122"/>
      <c r="AE255" s="142" t="e">
        <f ca="1">GetCtData("PKAMOUNT","AMOUNT",$AE$11:$AE$18,$B255:$D255,AE$19:AE$20,"#-21")</f>
        <v>#NAME?</v>
      </c>
      <c r="AF255" s="142"/>
      <c r="AG255" s="142" t="e">
        <f t="shared" ref="AG255:AG270" ca="1" si="324">AE255+AF255</f>
        <v>#NAME?</v>
      </c>
      <c r="AH255" s="143" t="e">
        <f t="shared" ca="1" si="305"/>
        <v>#NAME?</v>
      </c>
      <c r="AI255" s="128"/>
      <c r="AJ255" s="142" t="e">
        <f t="shared" ca="1" si="299"/>
        <v>#NAME?</v>
      </c>
      <c r="AK255" s="142" t="e">
        <f ca="1">GetCtData("PKAMOUNT","AMOUNT",$AK$11:$AK$18,$B255,$D255,AK$19:AK$20,"#-3")</f>
        <v>#NAME?</v>
      </c>
      <c r="AL255" s="143" t="e">
        <f t="shared" ca="1" si="313"/>
        <v>#NAME?</v>
      </c>
      <c r="AM255" s="122"/>
      <c r="AN255" s="142" t="e">
        <f ca="1">GetCtData("PKAMOUNT","AMOUNT",$AN$11:$AN$18,$B255:$D255,AN$19:AN$20,"#-9")</f>
        <v>#NAME?</v>
      </c>
      <c r="AO255" s="142" t="e">
        <f ca="1">GetCtData("PKAMOUNT","AMOUNT",$AO$11:$AO$18,$B255:$D255,AO$19:AO$20,"#-18")</f>
        <v>#NAME?</v>
      </c>
      <c r="AP255" s="122"/>
      <c r="AQ255" s="142" t="e">
        <f t="shared" ca="1" si="314"/>
        <v>#NAME?</v>
      </c>
      <c r="AR255" s="142" t="e">
        <f t="shared" ca="1" si="315"/>
        <v>#NAME?</v>
      </c>
      <c r="AS255" s="142"/>
      <c r="AT255" s="142" t="e">
        <f ca="1">GetCtData("PKAMOUNT","AMOUNT",AT$11:AT$18,$B255:$D255,AT$19:AT$20,"#-18")</f>
        <v>#NAME?</v>
      </c>
      <c r="AU255" s="142" t="e">
        <f t="shared" ca="1" si="316"/>
        <v>#NAME?</v>
      </c>
      <c r="AV255" s="72"/>
      <c r="AW255" s="72" t="e">
        <f t="shared" ca="1" si="317"/>
        <v>#NAME?</v>
      </c>
      <c r="AX255" s="72" t="e">
        <f t="shared" ca="1" si="318"/>
        <v>#NAME?</v>
      </c>
      <c r="AY255" s="72"/>
      <c r="AZ255" s="72" t="e">
        <f t="shared" ca="1" si="319"/>
        <v>#NAME?</v>
      </c>
      <c r="BA255" s="72" t="e">
        <f ca="1">O255-AZ255</f>
        <v>#NAME?</v>
      </c>
      <c r="BB255" s="72"/>
      <c r="BC255" s="72" t="e">
        <f t="shared" ca="1" si="320"/>
        <v>#NAME?</v>
      </c>
      <c r="BD255" s="72" t="e">
        <f t="shared" ca="1" si="300"/>
        <v>#NAME?</v>
      </c>
      <c r="BE255" s="72"/>
      <c r="BF255" s="72" t="e">
        <f t="shared" ca="1" si="321"/>
        <v>#NAME?</v>
      </c>
      <c r="BG255" s="72" t="e">
        <f t="shared" ca="1" si="301"/>
        <v>#NAME?</v>
      </c>
      <c r="BH255" s="72"/>
      <c r="BI255" s="72" t="e">
        <f t="shared" ca="1" si="322"/>
        <v>#NAME?</v>
      </c>
      <c r="BJ255" s="72" t="e">
        <f t="shared" ca="1" si="302"/>
        <v>#NAME?</v>
      </c>
      <c r="BK255" s="72"/>
      <c r="BL255" s="72" t="e">
        <f ca="1">GetCtData("COAMOUNT","AMOUNT",$AK$11:$AK$17,$B255,BL$19,BL$20,"#")</f>
        <v>#NAME?</v>
      </c>
      <c r="BM255" s="72" t="e">
        <f t="shared" ca="1" si="323"/>
        <v>#NAME?</v>
      </c>
      <c r="BN255" s="72"/>
      <c r="BO255" s="72" t="e">
        <f ca="1">GetCtData("COAMOUNT","AMOUNT",$AK$11:$AK$17,$B255,BO$19,BO$20,"#")</f>
        <v>#NAME?</v>
      </c>
      <c r="BP255" s="72" t="e">
        <f t="shared" ca="1" si="304"/>
        <v>#NAME?</v>
      </c>
      <c r="BQ255" s="72"/>
      <c r="BR255" s="72" t="e">
        <f ca="1">GetCtData("COAMOUNT","AMOUNT",$AK$11:$AK$17,$B255,BR$19,BR$20,"#")</f>
        <v>#NAME?</v>
      </c>
      <c r="BS255" s="72" t="e">
        <f ca="1">#REF!-BR255</f>
        <v>#REF!</v>
      </c>
    </row>
    <row r="256" spans="1:71" x14ac:dyDescent="0.2">
      <c r="A256" s="82" t="s">
        <v>243</v>
      </c>
      <c r="B256" s="82" t="s">
        <v>440</v>
      </c>
      <c r="D256" s="82" t="s">
        <v>172</v>
      </c>
      <c r="E256" s="74" t="e">
        <f ca="1">GetCtLabel(B256,"CURINIT(AC)!LDESC","#(HP and other lease interest)")</f>
        <v>#NAME?</v>
      </c>
      <c r="F256" s="130"/>
      <c r="G256" s="131"/>
      <c r="H256" s="130"/>
      <c r="I256" s="72"/>
      <c r="J256" s="72"/>
      <c r="K256" s="72"/>
      <c r="L256" s="72"/>
      <c r="M256" s="72"/>
      <c r="N256" s="130"/>
      <c r="O256" s="140">
        <f t="shared" si="308"/>
        <v>0</v>
      </c>
      <c r="P256" s="141">
        <f t="shared" si="267"/>
        <v>0</v>
      </c>
      <c r="Q256" s="141">
        <f t="shared" si="267"/>
        <v>0</v>
      </c>
      <c r="R256" s="133" t="e">
        <f t="shared" ca="1" si="309"/>
        <v>#NAME?</v>
      </c>
      <c r="S256" s="133" t="e">
        <f t="shared" ca="1" si="310"/>
        <v>#NAME?</v>
      </c>
      <c r="T256" s="134" t="e">
        <f t="shared" ca="1" si="311"/>
        <v>#NAME?</v>
      </c>
      <c r="U256" s="134" t="e">
        <f t="shared" ca="1" si="312"/>
        <v>#NAME?</v>
      </c>
      <c r="V256" s="144"/>
      <c r="W256" s="142" t="e">
        <f ca="1">GetCtData("COAMOUNT","AMOUNT",$B$11:$B$18,$B256,W$20,"#")</f>
        <v>#NAME?</v>
      </c>
      <c r="X256" s="142" t="e">
        <f ca="1">O256-W256</f>
        <v>#NAME?</v>
      </c>
      <c r="Y256" s="122"/>
      <c r="Z256" s="135"/>
      <c r="AA256" s="135"/>
      <c r="AB256" s="135">
        <f t="shared" si="244"/>
        <v>0</v>
      </c>
      <c r="AC256" s="135">
        <f t="shared" si="307"/>
        <v>0</v>
      </c>
      <c r="AD256" s="122"/>
      <c r="AE256" s="142" t="e">
        <f ca="1">GetCtData("PKAMOUNT","AMOUNT",$AE$11:$AE$18,$B256:$D256,AE$19:AE$20,"#0")</f>
        <v>#NAME?</v>
      </c>
      <c r="AF256" s="142"/>
      <c r="AG256" s="142" t="e">
        <f t="shared" ca="1" si="324"/>
        <v>#NAME?</v>
      </c>
      <c r="AH256" s="143" t="e">
        <f t="shared" ca="1" si="305"/>
        <v>#NAME?</v>
      </c>
      <c r="AI256" s="128"/>
      <c r="AJ256" s="142" t="e">
        <f t="shared" ca="1" si="299"/>
        <v>#NAME?</v>
      </c>
      <c r="AK256" s="142" t="e">
        <f ca="1">GetCtData("PKAMOUNT","AMOUNT",$AK$11:$AK$18,$B256:$D256,AK$19:AK$20,"#")</f>
        <v>#NAME?</v>
      </c>
      <c r="AL256" s="143" t="e">
        <f t="shared" ca="1" si="313"/>
        <v>#NAME?</v>
      </c>
      <c r="AM256" s="122"/>
      <c r="AN256" s="142" t="e">
        <f ca="1">GetCtData("PKAMOUNT","AMOUNT",$AN$11:$AN$18,$B256:$D256,AN$19:AN$20,"#0")</f>
        <v>#NAME?</v>
      </c>
      <c r="AO256" s="142" t="e">
        <f ca="1">GetCtData("PKAMOUNT","AMOUNT",$AO$11:$AO$18,$B256:$D256,AO$19:AO$20,"#0")</f>
        <v>#NAME?</v>
      </c>
      <c r="AP256" s="122"/>
      <c r="AQ256" s="142" t="e">
        <f t="shared" ca="1" si="314"/>
        <v>#NAME?</v>
      </c>
      <c r="AR256" s="142" t="e">
        <f t="shared" ca="1" si="315"/>
        <v>#NAME?</v>
      </c>
      <c r="AS256" s="142"/>
      <c r="AT256" s="142" t="e">
        <f ca="1">GetCtData("PKAMOUNT","AMOUNT",AT$11:AT$18,$B256:$D256,AT$19:AT$20,"#0")</f>
        <v>#NAME?</v>
      </c>
      <c r="AU256" s="142" t="e">
        <f t="shared" ca="1" si="316"/>
        <v>#NAME?</v>
      </c>
      <c r="AV256" s="72"/>
      <c r="AW256" s="72" t="e">
        <f t="shared" ca="1" si="317"/>
        <v>#NAME?</v>
      </c>
      <c r="AX256" s="72" t="e">
        <f t="shared" ca="1" si="318"/>
        <v>#NAME?</v>
      </c>
      <c r="AY256" s="72"/>
      <c r="AZ256" s="72" t="e">
        <f t="shared" ca="1" si="319"/>
        <v>#NAME?</v>
      </c>
      <c r="BA256" s="72" t="e">
        <f ca="1">O256-AZ256</f>
        <v>#NAME?</v>
      </c>
      <c r="BB256" s="72"/>
      <c r="BC256" s="72" t="e">
        <f t="shared" ca="1" si="320"/>
        <v>#NAME?</v>
      </c>
      <c r="BD256" s="72" t="e">
        <f t="shared" ca="1" si="300"/>
        <v>#NAME?</v>
      </c>
      <c r="BE256" s="72"/>
      <c r="BF256" s="72" t="e">
        <f t="shared" ca="1" si="321"/>
        <v>#NAME?</v>
      </c>
      <c r="BG256" s="72" t="e">
        <f t="shared" ca="1" si="301"/>
        <v>#NAME?</v>
      </c>
      <c r="BH256" s="72"/>
      <c r="BI256" s="72" t="e">
        <f t="shared" ca="1" si="322"/>
        <v>#NAME?</v>
      </c>
      <c r="BJ256" s="72" t="e">
        <f t="shared" ca="1" si="302"/>
        <v>#NAME?</v>
      </c>
      <c r="BK256" s="72"/>
      <c r="BL256" s="72" t="e">
        <f ca="1">GetCtData("COAMOUNT","AMOUNT",$AK$11:$AK$17,$B256,BL$19,BL$20,"#")</f>
        <v>#NAME?</v>
      </c>
      <c r="BM256" s="72" t="e">
        <f t="shared" ca="1" si="323"/>
        <v>#NAME?</v>
      </c>
      <c r="BN256" s="72"/>
      <c r="BO256" s="72" t="e">
        <f ca="1">GetCtData("COAMOUNT","AMOUNT",$AK$11:$AK$17,$B256,BO$19,BO$20,"#")</f>
        <v>#NAME?</v>
      </c>
      <c r="BP256" s="72" t="e">
        <f t="shared" ca="1" si="304"/>
        <v>#NAME?</v>
      </c>
      <c r="BQ256" s="72"/>
      <c r="BR256" s="72" t="e">
        <f ca="1">GetCtData("COAMOUNT","AMOUNT",$AK$11:$AK$17,$B256,BR$19,BR$20,"#")</f>
        <v>#NAME?</v>
      </c>
      <c r="BS256" s="72" t="e">
        <f ca="1">#REF!-BR256</f>
        <v>#REF!</v>
      </c>
    </row>
    <row r="257" spans="1:71" x14ac:dyDescent="0.2">
      <c r="A257" s="82" t="s">
        <v>243</v>
      </c>
      <c r="B257" s="82" t="s">
        <v>441</v>
      </c>
      <c r="D257" s="82" t="s">
        <v>172</v>
      </c>
      <c r="E257" s="74" t="e">
        <f ca="1">GetCtLabel(B257,"CURINIT(AC)!LDESC","#Net interest on defined benefit pensions")</f>
        <v>#NAME?</v>
      </c>
      <c r="F257" s="130">
        <v>-10</v>
      </c>
      <c r="G257" s="131"/>
      <c r="H257" s="130"/>
      <c r="I257" s="72"/>
      <c r="J257" s="72"/>
      <c r="K257" s="72"/>
      <c r="L257" s="72"/>
      <c r="M257" s="72"/>
      <c r="N257" s="130"/>
      <c r="O257" s="140">
        <f t="shared" si="308"/>
        <v>-10</v>
      </c>
      <c r="P257" s="141">
        <f t="shared" si="267"/>
        <v>0</v>
      </c>
      <c r="Q257" s="141">
        <f t="shared" si="267"/>
        <v>0</v>
      </c>
      <c r="R257" s="133" t="e">
        <f t="shared" ca="1" si="309"/>
        <v>#NAME?</v>
      </c>
      <c r="S257" s="133" t="e">
        <f t="shared" ca="1" si="310"/>
        <v>#NAME?</v>
      </c>
      <c r="T257" s="134" t="e">
        <f t="shared" ca="1" si="311"/>
        <v>#NAME?</v>
      </c>
      <c r="U257" s="134" t="e">
        <f t="shared" ca="1" si="312"/>
        <v>#NAME?</v>
      </c>
      <c r="V257" s="144"/>
      <c r="W257" s="142">
        <v>-22</v>
      </c>
      <c r="X257" s="142">
        <f>O257-W257</f>
        <v>12</v>
      </c>
      <c r="Y257" s="122"/>
      <c r="Z257" s="135">
        <v>-5</v>
      </c>
      <c r="AA257" s="135"/>
      <c r="AB257" s="135">
        <v>-2</v>
      </c>
      <c r="AC257" s="135">
        <f t="shared" si="307"/>
        <v>-8</v>
      </c>
      <c r="AD257" s="122"/>
      <c r="AE257" s="142" t="e">
        <f ca="1">GetCtData("PKAMOUNT","AMOUNT",$AE$11:$AE$18,$B257:$D257,AE$19:AE$20,"#-9")</f>
        <v>#NAME?</v>
      </c>
      <c r="AF257" s="142"/>
      <c r="AG257" s="142" t="e">
        <f t="shared" ca="1" si="324"/>
        <v>#NAME?</v>
      </c>
      <c r="AH257" s="143" t="e">
        <f t="shared" ca="1" si="305"/>
        <v>#NAME?</v>
      </c>
      <c r="AI257" s="128"/>
      <c r="AJ257" s="142" t="e">
        <f t="shared" ca="1" si="299"/>
        <v>#NAME?</v>
      </c>
      <c r="AK257" s="142" t="e">
        <f ca="1">GetCtData("PKAMOUNT","AMOUNT",$AK$11:$AK$18,$B257:$D257,AK$19:AK$20,"#-1")</f>
        <v>#NAME?</v>
      </c>
      <c r="AL257" s="143" t="e">
        <f t="shared" ca="1" si="313"/>
        <v>#NAME?</v>
      </c>
      <c r="AM257" s="122"/>
      <c r="AN257" s="142" t="e">
        <f ca="1">GetCtData("PKAMOUNT","AMOUNT",$AN$11:$AN$18,$B257:$D257,AN$19:AN$20,"#-1")</f>
        <v>#NAME?</v>
      </c>
      <c r="AO257" s="142" t="e">
        <f ca="1">GetCtData("PKAMOUNT","AMOUNT",$AO$11:$AO$18,$B257:$D257,AO$19:AO$20,"#-8")</f>
        <v>#NAME?</v>
      </c>
      <c r="AP257" s="122"/>
      <c r="AQ257" s="142" t="e">
        <f t="shared" ca="1" si="314"/>
        <v>#NAME?</v>
      </c>
      <c r="AR257" s="142" t="e">
        <f t="shared" ca="1" si="315"/>
        <v>#NAME?</v>
      </c>
      <c r="AS257" s="142"/>
      <c r="AT257" s="142" t="e">
        <f ca="1">GetCtData("PKAMOUNT","AMOUNT",AT$11:AT$18,$B257:$D257,AT$19:AT$20,"#-12")</f>
        <v>#NAME?</v>
      </c>
      <c r="AU257" s="142" t="e">
        <f t="shared" ca="1" si="316"/>
        <v>#NAME?</v>
      </c>
      <c r="AV257" s="72"/>
      <c r="AW257" s="72" t="e">
        <f t="shared" ca="1" si="317"/>
        <v>#NAME?</v>
      </c>
      <c r="AX257" s="72" t="e">
        <f t="shared" ca="1" si="318"/>
        <v>#NAME?</v>
      </c>
      <c r="AY257" s="72"/>
      <c r="AZ257" s="72" t="e">
        <f t="shared" ca="1" si="319"/>
        <v>#NAME?</v>
      </c>
      <c r="BA257" s="72" t="e">
        <f ca="1">O257-AZ257</f>
        <v>#NAME?</v>
      </c>
      <c r="BB257" s="72"/>
      <c r="BC257" s="72" t="e">
        <f t="shared" ca="1" si="320"/>
        <v>#NAME?</v>
      </c>
      <c r="BD257" s="72" t="e">
        <f t="shared" ca="1" si="300"/>
        <v>#NAME?</v>
      </c>
      <c r="BE257" s="72"/>
      <c r="BF257" s="72" t="e">
        <f t="shared" ca="1" si="321"/>
        <v>#NAME?</v>
      </c>
      <c r="BG257" s="72" t="e">
        <f t="shared" ca="1" si="301"/>
        <v>#NAME?</v>
      </c>
      <c r="BH257" s="72"/>
      <c r="BI257" s="72" t="e">
        <f t="shared" ca="1" si="322"/>
        <v>#NAME?</v>
      </c>
      <c r="BJ257" s="72" t="e">
        <f t="shared" ca="1" si="302"/>
        <v>#NAME?</v>
      </c>
      <c r="BK257" s="72"/>
      <c r="BL257" s="72" t="e">
        <f ca="1">GetCtData("COAMOUNT","AMOUNT",$BO$11:$BO$17,$B257,BL$19,BL$20,"#")</f>
        <v>#NAME?</v>
      </c>
      <c r="BM257" s="72" t="e">
        <f t="shared" ca="1" si="323"/>
        <v>#NAME?</v>
      </c>
      <c r="BN257" s="72"/>
      <c r="BO257" s="72" t="e">
        <f ca="1">GetCtData("COAMOUNT","AMOUNT",$BO$11:$BO$17,$B257,BO$19,BO$20,"#")</f>
        <v>#NAME?</v>
      </c>
      <c r="BP257" s="72" t="e">
        <f t="shared" ca="1" si="304"/>
        <v>#NAME?</v>
      </c>
      <c r="BQ257" s="72"/>
      <c r="BR257" s="72" t="e">
        <f ca="1">GetCtData("COAMOUNT","AMOUNT",$BO$11:$BO$17,$B257,BR$19,BR$20,"#")</f>
        <v>#NAME?</v>
      </c>
      <c r="BS257" s="72" t="e">
        <f ca="1">#REF!-BR257</f>
        <v>#REF!</v>
      </c>
    </row>
    <row r="258" spans="1:71" outlineLevel="1" x14ac:dyDescent="0.2">
      <c r="A258" s="82" t="s">
        <v>243</v>
      </c>
      <c r="B258" s="82" t="s">
        <v>442</v>
      </c>
      <c r="D258" s="82" t="s">
        <v>172</v>
      </c>
      <c r="E258" s="74" t="e">
        <f ca="1">GetCtLabel(B258,"CURINIT(AC)!LDESC","#Net Interest on Other IAS 19 plans")</f>
        <v>#NAME?</v>
      </c>
      <c r="F258" s="130"/>
      <c r="G258" s="131"/>
      <c r="H258" s="130"/>
      <c r="I258" s="72"/>
      <c r="J258" s="72"/>
      <c r="K258" s="72"/>
      <c r="L258" s="72"/>
      <c r="M258" s="72"/>
      <c r="N258" s="130"/>
      <c r="O258" s="140">
        <f t="shared" si="308"/>
        <v>0</v>
      </c>
      <c r="P258" s="141">
        <f t="shared" si="267"/>
        <v>0</v>
      </c>
      <c r="Q258" s="141">
        <f t="shared" si="267"/>
        <v>0</v>
      </c>
      <c r="R258" s="133" t="e">
        <f t="shared" ca="1" si="309"/>
        <v>#NAME?</v>
      </c>
      <c r="S258" s="133" t="e">
        <f t="shared" ca="1" si="310"/>
        <v>#NAME?</v>
      </c>
      <c r="T258" s="134" t="e">
        <f t="shared" ca="1" si="311"/>
        <v>#NAME?</v>
      </c>
      <c r="U258" s="134" t="e">
        <f t="shared" ca="1" si="312"/>
        <v>#NAME?</v>
      </c>
      <c r="V258" s="144"/>
      <c r="W258" s="142" t="e">
        <f ca="1">GetCtData("COAMOUNT","AMOUNT",$B$11:$B$18,$B258,W$20,"#")</f>
        <v>#NAME?</v>
      </c>
      <c r="X258" s="142" t="e">
        <f ca="1">O258-W258</f>
        <v>#NAME?</v>
      </c>
      <c r="Y258" s="122"/>
      <c r="Z258" s="135"/>
      <c r="AA258" s="135"/>
      <c r="AB258" s="135">
        <f t="shared" si="244"/>
        <v>0</v>
      </c>
      <c r="AC258" s="135">
        <f t="shared" si="307"/>
        <v>0</v>
      </c>
      <c r="AD258" s="122"/>
      <c r="AE258" s="142" t="e">
        <f ca="1">GetCtData("PKAMOUNT","AMOUNT",$AE$11:$AE$18,$B258:$D258,AE$19:AE$20,"#0")</f>
        <v>#NAME?</v>
      </c>
      <c r="AF258" s="142"/>
      <c r="AG258" s="142" t="e">
        <f t="shared" ca="1" si="324"/>
        <v>#NAME?</v>
      </c>
      <c r="AH258" s="143" t="e">
        <f t="shared" ca="1" si="305"/>
        <v>#NAME?</v>
      </c>
      <c r="AI258" s="128"/>
      <c r="AJ258" s="142" t="e">
        <f t="shared" ca="1" si="299"/>
        <v>#NAME?</v>
      </c>
      <c r="AK258" s="142" t="e">
        <f ca="1">GetCtData("PKAMOUNT","AMOUNT",$AK$11:$AK$18,$B258:$D258,AK$19:AK$20,"#")</f>
        <v>#NAME?</v>
      </c>
      <c r="AL258" s="143" t="e">
        <f t="shared" ca="1" si="313"/>
        <v>#NAME?</v>
      </c>
      <c r="AM258" s="122"/>
      <c r="AN258" s="142" t="e">
        <f ca="1">GetCtData("PKAMOUNT","AMOUNT",$AN$11:$AN$18,$B258:$D258,AN$19:AN$20,"#0")</f>
        <v>#NAME?</v>
      </c>
      <c r="AO258" s="142" t="e">
        <f ca="1">GetCtData("PKAMOUNT","AMOUNT",$AO$11:$AO$18,$B258:$D258,AO$19:AO$20,"#0")</f>
        <v>#NAME?</v>
      </c>
      <c r="AP258" s="122"/>
      <c r="AQ258" s="142" t="e">
        <f t="shared" ca="1" si="314"/>
        <v>#NAME?</v>
      </c>
      <c r="AR258" s="142" t="e">
        <f t="shared" ca="1" si="315"/>
        <v>#NAME?</v>
      </c>
      <c r="AS258" s="142"/>
      <c r="AT258" s="142" t="e">
        <f ca="1">GetCtData("PKAMOUNT","AMOUNT",AT$11:AT$18,$B258:$D258,AT$19:AT$20,"#0")</f>
        <v>#NAME?</v>
      </c>
      <c r="AU258" s="142" t="e">
        <f t="shared" ca="1" si="316"/>
        <v>#NAME?</v>
      </c>
      <c r="AV258" s="72"/>
      <c r="AW258" s="72" t="e">
        <f t="shared" ca="1" si="317"/>
        <v>#NAME?</v>
      </c>
      <c r="AX258" s="72" t="e">
        <f t="shared" ca="1" si="318"/>
        <v>#NAME?</v>
      </c>
      <c r="AY258" s="72"/>
      <c r="AZ258" s="72" t="e">
        <f t="shared" ca="1" si="319"/>
        <v>#NAME?</v>
      </c>
      <c r="BA258" s="72" t="e">
        <f ca="1">O258-AZ258</f>
        <v>#NAME?</v>
      </c>
      <c r="BB258" s="72"/>
      <c r="BC258" s="72" t="e">
        <f t="shared" ca="1" si="320"/>
        <v>#NAME?</v>
      </c>
      <c r="BD258" s="72" t="e">
        <f t="shared" ca="1" si="300"/>
        <v>#NAME?</v>
      </c>
      <c r="BE258" s="72"/>
      <c r="BF258" s="72" t="e">
        <f t="shared" ca="1" si="321"/>
        <v>#NAME?</v>
      </c>
      <c r="BG258" s="72" t="e">
        <f t="shared" ca="1" si="301"/>
        <v>#NAME?</v>
      </c>
      <c r="BH258" s="72"/>
      <c r="BI258" s="72" t="e">
        <f t="shared" ca="1" si="322"/>
        <v>#NAME?</v>
      </c>
      <c r="BJ258" s="72" t="e">
        <f t="shared" ca="1" si="302"/>
        <v>#NAME?</v>
      </c>
      <c r="BK258" s="72"/>
      <c r="BL258" s="72" t="e">
        <f ca="1">GetCtData("COAMOUNT","AMOUNT",$AK$11:$AK$17,$B258,BL$19,BL$20,"#")</f>
        <v>#NAME?</v>
      </c>
      <c r="BM258" s="72" t="e">
        <f t="shared" ca="1" si="323"/>
        <v>#NAME?</v>
      </c>
      <c r="BN258" s="72"/>
      <c r="BO258" s="72" t="e">
        <f ca="1">GetCtData("COAMOUNT","AMOUNT",$AK$11:$AK$17,$B258,BO$19,BO$20,"#")</f>
        <v>#NAME?</v>
      </c>
      <c r="BP258" s="72" t="e">
        <f t="shared" ca="1" si="304"/>
        <v>#NAME?</v>
      </c>
      <c r="BQ258" s="72"/>
      <c r="BR258" s="72" t="e">
        <f ca="1">GetCtData("COAMOUNT","AMOUNT",$AK$11:$AK$17,$B258,BR$19,BR$20,"#")</f>
        <v>#NAME?</v>
      </c>
      <c r="BS258" s="72" t="e">
        <f ca="1">#REF!-BR258</f>
        <v>#REF!</v>
      </c>
    </row>
    <row r="259" spans="1:71" outlineLevel="1" x14ac:dyDescent="0.2">
      <c r="A259" s="82" t="s">
        <v>243</v>
      </c>
      <c r="B259" s="82" t="s">
        <v>443</v>
      </c>
      <c r="D259" s="82" t="s">
        <v>172</v>
      </c>
      <c r="E259" s="74" t="e">
        <f ca="1">GetCtLabel(B259,"CURINIT(AC)!LDESC","#Interest on discounted earnout liabilities - WPP use only")</f>
        <v>#NAME?</v>
      </c>
      <c r="F259" s="130"/>
      <c r="G259" s="131"/>
      <c r="H259" s="130"/>
      <c r="I259" s="72"/>
      <c r="J259" s="72"/>
      <c r="K259" s="72"/>
      <c r="L259" s="72"/>
      <c r="M259" s="72"/>
      <c r="N259" s="130"/>
      <c r="O259" s="140">
        <f t="shared" si="308"/>
        <v>0</v>
      </c>
      <c r="P259" s="141">
        <f t="shared" si="267"/>
        <v>0</v>
      </c>
      <c r="Q259" s="141">
        <f t="shared" si="267"/>
        <v>0</v>
      </c>
      <c r="R259" s="133" t="e">
        <f t="shared" ca="1" si="309"/>
        <v>#NAME?</v>
      </c>
      <c r="S259" s="133" t="e">
        <f t="shared" ca="1" si="310"/>
        <v>#NAME?</v>
      </c>
      <c r="T259" s="134" t="e">
        <f t="shared" ca="1" si="311"/>
        <v>#NAME?</v>
      </c>
      <c r="U259" s="134" t="e">
        <f t="shared" ca="1" si="312"/>
        <v>#NAME?</v>
      </c>
      <c r="V259" s="144"/>
      <c r="W259" s="142" t="e">
        <f ca="1">GetCtData("COAMOUNT","AMOUNT",$B$11:$B$18,$B259,W$20,"#")</f>
        <v>#NAME?</v>
      </c>
      <c r="X259" s="142" t="e">
        <f ca="1">G259-W259</f>
        <v>#NAME?</v>
      </c>
      <c r="Y259" s="122"/>
      <c r="Z259" s="135"/>
      <c r="AA259" s="135"/>
      <c r="AB259" s="135">
        <f t="shared" si="244"/>
        <v>0</v>
      </c>
      <c r="AC259" s="135">
        <f t="shared" si="307"/>
        <v>0</v>
      </c>
      <c r="AD259" s="122"/>
      <c r="AE259" s="142" t="e">
        <f ca="1">GetCtData("PKAMOUNT","AMOUNT",$AE$11:$AE$18,$B259:$D259,AE$19:AE$20,"#0")</f>
        <v>#NAME?</v>
      </c>
      <c r="AF259" s="142"/>
      <c r="AG259" s="142" t="e">
        <f t="shared" ca="1" si="324"/>
        <v>#NAME?</v>
      </c>
      <c r="AH259" s="143" t="e">
        <f t="shared" ca="1" si="305"/>
        <v>#NAME?</v>
      </c>
      <c r="AI259" s="128"/>
      <c r="AJ259" s="142" t="e">
        <f t="shared" ca="1" si="299"/>
        <v>#NAME?</v>
      </c>
      <c r="AK259" s="142" t="e">
        <f ca="1">GetCtData("PKAMOUNT","AMOUNT",$AK$11:$AK$18,$B259:$D259,AK$19:AK$20,"#")</f>
        <v>#NAME?</v>
      </c>
      <c r="AL259" s="143" t="e">
        <f t="shared" ca="1" si="313"/>
        <v>#NAME?</v>
      </c>
      <c r="AM259" s="122"/>
      <c r="AN259" s="142" t="e">
        <f ca="1">GetCtData("PKAMOUNT","AMOUNT",$AN$11:$AN$18,$B259:$D259,AN$19:AN$20,"#0")</f>
        <v>#NAME?</v>
      </c>
      <c r="AO259" s="142" t="e">
        <f ca="1">GetCtData("PKAMOUNT","AMOUNT",$AO$11:$AO$18,$B259:$D259,AO$19:AO$20,"#0")</f>
        <v>#NAME?</v>
      </c>
      <c r="AP259" s="122"/>
      <c r="AQ259" s="142" t="e">
        <f t="shared" ca="1" si="314"/>
        <v>#NAME?</v>
      </c>
      <c r="AR259" s="142" t="e">
        <f t="shared" ca="1" si="315"/>
        <v>#NAME?</v>
      </c>
      <c r="AS259" s="142"/>
      <c r="AT259" s="142" t="e">
        <f ca="1">GetCtData("PKAMOUNT","AMOUNT",AT$11:AT$18,$B259:$D259,AT$19:AT$20,"#0")</f>
        <v>#NAME?</v>
      </c>
      <c r="AU259" s="142" t="e">
        <f t="shared" ca="1" si="316"/>
        <v>#NAME?</v>
      </c>
      <c r="AV259" s="72"/>
      <c r="AW259" s="72" t="e">
        <f t="shared" ca="1" si="317"/>
        <v>#NAME?</v>
      </c>
      <c r="AX259" s="72" t="e">
        <f t="shared" ca="1" si="318"/>
        <v>#NAME?</v>
      </c>
      <c r="AY259" s="72"/>
      <c r="AZ259" s="72" t="e">
        <f t="shared" ca="1" si="319"/>
        <v>#NAME?</v>
      </c>
      <c r="BA259" s="72" t="e">
        <f ca="1">AZ259-AD259</f>
        <v>#NAME?</v>
      </c>
      <c r="BB259" s="72"/>
      <c r="BC259" s="72" t="e">
        <f t="shared" ca="1" si="320"/>
        <v>#NAME?</v>
      </c>
      <c r="BD259" s="72" t="e">
        <f t="shared" ca="1" si="300"/>
        <v>#NAME?</v>
      </c>
      <c r="BE259" s="72"/>
      <c r="BF259" s="72" t="e">
        <f t="shared" ca="1" si="321"/>
        <v>#NAME?</v>
      </c>
      <c r="BG259" s="72" t="e">
        <f t="shared" ca="1" si="301"/>
        <v>#NAME?</v>
      </c>
      <c r="BH259" s="72"/>
      <c r="BI259" s="72" t="e">
        <f t="shared" ca="1" si="322"/>
        <v>#NAME?</v>
      </c>
      <c r="BJ259" s="72" t="e">
        <f t="shared" ca="1" si="302"/>
        <v>#NAME?</v>
      </c>
      <c r="BK259" s="72"/>
      <c r="BL259" s="72" t="e">
        <f ca="1">GetCtData("COAMOUNT","AMOUNT",$AK$11:$AK$17,$B259,BL$19,BL$20,"#")</f>
        <v>#NAME?</v>
      </c>
      <c r="BM259" s="72" t="e">
        <f t="shared" ca="1" si="323"/>
        <v>#NAME?</v>
      </c>
      <c r="BN259" s="72"/>
      <c r="BO259" s="72" t="e">
        <f ca="1">GetCtData("COAMOUNT","AMOUNT",$AK$11:$AK$17,$B259,BO$19,BO$20,"#")</f>
        <v>#NAME?</v>
      </c>
      <c r="BP259" s="72" t="e">
        <f t="shared" ca="1" si="304"/>
        <v>#NAME?</v>
      </c>
      <c r="BQ259" s="72"/>
      <c r="BR259" s="72" t="e">
        <f ca="1">GetCtData("COAMOUNT","AMOUNT",$AK$11:$AK$17,$B259,BR$19,BR$20,"#")</f>
        <v>#NAME?</v>
      </c>
      <c r="BS259" s="72" t="e">
        <f ca="1">#REF!-BR259</f>
        <v>#REF!</v>
      </c>
    </row>
    <row r="260" spans="1:71" outlineLevel="1" x14ac:dyDescent="0.2">
      <c r="A260" s="82" t="s">
        <v>243</v>
      </c>
      <c r="B260" s="82" t="s">
        <v>444</v>
      </c>
      <c r="D260" s="82" t="s">
        <v>172</v>
      </c>
      <c r="E260" s="74" t="e">
        <f ca="1">GetCtLabel(B260,"CURINIT(AC)!LDESC","#Movement in FV of Financial Instruments of Subsidiaries - WPP use only")</f>
        <v>#NAME?</v>
      </c>
      <c r="F260" s="130"/>
      <c r="G260" s="131"/>
      <c r="H260" s="130"/>
      <c r="I260" s="72"/>
      <c r="J260" s="72"/>
      <c r="K260" s="72"/>
      <c r="L260" s="72"/>
      <c r="M260" s="72"/>
      <c r="N260" s="130"/>
      <c r="O260" s="140">
        <f t="shared" si="308"/>
        <v>0</v>
      </c>
      <c r="P260" s="141">
        <f t="shared" si="267"/>
        <v>0</v>
      </c>
      <c r="Q260" s="141">
        <f t="shared" si="267"/>
        <v>0</v>
      </c>
      <c r="R260" s="133" t="e">
        <f t="shared" ca="1" si="309"/>
        <v>#NAME?</v>
      </c>
      <c r="S260" s="133" t="e">
        <f t="shared" ca="1" si="310"/>
        <v>#NAME?</v>
      </c>
      <c r="T260" s="134" t="e">
        <f t="shared" ca="1" si="311"/>
        <v>#NAME?</v>
      </c>
      <c r="U260" s="134" t="e">
        <f t="shared" ca="1" si="312"/>
        <v>#NAME?</v>
      </c>
      <c r="V260" s="144"/>
      <c r="W260" s="142" t="e">
        <f ca="1">GetCtData("COAMOUNT","AMOUNT",$B$11:$B$18,$B260,W$20,"#")</f>
        <v>#NAME?</v>
      </c>
      <c r="X260" s="142" t="e">
        <f ca="1">G260-W260</f>
        <v>#NAME?</v>
      </c>
      <c r="Y260" s="122"/>
      <c r="Z260" s="135"/>
      <c r="AA260" s="135"/>
      <c r="AB260" s="135">
        <f t="shared" si="244"/>
        <v>0</v>
      </c>
      <c r="AC260" s="135">
        <f t="shared" si="307"/>
        <v>0</v>
      </c>
      <c r="AD260" s="122"/>
      <c r="AE260" s="142" t="e">
        <f ca="1">GetCtData("PKAMOUNT","AMOUNT",$AE$11:$AE$18,$B260:$D260,AE$19:AE$20,"#0")</f>
        <v>#NAME?</v>
      </c>
      <c r="AF260" s="142"/>
      <c r="AG260" s="142" t="e">
        <f t="shared" ca="1" si="324"/>
        <v>#NAME?</v>
      </c>
      <c r="AH260" s="143" t="e">
        <f t="shared" ca="1" si="305"/>
        <v>#NAME?</v>
      </c>
      <c r="AI260" s="128"/>
      <c r="AJ260" s="142" t="e">
        <f t="shared" ca="1" si="299"/>
        <v>#NAME?</v>
      </c>
      <c r="AK260" s="142" t="e">
        <f ca="1">GetCtData("PKAMOUNT","AMOUNT",$AK$11:$AK$18,$B260:$D260,AK$19:AK$20,"#")</f>
        <v>#NAME?</v>
      </c>
      <c r="AL260" s="143" t="e">
        <f t="shared" ca="1" si="313"/>
        <v>#NAME?</v>
      </c>
      <c r="AM260" s="122"/>
      <c r="AN260" s="142" t="e">
        <f ca="1">GetCtData("PKAMOUNT","AMOUNT",$AN$11:$AN$18,$B260:$D260,AN$19:AN$20,"#0")</f>
        <v>#NAME?</v>
      </c>
      <c r="AO260" s="142" t="e">
        <f ca="1">GetCtData("PKAMOUNT","AMOUNT",$AO$11:$AO$18,$B260:$D260,AO$19:AO$20,"#0")</f>
        <v>#NAME?</v>
      </c>
      <c r="AP260" s="122"/>
      <c r="AQ260" s="142" t="e">
        <f t="shared" ca="1" si="314"/>
        <v>#NAME?</v>
      </c>
      <c r="AR260" s="142" t="e">
        <f t="shared" ca="1" si="315"/>
        <v>#NAME?</v>
      </c>
      <c r="AS260" s="142"/>
      <c r="AT260" s="142" t="e">
        <f ca="1">GetCtData("PKAMOUNT","AMOUNT",AT$11:AT$18,$B260:$D260,AT$19:AT$20,"#0")</f>
        <v>#NAME?</v>
      </c>
      <c r="AU260" s="142" t="e">
        <f t="shared" ca="1" si="316"/>
        <v>#NAME?</v>
      </c>
      <c r="AV260" s="72"/>
      <c r="AW260" s="72" t="e">
        <f t="shared" ca="1" si="317"/>
        <v>#NAME?</v>
      </c>
      <c r="AX260" s="72" t="e">
        <f t="shared" ca="1" si="318"/>
        <v>#NAME?</v>
      </c>
      <c r="AY260" s="72"/>
      <c r="AZ260" s="72" t="e">
        <f t="shared" ca="1" si="319"/>
        <v>#NAME?</v>
      </c>
      <c r="BA260" s="72" t="e">
        <f ca="1">AZ260-AD260</f>
        <v>#NAME?</v>
      </c>
      <c r="BB260" s="72"/>
      <c r="BC260" s="72" t="e">
        <f t="shared" ca="1" si="320"/>
        <v>#NAME?</v>
      </c>
      <c r="BD260" s="72" t="e">
        <f t="shared" ca="1" si="300"/>
        <v>#NAME?</v>
      </c>
      <c r="BE260" s="72"/>
      <c r="BF260" s="72" t="e">
        <f t="shared" ca="1" si="321"/>
        <v>#NAME?</v>
      </c>
      <c r="BG260" s="72" t="e">
        <f t="shared" ca="1" si="301"/>
        <v>#NAME?</v>
      </c>
      <c r="BH260" s="72"/>
      <c r="BI260" s="72" t="e">
        <f t="shared" ca="1" si="322"/>
        <v>#NAME?</v>
      </c>
      <c r="BJ260" s="72" t="e">
        <f t="shared" ca="1" si="302"/>
        <v>#NAME?</v>
      </c>
      <c r="BK260" s="72"/>
      <c r="BL260" s="72" t="e">
        <f ca="1">GetCtData("COAMOUNT","AMOUNT",$AK$11:$AK$17,$B260,BL$19,BL$20,"#")</f>
        <v>#NAME?</v>
      </c>
      <c r="BM260" s="72" t="e">
        <f t="shared" ca="1" si="323"/>
        <v>#NAME?</v>
      </c>
      <c r="BN260" s="72"/>
      <c r="BO260" s="72" t="e">
        <f ca="1">GetCtData("COAMOUNT","AMOUNT",$AK$11:$AK$17,$B260,BO$19,BO$20,"#")</f>
        <v>#NAME?</v>
      </c>
      <c r="BP260" s="72" t="e">
        <f t="shared" ca="1" si="304"/>
        <v>#NAME?</v>
      </c>
      <c r="BQ260" s="72"/>
      <c r="BR260" s="72" t="e">
        <f ca="1">GetCtData("COAMOUNT","AMOUNT",$AK$11:$AK$17,$B260,BR$19,BR$20,"#")</f>
        <v>#NAME?</v>
      </c>
      <c r="BS260" s="72" t="e">
        <f ca="1">#REF!-BR260</f>
        <v>#REF!</v>
      </c>
    </row>
    <row r="261" spans="1:71" outlineLevel="1" x14ac:dyDescent="0.2">
      <c r="A261" s="82" t="s">
        <v>243</v>
      </c>
      <c r="B261" s="82" t="s">
        <v>445</v>
      </c>
      <c r="D261" s="82" t="s">
        <v>172</v>
      </c>
      <c r="E261" s="74" t="e">
        <f ca="1">GetCtLabel(B261,"CURINIT(AC)!LDESC","#Interest (Expense) of Associates")</f>
        <v>#NAME?</v>
      </c>
      <c r="F261" s="130"/>
      <c r="G261" s="131"/>
      <c r="H261" s="130"/>
      <c r="I261" s="72"/>
      <c r="J261" s="72"/>
      <c r="K261" s="72"/>
      <c r="L261" s="72"/>
      <c r="M261" s="72"/>
      <c r="N261" s="130"/>
      <c r="O261" s="140">
        <f t="shared" si="308"/>
        <v>0</v>
      </c>
      <c r="P261" s="141">
        <f t="shared" si="267"/>
        <v>0</v>
      </c>
      <c r="Q261" s="141">
        <f t="shared" si="267"/>
        <v>0</v>
      </c>
      <c r="R261" s="133" t="e">
        <f t="shared" ca="1" si="309"/>
        <v>#NAME?</v>
      </c>
      <c r="S261" s="133" t="e">
        <f t="shared" ca="1" si="310"/>
        <v>#NAME?</v>
      </c>
      <c r="T261" s="134" t="e">
        <f t="shared" ca="1" si="311"/>
        <v>#NAME?</v>
      </c>
      <c r="U261" s="134" t="e">
        <f t="shared" ca="1" si="312"/>
        <v>#NAME?</v>
      </c>
      <c r="V261" s="144"/>
      <c r="W261" s="142" t="e">
        <f ca="1">GetCtData("COAMOUNT","AMOUNT",$B$11:$B$18,$B261,W$20,"#")</f>
        <v>#NAME?</v>
      </c>
      <c r="X261" s="142" t="e">
        <f ca="1">G261-W261</f>
        <v>#NAME?</v>
      </c>
      <c r="Y261" s="122"/>
      <c r="Z261" s="135"/>
      <c r="AA261" s="135"/>
      <c r="AB261" s="135">
        <f t="shared" si="244"/>
        <v>0</v>
      </c>
      <c r="AC261" s="135">
        <f t="shared" si="307"/>
        <v>0</v>
      </c>
      <c r="AD261" s="122"/>
      <c r="AE261" s="142" t="e">
        <f ca="1">GetCtData("PKAMOUNT","AMOUNT",$AE$11:$AE$18,$B261:$D261,AE$19:AE$20,"#0")</f>
        <v>#NAME?</v>
      </c>
      <c r="AF261" s="142"/>
      <c r="AG261" s="142" t="e">
        <f t="shared" ca="1" si="324"/>
        <v>#NAME?</v>
      </c>
      <c r="AH261" s="143" t="e">
        <f t="shared" ca="1" si="305"/>
        <v>#NAME?</v>
      </c>
      <c r="AI261" s="128"/>
      <c r="AJ261" s="142" t="e">
        <f t="shared" ca="1" si="299"/>
        <v>#NAME?</v>
      </c>
      <c r="AK261" s="142" t="e">
        <f ca="1">GetCtData("PKAMOUNT","AMOUNT",$AK$11:$AK$18,$B261:$D261,AK$19:AK$20,"#")</f>
        <v>#NAME?</v>
      </c>
      <c r="AL261" s="143" t="e">
        <f t="shared" ca="1" si="313"/>
        <v>#NAME?</v>
      </c>
      <c r="AM261" s="122"/>
      <c r="AN261" s="142" t="e">
        <f ca="1">GetCtData("PKAMOUNT","AMOUNT",$AN$11:$AN$18,$B261:$D261,AN$19:AN$20,"#0")</f>
        <v>#NAME?</v>
      </c>
      <c r="AO261" s="142" t="e">
        <f ca="1">GetCtData("PKAMOUNT","AMOUNT",$AO$11:$AO$18,$B261:$D261,AO$19:AO$20,"#0")</f>
        <v>#NAME?</v>
      </c>
      <c r="AP261" s="122"/>
      <c r="AQ261" s="142" t="e">
        <f t="shared" ca="1" si="314"/>
        <v>#NAME?</v>
      </c>
      <c r="AR261" s="142" t="e">
        <f t="shared" ca="1" si="315"/>
        <v>#NAME?</v>
      </c>
      <c r="AS261" s="142"/>
      <c r="AT261" s="142" t="e">
        <f ca="1">GetCtData("PKAMOUNT","AMOUNT",AT$11:AT$18,$B261:$D261,AT$19:AT$20,"#0")</f>
        <v>#NAME?</v>
      </c>
      <c r="AU261" s="142" t="e">
        <f t="shared" ca="1" si="316"/>
        <v>#NAME?</v>
      </c>
      <c r="AV261" s="72"/>
      <c r="AW261" s="72" t="e">
        <f t="shared" ca="1" si="317"/>
        <v>#NAME?</v>
      </c>
      <c r="AX261" s="72" t="e">
        <f t="shared" ca="1" si="318"/>
        <v>#NAME?</v>
      </c>
      <c r="AY261" s="72"/>
      <c r="AZ261" s="72" t="e">
        <f t="shared" ca="1" si="319"/>
        <v>#NAME?</v>
      </c>
      <c r="BA261" s="72" t="e">
        <f ca="1">AZ261-AD261</f>
        <v>#NAME?</v>
      </c>
      <c r="BB261" s="72"/>
      <c r="BC261" s="72" t="e">
        <f t="shared" ca="1" si="320"/>
        <v>#NAME?</v>
      </c>
      <c r="BD261" s="72" t="e">
        <f t="shared" ca="1" si="300"/>
        <v>#NAME?</v>
      </c>
      <c r="BE261" s="72"/>
      <c r="BF261" s="72" t="e">
        <f t="shared" ca="1" si="321"/>
        <v>#NAME?</v>
      </c>
      <c r="BG261" s="72" t="e">
        <f t="shared" ca="1" si="301"/>
        <v>#NAME?</v>
      </c>
      <c r="BH261" s="72"/>
      <c r="BI261" s="72" t="e">
        <f t="shared" ca="1" si="322"/>
        <v>#NAME?</v>
      </c>
      <c r="BJ261" s="72" t="e">
        <f t="shared" ca="1" si="302"/>
        <v>#NAME?</v>
      </c>
      <c r="BK261" s="72"/>
      <c r="BL261" s="72" t="e">
        <f ca="1">GetCtData("COAMOUNT","AMOUNT",$AK$11:$AK$17,$B261,BL$19,BL$20,"#")</f>
        <v>#NAME?</v>
      </c>
      <c r="BM261" s="72" t="e">
        <f t="shared" ca="1" si="323"/>
        <v>#NAME?</v>
      </c>
      <c r="BN261" s="72"/>
      <c r="BO261" s="72" t="e">
        <f ca="1">GetCtData("COAMOUNT","AMOUNT",$AK$11:$AK$17,$B261,BO$19,BO$20,"#")</f>
        <v>#NAME?</v>
      </c>
      <c r="BP261" s="72" t="e">
        <f t="shared" ca="1" si="304"/>
        <v>#NAME?</v>
      </c>
      <c r="BQ261" s="72"/>
      <c r="BR261" s="72" t="e">
        <f ca="1">GetCtData("COAMOUNT","AMOUNT",$AK$11:$AK$17,$B261,BR$19,BR$20,"#")</f>
        <v>#NAME?</v>
      </c>
      <c r="BS261" s="72" t="e">
        <f ca="1">#REF!-BR261</f>
        <v>#REF!</v>
      </c>
    </row>
    <row r="262" spans="1:71" x14ac:dyDescent="0.2">
      <c r="E262" s="74"/>
      <c r="F262" s="130"/>
      <c r="G262" s="131"/>
      <c r="H262" s="130"/>
      <c r="I262" s="72"/>
      <c r="J262" s="72"/>
      <c r="K262" s="72"/>
      <c r="L262" s="72"/>
      <c r="M262" s="72"/>
      <c r="N262" s="130"/>
      <c r="O262" s="121"/>
      <c r="P262" s="141">
        <f t="shared" si="267"/>
        <v>0</v>
      </c>
      <c r="Q262" s="141">
        <f t="shared" si="267"/>
        <v>0</v>
      </c>
      <c r="R262" s="122"/>
      <c r="S262" s="122"/>
      <c r="T262" s="122" t="e">
        <f ca="1">PutCtData("PKAMOUNT","AMOUNT",$T$11:$T$15,$B262,$T$18,$T$17,P262)</f>
        <v>#NAME?</v>
      </c>
      <c r="U262" s="122" t="e">
        <f ca="1">PutCtData("PKAMOUNT","AMOUNT",$U$11:$U$15,$B262,$U$18,$U$17,L262)</f>
        <v>#NAME?</v>
      </c>
      <c r="V262" s="144"/>
      <c r="W262" s="122"/>
      <c r="X262" s="122"/>
      <c r="Y262" s="122"/>
      <c r="Z262" s="135"/>
      <c r="AA262" s="135"/>
      <c r="AB262" s="135">
        <f t="shared" si="244"/>
        <v>0</v>
      </c>
      <c r="AC262" s="135">
        <f t="shared" si="307"/>
        <v>0</v>
      </c>
      <c r="AD262" s="122"/>
      <c r="AE262" s="122"/>
      <c r="AF262" s="122"/>
      <c r="AG262" s="122">
        <f t="shared" si="324"/>
        <v>0</v>
      </c>
      <c r="AH262" s="136">
        <f t="shared" si="305"/>
        <v>0</v>
      </c>
      <c r="AI262" s="128"/>
      <c r="AJ262" s="122">
        <f t="shared" si="299"/>
        <v>0</v>
      </c>
      <c r="AK262" s="122"/>
      <c r="AL262" s="136"/>
      <c r="AM262" s="122"/>
      <c r="AN262" s="122"/>
      <c r="AO262" s="122"/>
      <c r="AP262" s="122"/>
      <c r="AQ262" s="122"/>
      <c r="AR262" s="122"/>
      <c r="AS262" s="122"/>
      <c r="AT262" s="122"/>
      <c r="AU262" s="122"/>
      <c r="AV262" s="130"/>
      <c r="AW262" s="130"/>
      <c r="AX262" s="130"/>
      <c r="AY262" s="130"/>
      <c r="AZ262" s="130"/>
      <c r="BA262" s="130"/>
      <c r="BB262" s="130"/>
      <c r="BC262" s="130"/>
      <c r="BD262" s="130">
        <f t="shared" si="300"/>
        <v>0</v>
      </c>
      <c r="BE262" s="130"/>
      <c r="BF262" s="130"/>
      <c r="BG262" s="130">
        <f t="shared" si="301"/>
        <v>0</v>
      </c>
      <c r="BH262" s="130"/>
      <c r="BI262" s="130"/>
      <c r="BJ262" s="130">
        <f t="shared" si="302"/>
        <v>0</v>
      </c>
      <c r="BK262" s="130"/>
      <c r="BL262" s="130"/>
      <c r="BM262" s="130">
        <f t="shared" si="323"/>
        <v>0</v>
      </c>
      <c r="BN262" s="130"/>
      <c r="BO262" s="130"/>
      <c r="BP262" s="130">
        <f t="shared" si="304"/>
        <v>0</v>
      </c>
      <c r="BQ262" s="130"/>
      <c r="BR262" s="130"/>
      <c r="BS262" s="130" t="e">
        <f>#REF!-BR262</f>
        <v>#REF!</v>
      </c>
    </row>
    <row r="263" spans="1:71" s="163" customFormat="1" x14ac:dyDescent="0.2">
      <c r="A263" s="146"/>
      <c r="B263" s="146" t="s">
        <v>446</v>
      </c>
      <c r="C263" s="146"/>
      <c r="D263" s="146" t="s">
        <v>250</v>
      </c>
      <c r="E263" s="147" t="e">
        <f ca="1">GetCtLabel(B263,"CURINIT(AC)!LDESC","#TOTAL INTEREST (EXPENSE)")</f>
        <v>#NAME?</v>
      </c>
      <c r="F263" s="148">
        <f t="shared" ref="F263:O263" si="325">SUM(F254:F261)</f>
        <v>-28</v>
      </c>
      <c r="G263" s="148">
        <f t="shared" si="325"/>
        <v>0</v>
      </c>
      <c r="H263" s="148"/>
      <c r="I263" s="148">
        <f t="shared" si="325"/>
        <v>0</v>
      </c>
      <c r="J263" s="148">
        <f t="shared" si="325"/>
        <v>0</v>
      </c>
      <c r="K263" s="148">
        <f t="shared" si="325"/>
        <v>0</v>
      </c>
      <c r="L263" s="148">
        <f>SUM(L254:L261)</f>
        <v>0</v>
      </c>
      <c r="M263" s="148">
        <f t="shared" si="325"/>
        <v>0</v>
      </c>
      <c r="N263" s="148"/>
      <c r="O263" s="149">
        <f t="shared" si="325"/>
        <v>-28</v>
      </c>
      <c r="P263" s="123">
        <f t="shared" si="267"/>
        <v>0</v>
      </c>
      <c r="Q263" s="123">
        <f t="shared" si="267"/>
        <v>0</v>
      </c>
      <c r="R263" s="148" t="e">
        <f ca="1">SUM(R254:R261)</f>
        <v>#NAME?</v>
      </c>
      <c r="S263" s="148" t="e">
        <f ca="1">SUM(S254:S261)</f>
        <v>#NAME?</v>
      </c>
      <c r="T263" s="148" t="e">
        <f ca="1">SUM(T254:T261)</f>
        <v>#NAME?</v>
      </c>
      <c r="U263" s="148" t="e">
        <f ca="1">SUM(U254:U261)</f>
        <v>#NAME?</v>
      </c>
      <c r="V263" s="144"/>
      <c r="W263" s="148" t="e">
        <f ca="1">SUM(W254:W261)</f>
        <v>#NAME?</v>
      </c>
      <c r="X263" s="148" t="e">
        <f ca="1">SUM(X254:X261)</f>
        <v>#NAME?</v>
      </c>
      <c r="Y263" s="136"/>
      <c r="Z263" s="150">
        <f>SUM(Z254:Z261)</f>
        <v>-13</v>
      </c>
      <c r="AA263" s="150">
        <f>SUM(AA254:AA261)</f>
        <v>0</v>
      </c>
      <c r="AB263" s="150">
        <f t="shared" si="244"/>
        <v>-13</v>
      </c>
      <c r="AC263" s="150">
        <f>SUM(AC254:AC261)</f>
        <v>-18</v>
      </c>
      <c r="AD263" s="136"/>
      <c r="AE263" s="148" t="e">
        <f ca="1">GetCtData("PKAMOUNT","AMOUNT",$AE$11:$AE$18,$B263:$D263,AE$19:AE$20,"#-30")</f>
        <v>#NAME?</v>
      </c>
      <c r="AF263" s="148">
        <f>SUM(AF254:AF261)</f>
        <v>0</v>
      </c>
      <c r="AG263" s="148" t="e">
        <f t="shared" ca="1" si="324"/>
        <v>#NAME?</v>
      </c>
      <c r="AH263" s="148" t="e">
        <f t="shared" ca="1" si="305"/>
        <v>#NAME?</v>
      </c>
      <c r="AI263" s="128"/>
      <c r="AJ263" s="148" t="e">
        <f t="shared" ca="1" si="299"/>
        <v>#NAME?</v>
      </c>
      <c r="AK263" s="148" t="e">
        <f ca="1">GetCtData("PKAMOUNT","AMOUNT",$AK$11:$AK$18,$B263:$D263,AK$19:AK$20,"#-4")</f>
        <v>#NAME?</v>
      </c>
      <c r="AL263" s="148" t="e">
        <f ca="1">(O263-AO263)-AK263</f>
        <v>#NAME?</v>
      </c>
      <c r="AM263" s="136"/>
      <c r="AN263" s="148" t="e">
        <f ca="1">GetCtData("PKAMOUNT","AMOUNT",$AN$11:$AN$18,$B263:$D263,AN$19:AN$20,"#-10")</f>
        <v>#NAME?</v>
      </c>
      <c r="AO263" s="148" t="e">
        <f ca="1">GetCtData("PKAMOUNT","AMOUNT",$AO$11:$AO$18,$B263:$D263,AO$19:AO$20,"#-26")</f>
        <v>#NAME?</v>
      </c>
      <c r="AP263" s="136"/>
      <c r="AQ263" s="148" t="e">
        <f ca="1">GetCtData("PKAMOUNT","AMOUNT",$AQ$11:$AQ$18,$B263:$D263,AQ$19:AQ$20,"#0")</f>
        <v>#NAME?</v>
      </c>
      <c r="AR263" s="148" t="e">
        <f ca="1">O263-AQ263</f>
        <v>#NAME?</v>
      </c>
      <c r="AS263" s="148"/>
      <c r="AT263" s="148" t="e">
        <f ca="1">GetCtData("PKAMOUNT","AMOUNT",AT$11:AT$18,$B263:$D263,AT$19:AT$20,"#-30")</f>
        <v>#NAME?</v>
      </c>
      <c r="AU263" s="148" t="e">
        <f ca="1">O263-AT263</f>
        <v>#NAME?</v>
      </c>
      <c r="AV263" s="148"/>
      <c r="AW263" s="148" t="e">
        <f ca="1">GetCtData("PKAMOUNT","AMOUNT",AW$11:AW$18,$B263:$D263,AW$19:AW$20,"#")</f>
        <v>#NAME?</v>
      </c>
      <c r="AX263" s="148" t="e">
        <f ca="1">O263-AW263</f>
        <v>#NAME?</v>
      </c>
      <c r="AY263" s="148"/>
      <c r="AZ263" s="148" t="e">
        <f ca="1">SUM(AZ254:AZ261)</f>
        <v>#NAME?</v>
      </c>
      <c r="BA263" s="148" t="e">
        <f ca="1">SUM(BA254:BA261)</f>
        <v>#NAME?</v>
      </c>
      <c r="BB263" s="148"/>
      <c r="BC263" s="148" t="e">
        <f ca="1">SUM(BC254:BC261)</f>
        <v>#NAME?</v>
      </c>
      <c r="BD263" s="148" t="e">
        <f t="shared" ca="1" si="300"/>
        <v>#NAME?</v>
      </c>
      <c r="BE263" s="148"/>
      <c r="BF263" s="148" t="e">
        <f ca="1">SUM(BF254:BF261)</f>
        <v>#NAME?</v>
      </c>
      <c r="BG263" s="148" t="e">
        <f t="shared" ca="1" si="301"/>
        <v>#NAME?</v>
      </c>
      <c r="BH263" s="148"/>
      <c r="BI263" s="148" t="e">
        <f ca="1">SUM(BI254:BI261)</f>
        <v>#NAME?</v>
      </c>
      <c r="BJ263" s="148" t="e">
        <f t="shared" ca="1" si="302"/>
        <v>#NAME?</v>
      </c>
      <c r="BK263" s="148"/>
      <c r="BL263" s="148" t="e">
        <f ca="1">SUM(BL254:BL261)</f>
        <v>#NAME?</v>
      </c>
      <c r="BM263" s="148" t="e">
        <f t="shared" ca="1" si="323"/>
        <v>#NAME?</v>
      </c>
      <c r="BN263" s="148"/>
      <c r="BO263" s="148" t="e">
        <f ca="1">SUM(BO254:BO261)</f>
        <v>#NAME?</v>
      </c>
      <c r="BP263" s="148" t="e">
        <f t="shared" ca="1" si="304"/>
        <v>#NAME?</v>
      </c>
      <c r="BQ263" s="148"/>
      <c r="BR263" s="148" t="e">
        <f ca="1">SUM(BR254:BR261)</f>
        <v>#NAME?</v>
      </c>
      <c r="BS263" s="148" t="e">
        <f ca="1">#REF!-BR263</f>
        <v>#REF!</v>
      </c>
    </row>
    <row r="264" spans="1:71" x14ac:dyDescent="0.2">
      <c r="E264" s="74"/>
      <c r="F264" s="130"/>
      <c r="G264" s="131"/>
      <c r="H264" s="130"/>
      <c r="I264" s="72"/>
      <c r="J264" s="72"/>
      <c r="K264" s="72"/>
      <c r="L264" s="72"/>
      <c r="M264" s="72"/>
      <c r="N264" s="130"/>
      <c r="O264" s="121"/>
      <c r="P264" s="141">
        <f t="shared" si="267"/>
        <v>0</v>
      </c>
      <c r="Q264" s="141">
        <f t="shared" si="267"/>
        <v>0</v>
      </c>
      <c r="R264" s="122"/>
      <c r="S264" s="122"/>
      <c r="T264" s="122" t="e">
        <f ca="1">PutCtData("PKAMOUNT","AMOUNT",$T$11:$T$15,$B264,$T$18,$T$17,P264)</f>
        <v>#NAME?</v>
      </c>
      <c r="U264" s="122" t="e">
        <f ca="1">PutCtData("PKAMOUNT","AMOUNT",$U$11:$U$15,$B264,$U$18,$U$17,L264)</f>
        <v>#NAME?</v>
      </c>
      <c r="V264" s="144"/>
      <c r="W264" s="122"/>
      <c r="X264" s="122"/>
      <c r="Y264" s="122"/>
      <c r="Z264" s="135"/>
      <c r="AA264" s="135"/>
      <c r="AB264" s="135">
        <f t="shared" si="244"/>
        <v>0</v>
      </c>
      <c r="AC264" s="135"/>
      <c r="AD264" s="122"/>
      <c r="AE264" s="156" t="e">
        <f ca="1">AE263-SUMIF($A254:AE261,"yes",AE254:AE261)</f>
        <v>#NAME?</v>
      </c>
      <c r="AF264" s="156"/>
      <c r="AG264" s="156" t="e">
        <f t="shared" ca="1" si="324"/>
        <v>#NAME?</v>
      </c>
      <c r="AH264" s="164" t="e">
        <f ca="1">AH263-SUMIF($A254:AH261,"yes",AH254:AH261)</f>
        <v>#NAME?</v>
      </c>
      <c r="AI264" s="128"/>
      <c r="AJ264" s="122">
        <f t="shared" si="299"/>
        <v>0</v>
      </c>
      <c r="AK264" s="122"/>
      <c r="AL264" s="136"/>
      <c r="AM264" s="122"/>
      <c r="AN264" s="122"/>
      <c r="AO264" s="122"/>
      <c r="AP264" s="122"/>
      <c r="AQ264" s="122"/>
      <c r="AR264" s="122"/>
      <c r="AS264" s="122"/>
      <c r="AT264" s="122"/>
      <c r="AU264" s="122"/>
      <c r="AV264" s="130"/>
      <c r="AW264" s="130"/>
      <c r="AX264" s="130"/>
      <c r="AY264" s="130"/>
      <c r="AZ264" s="130"/>
      <c r="BA264" s="130"/>
      <c r="BB264" s="130"/>
      <c r="BC264" s="130"/>
      <c r="BD264" s="130">
        <f t="shared" si="300"/>
        <v>0</v>
      </c>
      <c r="BE264" s="130"/>
      <c r="BF264" s="130"/>
      <c r="BG264" s="130">
        <f t="shared" si="301"/>
        <v>0</v>
      </c>
      <c r="BH264" s="130"/>
      <c r="BI264" s="130"/>
      <c r="BJ264" s="130">
        <f t="shared" si="302"/>
        <v>0</v>
      </c>
      <c r="BK264" s="130"/>
      <c r="BL264" s="130"/>
      <c r="BM264" s="130">
        <f>J264-BL264</f>
        <v>0</v>
      </c>
      <c r="BN264" s="130"/>
      <c r="BO264" s="130"/>
      <c r="BP264" s="130">
        <f t="shared" si="304"/>
        <v>0</v>
      </c>
      <c r="BQ264" s="130"/>
      <c r="BR264" s="130"/>
      <c r="BS264" s="130" t="e">
        <f>#REF!-BR264</f>
        <v>#REF!</v>
      </c>
    </row>
    <row r="265" spans="1:71" s="152" customFormat="1" x14ac:dyDescent="0.2">
      <c r="A265" s="146"/>
      <c r="B265" s="146" t="s">
        <v>447</v>
      </c>
      <c r="C265" s="146"/>
      <c r="D265" s="146" t="s">
        <v>250</v>
      </c>
      <c r="E265" s="147" t="e">
        <f ca="1">GetCtLabel(B265,"CURINIT(AC)!LDESC","#PROFIT/(LOSS) BEFORE TAX")</f>
        <v>#NAME?</v>
      </c>
      <c r="F265" s="148">
        <f ca="1">F244+F252+F263</f>
        <v>-128.15300000000025</v>
      </c>
      <c r="G265" s="148">
        <f t="shared" ref="G265:O265" ca="1" si="326">G244+G252+G263</f>
        <v>0</v>
      </c>
      <c r="H265" s="148">
        <f t="shared" si="326"/>
        <v>0</v>
      </c>
      <c r="I265" s="148">
        <f t="shared" ca="1" si="326"/>
        <v>0</v>
      </c>
      <c r="J265" s="148">
        <f t="shared" ca="1" si="326"/>
        <v>0</v>
      </c>
      <c r="K265" s="148">
        <f t="shared" ca="1" si="326"/>
        <v>-758.2489999999998</v>
      </c>
      <c r="L265" s="148">
        <f ca="1">L244+L252+L263</f>
        <v>52</v>
      </c>
      <c r="M265" s="148">
        <f t="shared" ca="1" si="326"/>
        <v>-486.61799999999994</v>
      </c>
      <c r="N265" s="148"/>
      <c r="O265" s="149">
        <f t="shared" ca="1" si="326"/>
        <v>-1321.0200000000004</v>
      </c>
      <c r="P265" s="123">
        <f t="shared" ca="1" si="267"/>
        <v>758.2489999999998</v>
      </c>
      <c r="Q265" s="123">
        <f t="shared" ca="1" si="267"/>
        <v>-52</v>
      </c>
      <c r="R265" s="148" t="e">
        <f ca="1">R244+R252+R263</f>
        <v>#NAME?</v>
      </c>
      <c r="S265" s="197" t="e">
        <f ca="1">S244+S252+S263</f>
        <v>#NAME?</v>
      </c>
      <c r="T265" s="197" t="e">
        <f ca="1">T244+T252+T263</f>
        <v>#NAME?</v>
      </c>
      <c r="U265" s="148" t="e">
        <f ca="1">U244+U252+U263</f>
        <v>#NAME?</v>
      </c>
      <c r="V265" s="144"/>
      <c r="W265" s="148" t="e">
        <f ca="1">W244+W252+W263</f>
        <v>#NAME?</v>
      </c>
      <c r="X265" s="148" t="e">
        <f ca="1">X244+X252+X263</f>
        <v>#NAME?</v>
      </c>
      <c r="Y265" s="136"/>
      <c r="Z265" s="150">
        <f>Z244+Z252+Z263</f>
        <v>-5970.3850000000002</v>
      </c>
      <c r="AA265" s="150">
        <f>AA244+AA252+AA263</f>
        <v>0</v>
      </c>
      <c r="AB265" s="150">
        <f t="shared" si="244"/>
        <v>-5970.3850000000002</v>
      </c>
      <c r="AC265" s="150">
        <f ca="1">AC244+AC252+AC263</f>
        <v>4646.3649999999998</v>
      </c>
      <c r="AD265" s="136"/>
      <c r="AE265" s="148" t="e">
        <f ca="1">GetCtData("PKAMOUNT","AMOUNT",$AE$11:$AE$18,$B265:$D265,AE$19:AE$20,"#-1338.02")</f>
        <v>#NAME?</v>
      </c>
      <c r="AF265" s="148">
        <f>AF244+AF252+AF263</f>
        <v>0</v>
      </c>
      <c r="AG265" s="148" t="e">
        <f t="shared" ca="1" si="324"/>
        <v>#NAME?</v>
      </c>
      <c r="AH265" s="148" t="e">
        <f t="shared" ca="1" si="305"/>
        <v>#NAME?</v>
      </c>
      <c r="AI265" s="151"/>
      <c r="AJ265" s="148" t="e">
        <f t="shared" ca="1" si="299"/>
        <v>#NAME?</v>
      </c>
      <c r="AK265" s="148" t="e">
        <f ca="1">GetCtData("PKAMOUNT","AMOUNT",$AK$11:$AK$18,$B265:$D265,AK$19:AK$20,"#-122.409")</f>
        <v>#NAME?</v>
      </c>
      <c r="AL265" s="148" t="e">
        <f ca="1">(O265-AO265)-AK265</f>
        <v>#NAME?</v>
      </c>
      <c r="AM265" s="136"/>
      <c r="AN265" s="148" t="e">
        <f ca="1">GetCtData("PKAMOUNT","AMOUNT",$AN$11:$AN$18,$B265:$D265,AN$19:AN$20,"#-77.42")</f>
        <v>#NAME?</v>
      </c>
      <c r="AO265" s="148" t="e">
        <f ca="1">GetCtData("PKAMOUNT","AMOUNT",$AO$11:$AO$18,$B265:$D265,AO$19:AO$20,"#-1215.611")</f>
        <v>#NAME?</v>
      </c>
      <c r="AP265" s="136"/>
      <c r="AQ265" s="148" t="e">
        <f ca="1">GetCtData("PKAMOUNT","AMOUNT",$AQ$11:$AQ$18,$B265:$D265,AQ$19:AQ$20,"#-1326.952")</f>
        <v>#NAME?</v>
      </c>
      <c r="AR265" s="148" t="e">
        <f ca="1">O265-AQ265</f>
        <v>#NAME?</v>
      </c>
      <c r="AS265" s="148"/>
      <c r="AT265" s="148" t="e">
        <f ca="1">GetCtData("PKAMOUNT","AMOUNT",AT$11:AT$18,$B265:$D265,AT$19:AT$20,"#-1466.87")</f>
        <v>#NAME?</v>
      </c>
      <c r="AU265" s="148" t="e">
        <f ca="1">O265-AT265</f>
        <v>#NAME?</v>
      </c>
      <c r="AV265" s="148"/>
      <c r="AW265" s="148" t="e">
        <f ca="1">GetCtData("PKAMOUNT","AMOUNT",AW$11:AW$18,$B265:$D265,AW$19:AW$20,"#")</f>
        <v>#NAME?</v>
      </c>
      <c r="AX265" s="148" t="e">
        <f ca="1">O265-AW265</f>
        <v>#NAME?</v>
      </c>
      <c r="AY265" s="148"/>
      <c r="AZ265" s="148" t="e">
        <f ca="1">AZ244+AZ252+AZ263</f>
        <v>#NAME?</v>
      </c>
      <c r="BA265" s="148" t="e">
        <f ca="1">BA244+BA252+BA263</f>
        <v>#NAME?</v>
      </c>
      <c r="BB265" s="148"/>
      <c r="BC265" s="148" t="e">
        <f ca="1">BC244+BC252+BC263</f>
        <v>#NAME?</v>
      </c>
      <c r="BD265" s="148" t="e">
        <f t="shared" ca="1" si="300"/>
        <v>#NAME?</v>
      </c>
      <c r="BE265" s="148"/>
      <c r="BF265" s="148" t="e">
        <f ca="1">BF244+BF252+BF263</f>
        <v>#NAME?</v>
      </c>
      <c r="BG265" s="148" t="e">
        <f t="shared" ca="1" si="301"/>
        <v>#NAME?</v>
      </c>
      <c r="BH265" s="148"/>
      <c r="BI265" s="148" t="e">
        <f ca="1">BI244+BI252+BI263</f>
        <v>#NAME?</v>
      </c>
      <c r="BJ265" s="148" t="e">
        <f t="shared" ca="1" si="302"/>
        <v>#NAME?</v>
      </c>
      <c r="BK265" s="148"/>
      <c r="BL265" s="148" t="e">
        <f ca="1">BL244+BL252+BL263</f>
        <v>#NAME?</v>
      </c>
      <c r="BM265" s="148" t="e">
        <f ca="1">O265-BL265</f>
        <v>#NAME?</v>
      </c>
      <c r="BN265" s="148"/>
      <c r="BO265" s="148" t="e">
        <f ca="1">BO244+BO252+BO263</f>
        <v>#NAME?</v>
      </c>
      <c r="BP265" s="148" t="e">
        <f t="shared" ca="1" si="304"/>
        <v>#NAME?</v>
      </c>
      <c r="BQ265" s="148"/>
      <c r="BR265" s="148" t="e">
        <f ca="1">BR244+BR252+BR263</f>
        <v>#NAME?</v>
      </c>
      <c r="BS265" s="148" t="e">
        <f ca="1">#REF!-BR265</f>
        <v>#REF!</v>
      </c>
    </row>
    <row r="266" spans="1:71" s="78" customFormat="1" ht="9.75" customHeight="1" x14ac:dyDescent="0.2">
      <c r="A266" s="82"/>
      <c r="B266" s="82"/>
      <c r="C266" s="82"/>
      <c r="D266" s="82"/>
      <c r="E266" s="118"/>
      <c r="F266" s="190"/>
      <c r="G266" s="209"/>
      <c r="H266" s="190"/>
      <c r="I266" s="190"/>
      <c r="J266" s="190"/>
      <c r="K266" s="190"/>
      <c r="L266" s="190"/>
      <c r="M266" s="190"/>
      <c r="N266" s="190"/>
      <c r="O266" s="210"/>
      <c r="P266" s="141"/>
      <c r="Q266" s="141"/>
      <c r="R266" s="136"/>
      <c r="S266" s="136"/>
      <c r="T266" s="136"/>
      <c r="U266" s="136"/>
      <c r="V266" s="144"/>
      <c r="W266" s="136"/>
      <c r="X266" s="136"/>
      <c r="Y266" s="136"/>
      <c r="Z266" s="150"/>
      <c r="AA266" s="150"/>
      <c r="AB266" s="150"/>
      <c r="AC266" s="150"/>
      <c r="AD266" s="136"/>
      <c r="AE266" s="136"/>
      <c r="AF266" s="136"/>
      <c r="AG266" s="136">
        <f t="shared" si="324"/>
        <v>0</v>
      </c>
      <c r="AH266" s="136">
        <f t="shared" si="305"/>
        <v>0</v>
      </c>
      <c r="AI266" s="151"/>
      <c r="AJ266" s="136"/>
      <c r="AK266" s="136"/>
      <c r="AL266" s="136"/>
      <c r="AM266" s="136"/>
      <c r="AN266" s="136"/>
      <c r="AO266" s="136"/>
      <c r="AP266" s="136"/>
      <c r="AQ266" s="136"/>
      <c r="AR266" s="136"/>
      <c r="AS266" s="136"/>
      <c r="AT266" s="136"/>
      <c r="AU266" s="136"/>
      <c r="AV266" s="190"/>
      <c r="AW266" s="190"/>
      <c r="AX266" s="190"/>
      <c r="AY266" s="190"/>
      <c r="AZ266" s="190"/>
      <c r="BA266" s="190"/>
      <c r="BB266" s="190"/>
      <c r="BC266" s="190"/>
      <c r="BD266" s="190"/>
      <c r="BE266" s="190"/>
      <c r="BF266" s="190"/>
      <c r="BG266" s="190"/>
      <c r="BH266" s="190"/>
      <c r="BI266" s="190"/>
      <c r="BJ266" s="190"/>
      <c r="BK266" s="190"/>
      <c r="BL266" s="190"/>
      <c r="BM266" s="190"/>
      <c r="BN266" s="190"/>
      <c r="BO266" s="190"/>
      <c r="BP266" s="190"/>
      <c r="BQ266" s="190"/>
      <c r="BR266" s="190"/>
      <c r="BS266" s="190"/>
    </row>
    <row r="267" spans="1:71" x14ac:dyDescent="0.2">
      <c r="E267" s="74" t="s">
        <v>448</v>
      </c>
      <c r="F267" s="130"/>
      <c r="G267" s="131"/>
      <c r="H267" s="130"/>
      <c r="I267" s="72"/>
      <c r="J267" s="72"/>
      <c r="K267" s="72"/>
      <c r="L267" s="72"/>
      <c r="M267" s="72"/>
      <c r="N267" s="130"/>
      <c r="O267" s="140">
        <f>SUM(F267:M267)</f>
        <v>0</v>
      </c>
      <c r="P267" s="141">
        <f>-K267</f>
        <v>0</v>
      </c>
      <c r="Q267" s="141"/>
      <c r="R267" s="133"/>
      <c r="S267" s="134"/>
      <c r="T267" s="134"/>
      <c r="U267" s="134"/>
      <c r="V267" s="144"/>
      <c r="W267" s="142"/>
      <c r="X267" s="142"/>
      <c r="Y267" s="122"/>
      <c r="Z267" s="135"/>
      <c r="AA267" s="135"/>
      <c r="AB267" s="135">
        <f t="shared" si="244"/>
        <v>0</v>
      </c>
      <c r="AC267" s="135"/>
      <c r="AD267" s="122"/>
      <c r="AE267" s="142"/>
      <c r="AF267" s="142"/>
      <c r="AG267" s="142"/>
      <c r="AH267" s="143"/>
      <c r="AI267" s="128"/>
      <c r="AJ267" s="142">
        <f>O267-AO267</f>
        <v>0</v>
      </c>
      <c r="AK267" s="142"/>
      <c r="AL267" s="143"/>
      <c r="AM267" s="122"/>
      <c r="AN267" s="142"/>
      <c r="AO267" s="142"/>
      <c r="AP267" s="122"/>
      <c r="AQ267" s="142"/>
      <c r="AR267" s="142">
        <f>O267-AQ267</f>
        <v>0</v>
      </c>
      <c r="AS267" s="142"/>
      <c r="AT267" s="142"/>
      <c r="AU267" s="142">
        <f>O267-AT267</f>
        <v>0</v>
      </c>
      <c r="AV267" s="72"/>
      <c r="AW267" s="72"/>
      <c r="AX267" s="72">
        <f>O267-AW267</f>
        <v>0</v>
      </c>
      <c r="AY267" s="72"/>
      <c r="AZ267" s="72"/>
      <c r="BA267" s="72"/>
      <c r="BB267" s="72"/>
      <c r="BC267" s="72"/>
      <c r="BD267" s="72">
        <f>K267-BC267</f>
        <v>0</v>
      </c>
      <c r="BE267" s="72"/>
      <c r="BF267" s="72"/>
      <c r="BG267" s="72">
        <f>O267-BF267</f>
        <v>0</v>
      </c>
      <c r="BH267" s="72"/>
      <c r="BI267" s="72"/>
      <c r="BJ267" s="72">
        <f>O267-BI267</f>
        <v>0</v>
      </c>
      <c r="BK267" s="72"/>
      <c r="BL267" s="72"/>
      <c r="BM267" s="72">
        <f>J267-BL267</f>
        <v>0</v>
      </c>
      <c r="BN267" s="72"/>
      <c r="BO267" s="72"/>
      <c r="BP267" s="72">
        <f>O267-BO267</f>
        <v>0</v>
      </c>
      <c r="BQ267" s="72"/>
      <c r="BR267" s="72"/>
      <c r="BS267" s="72" t="e">
        <f>#REF!-BR267</f>
        <v>#REF!</v>
      </c>
    </row>
    <row r="268" spans="1:71" x14ac:dyDescent="0.2">
      <c r="B268" s="82" t="s">
        <v>449</v>
      </c>
      <c r="D268" s="82" t="s">
        <v>250</v>
      </c>
      <c r="E268" s="74" t="s">
        <v>450</v>
      </c>
      <c r="F268" s="130"/>
      <c r="G268" s="131"/>
      <c r="H268" s="130"/>
      <c r="I268" s="72"/>
      <c r="J268" s="72"/>
      <c r="K268" s="72"/>
      <c r="L268" s="72"/>
      <c r="M268" s="72"/>
      <c r="N268" s="130"/>
      <c r="O268" s="140">
        <f>SUM(F268:M268)</f>
        <v>0</v>
      </c>
      <c r="P268" s="141">
        <f>-K268</f>
        <v>0</v>
      </c>
      <c r="Q268" s="141"/>
      <c r="R268" s="133"/>
      <c r="S268" s="134"/>
      <c r="T268" s="134"/>
      <c r="U268" s="134"/>
      <c r="V268" s="144"/>
      <c r="W268" s="142">
        <v>-7</v>
      </c>
      <c r="X268" s="142">
        <f>O268-W268</f>
        <v>7</v>
      </c>
      <c r="Y268" s="122"/>
      <c r="Z268" s="135"/>
      <c r="AA268" s="135"/>
      <c r="AB268" s="135"/>
      <c r="AC268" s="135">
        <f>G268-AB268</f>
        <v>0</v>
      </c>
      <c r="AD268" s="122"/>
      <c r="AE268" s="142" t="e">
        <f ca="1">GetCtData("PKAMOUNT","AMOUNT",$AE$11:$AE$18,$B268:$D268,AE$19:AE$20,"#")</f>
        <v>#NAME?</v>
      </c>
      <c r="AF268" s="142"/>
      <c r="AG268" s="142" t="e">
        <f t="shared" ca="1" si="324"/>
        <v>#NAME?</v>
      </c>
      <c r="AH268" s="143" t="e">
        <f ca="1">+O268-AG268</f>
        <v>#NAME?</v>
      </c>
      <c r="AI268" s="128"/>
      <c r="AJ268" s="142"/>
      <c r="AK268" s="142">
        <v>0</v>
      </c>
      <c r="AL268" s="143">
        <f>(O268-AO268)-AK268</f>
        <v>0</v>
      </c>
      <c r="AM268" s="122"/>
      <c r="AN268" s="142"/>
      <c r="AO268" s="142"/>
      <c r="AP268" s="122"/>
      <c r="AQ268" s="142" t="e">
        <f ca="1">GetCtData("PKAMOUNT","AMOUNT",$AQ$11:$AQ$18,$B268:$D268,AQ$19:AQ$20,"#")</f>
        <v>#NAME?</v>
      </c>
      <c r="AR268" s="142" t="e">
        <f ca="1">O268-AQ268</f>
        <v>#NAME?</v>
      </c>
      <c r="AS268" s="142"/>
      <c r="AT268" s="142"/>
      <c r="AU268" s="142">
        <f>O268-AT268</f>
        <v>0</v>
      </c>
      <c r="AV268" s="72"/>
      <c r="AW268" s="72"/>
      <c r="AX268" s="72">
        <f>O268-AW268</f>
        <v>0</v>
      </c>
      <c r="AY268" s="72"/>
      <c r="AZ268" s="72"/>
      <c r="BA268" s="72">
        <f>AZ268-O268</f>
        <v>0</v>
      </c>
      <c r="BB268" s="72"/>
      <c r="BC268" s="72"/>
      <c r="BD268" s="72">
        <f>K268-BC268</f>
        <v>0</v>
      </c>
      <c r="BE268" s="72"/>
      <c r="BF268" s="72"/>
      <c r="BG268" s="72">
        <f>O268-BF268</f>
        <v>0</v>
      </c>
      <c r="BH268" s="72"/>
      <c r="BI268" s="72">
        <f>-10</f>
        <v>-10</v>
      </c>
      <c r="BJ268" s="72">
        <f>O268-BI268</f>
        <v>10</v>
      </c>
      <c r="BK268" s="72"/>
      <c r="BL268" s="72">
        <v>0</v>
      </c>
      <c r="BM268" s="72">
        <f>J268-BL268</f>
        <v>0</v>
      </c>
      <c r="BN268" s="72"/>
      <c r="BO268" s="72">
        <v>0</v>
      </c>
      <c r="BP268" s="72">
        <f>O268-BO268</f>
        <v>0</v>
      </c>
      <c r="BQ268" s="72"/>
      <c r="BR268" s="72">
        <v>0</v>
      </c>
      <c r="BS268" s="72" t="e">
        <f>#REF!-BR268</f>
        <v>#REF!</v>
      </c>
    </row>
    <row r="269" spans="1:71" ht="8.25" customHeight="1" x14ac:dyDescent="0.2">
      <c r="E269" s="118"/>
      <c r="F269" s="130"/>
      <c r="G269" s="131"/>
      <c r="H269" s="130"/>
      <c r="I269" s="72"/>
      <c r="J269" s="72"/>
      <c r="K269" s="72"/>
      <c r="L269" s="72"/>
      <c r="M269" s="72"/>
      <c r="N269" s="130"/>
      <c r="O269" s="121"/>
      <c r="P269" s="141"/>
      <c r="Q269" s="141"/>
      <c r="R269" s="122"/>
      <c r="S269" s="122"/>
      <c r="T269" s="122"/>
      <c r="U269" s="122"/>
      <c r="V269" s="144"/>
      <c r="W269" s="122"/>
      <c r="X269" s="122"/>
      <c r="Y269" s="122"/>
      <c r="Z269" s="135"/>
      <c r="AA269" s="135"/>
      <c r="AB269" s="135"/>
      <c r="AC269" s="135"/>
      <c r="AD269" s="122"/>
      <c r="AE269" s="122"/>
      <c r="AF269" s="122"/>
      <c r="AG269" s="122">
        <f t="shared" si="324"/>
        <v>0</v>
      </c>
      <c r="AH269" s="136">
        <f>+O269-AG269</f>
        <v>0</v>
      </c>
      <c r="AI269" s="128"/>
      <c r="AJ269" s="122"/>
      <c r="AK269" s="122"/>
      <c r="AL269" s="136"/>
      <c r="AM269" s="122"/>
      <c r="AN269" s="122"/>
      <c r="AO269" s="122"/>
      <c r="AP269" s="122"/>
      <c r="AQ269" s="122"/>
      <c r="AR269" s="122"/>
      <c r="AS269" s="122"/>
      <c r="AT269" s="122"/>
      <c r="AU269" s="122"/>
      <c r="AV269" s="130"/>
      <c r="AW269" s="130"/>
      <c r="AX269" s="130"/>
      <c r="AY269" s="130"/>
      <c r="AZ269" s="130"/>
      <c r="BA269" s="130"/>
      <c r="BB269" s="130"/>
      <c r="BC269" s="130"/>
      <c r="BD269" s="130"/>
      <c r="BE269" s="130"/>
      <c r="BF269" s="130"/>
      <c r="BG269" s="130"/>
      <c r="BH269" s="130"/>
      <c r="BI269" s="130"/>
      <c r="BJ269" s="130"/>
      <c r="BK269" s="130"/>
      <c r="BL269" s="130"/>
      <c r="BM269" s="130"/>
      <c r="BN269" s="130"/>
      <c r="BO269" s="130"/>
      <c r="BP269" s="130"/>
      <c r="BQ269" s="130"/>
      <c r="BR269" s="130"/>
      <c r="BS269" s="130"/>
    </row>
    <row r="270" spans="1:71" s="163" customFormat="1" ht="15" x14ac:dyDescent="0.25">
      <c r="A270" s="146"/>
      <c r="B270" s="146" t="s">
        <v>451</v>
      </c>
      <c r="C270" s="146"/>
      <c r="D270" s="146" t="s">
        <v>250</v>
      </c>
      <c r="E270" s="147" t="s">
        <v>452</v>
      </c>
      <c r="F270" s="148">
        <f ca="1">F265+F267+F268</f>
        <v>-128.15300000000025</v>
      </c>
      <c r="G270" s="211">
        <f ca="1">G265+G267+G268</f>
        <v>0</v>
      </c>
      <c r="H270" s="148"/>
      <c r="I270" s="148">
        <f ca="1">I265+I268</f>
        <v>0</v>
      </c>
      <c r="J270" s="148">
        <f ca="1">J265+J268</f>
        <v>0</v>
      </c>
      <c r="K270" s="148">
        <f ca="1">K265-K268-K267</f>
        <v>-758.2489999999998</v>
      </c>
      <c r="L270" s="148">
        <f ca="1">L265-L268-L267</f>
        <v>52</v>
      </c>
      <c r="M270" s="148">
        <f ca="1">M265-M268-M267</f>
        <v>-486.61799999999994</v>
      </c>
      <c r="N270" s="148"/>
      <c r="O270" s="149">
        <f ca="1">SUM(F270:M270)</f>
        <v>-1321.02</v>
      </c>
      <c r="P270" s="123">
        <f ca="1">-K270</f>
        <v>758.2489999999998</v>
      </c>
      <c r="Q270" s="123">
        <f ca="1">-L270</f>
        <v>-52</v>
      </c>
      <c r="R270" s="148" t="e">
        <f ca="1">R265+R268</f>
        <v>#NAME?</v>
      </c>
      <c r="S270" s="197" t="e">
        <f ca="1">S265-S268-S267</f>
        <v>#NAME?</v>
      </c>
      <c r="T270" s="197" t="e">
        <f ca="1">PutCtData("PKAMOUNT","AMOUNT",$T$11:$T$15,$B270,$T$18,$T$17,P270)</f>
        <v>#NAME?</v>
      </c>
      <c r="U270" s="197" t="e">
        <f ca="1">PutCtData("PKAMOUNT","AMOUNT",$U$11:$U$15,$B270,$U$18,$U$17,Q270)</f>
        <v>#NAME?</v>
      </c>
      <c r="V270" s="144"/>
      <c r="W270" s="148" t="e">
        <f ca="1">W265+W268+W267</f>
        <v>#NAME?</v>
      </c>
      <c r="X270" s="148" t="e">
        <f ca="1">X265-X268-X267</f>
        <v>#NAME?</v>
      </c>
      <c r="Y270" s="136"/>
      <c r="Z270" s="150">
        <f>Z265+Z267+Z268</f>
        <v>-5970.3850000000002</v>
      </c>
      <c r="AA270" s="150">
        <f>AA265+AA267+AA268</f>
        <v>0</v>
      </c>
      <c r="AB270" s="150">
        <f t="shared" si="244"/>
        <v>-5970.3850000000002</v>
      </c>
      <c r="AC270" s="150">
        <f ca="1">O270-AB270</f>
        <v>4649.3649999999998</v>
      </c>
      <c r="AD270" s="136"/>
      <c r="AE270" s="148" t="e">
        <f ca="1">GetCtData("PKAMOUNT","AMOUNT",$AE$11:$AE$18,$B270:$D270,AE$19:AE$20,"#")</f>
        <v>#NAME?</v>
      </c>
      <c r="AF270" s="148">
        <f>AF265+AF267+AF268</f>
        <v>0</v>
      </c>
      <c r="AG270" s="148" t="e">
        <f t="shared" ca="1" si="324"/>
        <v>#NAME?</v>
      </c>
      <c r="AH270" s="148" t="e">
        <f ca="1">+O270-AG270</f>
        <v>#NAME?</v>
      </c>
      <c r="AI270" s="151"/>
      <c r="AJ270" s="148" t="e">
        <f ca="1">O270-AO270</f>
        <v>#NAME?</v>
      </c>
      <c r="AK270" s="148" t="e">
        <f ca="1">AK265-AK268-AK267</f>
        <v>#NAME?</v>
      </c>
      <c r="AL270" s="148" t="e">
        <f ca="1">(O270-AO270)-AK270</f>
        <v>#NAME?</v>
      </c>
      <c r="AM270" s="136"/>
      <c r="AN270" s="148" t="e">
        <f ca="1">AN265-AN268-AN267</f>
        <v>#NAME?</v>
      </c>
      <c r="AO270" s="148" t="e">
        <f ca="1">AO265-AO268-AO267</f>
        <v>#NAME?</v>
      </c>
      <c r="AP270" s="136"/>
      <c r="AQ270" s="148" t="e">
        <f ca="1">AQ265-AQ268-AQ267</f>
        <v>#NAME?</v>
      </c>
      <c r="AR270" s="148" t="e">
        <f ca="1">AR265-AR268-AR267</f>
        <v>#NAME?</v>
      </c>
      <c r="AS270" s="148"/>
      <c r="AT270" s="148" t="e">
        <f ca="1">AT265+AT267+AT268</f>
        <v>#NAME?</v>
      </c>
      <c r="AU270" s="148" t="e">
        <f ca="1">O270-AT270</f>
        <v>#NAME?</v>
      </c>
      <c r="AV270" s="148"/>
      <c r="AW270" s="148" t="e">
        <f ca="1">AW265+AW267+AW268</f>
        <v>#NAME?</v>
      </c>
      <c r="AX270" s="148" t="e">
        <f ca="1">O270-AW270</f>
        <v>#NAME?</v>
      </c>
      <c r="AY270" s="148"/>
      <c r="AZ270" s="148" t="e">
        <f ca="1">AZ265+AZ267+AZ268</f>
        <v>#NAME?</v>
      </c>
      <c r="BA270" s="148" t="e">
        <f ca="1">BA265+BA268+BA267</f>
        <v>#NAME?</v>
      </c>
      <c r="BB270" s="148"/>
      <c r="BC270" s="148" t="e">
        <f ca="1">BC265+BC267+BC268</f>
        <v>#NAME?</v>
      </c>
      <c r="BD270" s="148" t="e">
        <f ca="1">K270-BC270</f>
        <v>#NAME?</v>
      </c>
      <c r="BE270" s="148"/>
      <c r="BF270" s="148" t="e">
        <f ca="1">BF265+BF267+BF268</f>
        <v>#NAME?</v>
      </c>
      <c r="BG270" s="148" t="e">
        <f ca="1">O270-BF270</f>
        <v>#NAME?</v>
      </c>
      <c r="BH270" s="148"/>
      <c r="BI270" s="148" t="e">
        <f ca="1">BI265+BI267+BI268</f>
        <v>#NAME?</v>
      </c>
      <c r="BJ270" s="148" t="e">
        <f ca="1">O270-BI270</f>
        <v>#NAME?</v>
      </c>
      <c r="BK270" s="148"/>
      <c r="BL270" s="148" t="e">
        <f ca="1">BL265-BL268-BL267</f>
        <v>#NAME?</v>
      </c>
      <c r="BM270" s="148" t="e">
        <f ca="1">O270-BL270</f>
        <v>#NAME?</v>
      </c>
      <c r="BN270" s="148"/>
      <c r="BO270" s="148" t="e">
        <f ca="1">BO265-BO268-BO267</f>
        <v>#NAME?</v>
      </c>
      <c r="BP270" s="148" t="e">
        <f ca="1">O270-BO270</f>
        <v>#NAME?</v>
      </c>
      <c r="BQ270" s="148"/>
      <c r="BR270" s="148" t="e">
        <f ca="1">BR265-BR268-BR267</f>
        <v>#NAME?</v>
      </c>
      <c r="BS270" s="148" t="e">
        <f ca="1">#REF!-BR270</f>
        <v>#REF!</v>
      </c>
    </row>
    <row r="271" spans="1:71" s="74" customFormat="1" ht="12" customHeight="1" x14ac:dyDescent="0.2">
      <c r="A271" s="88"/>
      <c r="B271" s="88"/>
      <c r="C271" s="88"/>
      <c r="D271" s="88"/>
      <c r="E271" s="118"/>
      <c r="F271" s="190"/>
      <c r="G271" s="190"/>
      <c r="H271" s="190"/>
      <c r="I271" s="212"/>
      <c r="J271" s="190"/>
      <c r="K271" s="213"/>
      <c r="L271" s="190"/>
      <c r="M271" s="190"/>
      <c r="N271" s="190"/>
      <c r="R271" s="125"/>
      <c r="S271" s="125"/>
      <c r="T271" s="125"/>
      <c r="U271" s="125"/>
      <c r="V271" s="122"/>
      <c r="W271" s="136"/>
      <c r="X271" s="136"/>
      <c r="Y271" s="122"/>
      <c r="Z271" s="150"/>
      <c r="AA271" s="150"/>
      <c r="AB271" s="150"/>
      <c r="AC271" s="150"/>
      <c r="AD271" s="122"/>
      <c r="AE271" s="136"/>
      <c r="AF271" s="136"/>
      <c r="AG271" s="136"/>
      <c r="AH271" s="136"/>
      <c r="AI271" s="122"/>
      <c r="AJ271" s="136"/>
      <c r="AK271" s="136"/>
      <c r="AL271" s="136"/>
      <c r="AM271" s="122"/>
      <c r="AN271" s="136"/>
      <c r="AO271" s="136"/>
      <c r="AP271" s="122"/>
      <c r="AQ271" s="136"/>
      <c r="AR271" s="136"/>
      <c r="AS271" s="122"/>
      <c r="AT271" s="136"/>
      <c r="AU271" s="136"/>
      <c r="AV271" s="130"/>
      <c r="AW271" s="190"/>
      <c r="AX271" s="190"/>
      <c r="AY271" s="130"/>
      <c r="AZ271" s="190"/>
      <c r="BA271" s="190"/>
      <c r="BB271" s="130"/>
      <c r="BC271" s="190"/>
      <c r="BD271" s="190"/>
      <c r="BE271" s="130"/>
      <c r="BF271" s="190"/>
      <c r="BG271" s="190"/>
      <c r="BH271" s="130"/>
      <c r="BI271" s="190" t="s">
        <v>453</v>
      </c>
      <c r="BJ271" s="190"/>
      <c r="BK271" s="130"/>
      <c r="BL271" s="190"/>
      <c r="BM271" s="190"/>
      <c r="BN271" s="130"/>
      <c r="BO271" s="190"/>
      <c r="BP271" s="190"/>
      <c r="BQ271" s="130"/>
      <c r="BR271" s="190"/>
      <c r="BS271" s="190"/>
    </row>
    <row r="272" spans="1:71" s="77" customFormat="1" ht="42.75" customHeight="1" x14ac:dyDescent="0.2">
      <c r="A272" s="70"/>
      <c r="B272" s="70" t="s">
        <v>454</v>
      </c>
      <c r="C272" s="70"/>
      <c r="D272" s="70" t="s">
        <v>250</v>
      </c>
      <c r="E272" s="214" t="s">
        <v>455</v>
      </c>
      <c r="F272" s="215"/>
      <c r="G272" s="73" t="str">
        <f ca="1">IF(G270=0,"ok","vérifier écritures reclass")</f>
        <v>ok</v>
      </c>
      <c r="H272" s="190"/>
      <c r="I272" s="191"/>
      <c r="J272" s="191"/>
      <c r="K272" s="191"/>
      <c r="L272" s="191"/>
      <c r="M272" s="191"/>
      <c r="N272" s="190"/>
      <c r="R272" s="216" t="s">
        <v>219</v>
      </c>
      <c r="S272" s="216" t="s">
        <v>220</v>
      </c>
      <c r="T272" s="216" t="s">
        <v>221</v>
      </c>
      <c r="U272" s="216" t="s">
        <v>222</v>
      </c>
      <c r="V272" s="130"/>
      <c r="W272" s="216" t="s">
        <v>137</v>
      </c>
      <c r="X272" s="72"/>
      <c r="Y272" s="130"/>
      <c r="Z272" s="217"/>
      <c r="AA272" s="217"/>
      <c r="AB272" s="217"/>
      <c r="AC272" s="217"/>
      <c r="AD272" s="130"/>
      <c r="AE272" s="218" t="s">
        <v>456</v>
      </c>
      <c r="AF272" s="219" t="s">
        <v>137</v>
      </c>
      <c r="AG272" s="218" t="s">
        <v>457</v>
      </c>
      <c r="AH272" s="220"/>
      <c r="AI272" s="221" t="s">
        <v>458</v>
      </c>
      <c r="AJ272" s="222"/>
      <c r="AK272" s="221" t="s">
        <v>212</v>
      </c>
      <c r="AL272" s="223" t="s">
        <v>459</v>
      </c>
      <c r="AM272" s="222"/>
      <c r="AN272" s="221" t="s">
        <v>460</v>
      </c>
      <c r="AO272" s="221"/>
      <c r="AP272" s="224"/>
      <c r="AQ272" s="221"/>
      <c r="AR272" s="221"/>
      <c r="AS272" s="191"/>
      <c r="AT272" s="72"/>
      <c r="AU272" s="72"/>
      <c r="AV272" s="191"/>
      <c r="AW272" s="72"/>
      <c r="AX272" s="72"/>
      <c r="AY272" s="191"/>
      <c r="AZ272" s="72"/>
      <c r="BA272" s="72"/>
      <c r="BB272" s="191"/>
      <c r="BC272" s="72"/>
      <c r="BD272" s="72"/>
      <c r="BE272" s="191"/>
      <c r="BF272" s="72"/>
      <c r="BG272" s="72"/>
      <c r="BH272" s="191"/>
      <c r="BI272" s="72" t="e">
        <f ca="1">GetCtData("COAMOUNT","AMOUNT",$BI$11:$BI$17,$B272,BI$19,BI$20,"#")</f>
        <v>#NAME?</v>
      </c>
      <c r="BJ272" s="72"/>
      <c r="BK272" s="72"/>
      <c r="BL272" s="72" t="e">
        <f ca="1">GetCtData("COAMOUNT","AMOUNT",$AW$11:$AW$12,$AW$14:$AW$17,$AW$295,$B272,BL$19,BL$20,"#")</f>
        <v>#NAME?</v>
      </c>
      <c r="BM272" s="72"/>
      <c r="BN272" s="72"/>
      <c r="BO272" s="72" t="e">
        <f ca="1">GetCtData("COAMOUNT","AMOUNT",$AW$11:$AW$12,$AW$14:$AW$17,$AW$295,$B272,BO$19,BO$20,"#")</f>
        <v>#NAME?</v>
      </c>
      <c r="BP272" s="72"/>
      <c r="BQ272" s="72"/>
      <c r="BR272" s="72" t="e">
        <f ca="1">GetCtData("COAMOUNT","AMOUNT",$BR$11:$BR$19,$B272,BR$20,"#")</f>
        <v>#NAME?</v>
      </c>
      <c r="BS272" s="72"/>
    </row>
    <row r="273" spans="1:71" s="77" customFormat="1" ht="11.25" customHeight="1" x14ac:dyDescent="0.2">
      <c r="A273" s="70"/>
      <c r="B273" s="70"/>
      <c r="C273" s="70"/>
      <c r="D273" s="70"/>
      <c r="E273" s="214"/>
      <c r="F273" s="225"/>
      <c r="H273" s="74"/>
      <c r="K273" s="226"/>
      <c r="L273" s="226"/>
      <c r="M273" s="226"/>
      <c r="N273" s="110"/>
      <c r="V273" s="74"/>
      <c r="Y273" s="74"/>
      <c r="Z273" s="227"/>
      <c r="AA273" s="227"/>
      <c r="AB273" s="227"/>
      <c r="AC273" s="227"/>
      <c r="AD273" s="74"/>
      <c r="AH273" s="220"/>
      <c r="AI273" s="221"/>
      <c r="AJ273" s="222"/>
      <c r="AK273" s="221"/>
      <c r="AL273" s="223"/>
      <c r="AM273" s="222"/>
      <c r="AN273" s="221">
        <v>758015</v>
      </c>
      <c r="AO273" s="221" t="s">
        <v>461</v>
      </c>
      <c r="AP273" s="224"/>
      <c r="AQ273" s="221"/>
      <c r="AR273" s="221"/>
      <c r="AS273" s="228"/>
    </row>
    <row r="274" spans="1:71" x14ac:dyDescent="0.2">
      <c r="E274" s="74"/>
      <c r="G274" s="77"/>
      <c r="I274" s="77"/>
      <c r="J274" s="77"/>
      <c r="K274" s="77"/>
      <c r="L274" s="77"/>
      <c r="M274" s="229"/>
      <c r="N274" s="118"/>
      <c r="O274" s="230" t="s">
        <v>462</v>
      </c>
      <c r="P274" s="231"/>
      <c r="Q274" s="231"/>
      <c r="R274" s="231"/>
      <c r="S274" s="231"/>
      <c r="T274" s="231"/>
      <c r="U274" s="231"/>
      <c r="W274" s="231"/>
      <c r="AE274" s="232" t="s">
        <v>457</v>
      </c>
      <c r="AF274" s="233"/>
      <c r="AG274" s="233"/>
      <c r="AH274" s="220"/>
      <c r="AI274" s="221">
        <v>0</v>
      </c>
      <c r="AJ274" s="222"/>
      <c r="AK274" s="221"/>
      <c r="AL274" s="223">
        <f>9070.05-9070.05</f>
        <v>0</v>
      </c>
      <c r="AM274" s="222"/>
      <c r="AN274" s="221">
        <v>758021</v>
      </c>
      <c r="AO274" s="221" t="s">
        <v>463</v>
      </c>
      <c r="AP274" s="224"/>
      <c r="AQ274" s="221"/>
      <c r="AR274" s="221"/>
      <c r="BM274" s="73" t="s">
        <v>464</v>
      </c>
      <c r="BP274" s="73" t="s">
        <v>464</v>
      </c>
      <c r="BS274" s="73" t="s">
        <v>464</v>
      </c>
    </row>
    <row r="275" spans="1:71" x14ac:dyDescent="0.2">
      <c r="E275" s="74"/>
      <c r="G275" s="77"/>
      <c r="I275" s="77"/>
      <c r="J275" s="77"/>
      <c r="K275" s="77"/>
      <c r="L275" s="77"/>
      <c r="M275" s="77"/>
      <c r="W275" s="74"/>
      <c r="AH275" s="220"/>
      <c r="AI275" s="221"/>
      <c r="AJ275" s="222">
        <v>5802.71</v>
      </c>
      <c r="AK275" s="221">
        <f>AJ275-AL275</f>
        <v>4601.71</v>
      </c>
      <c r="AL275" s="223">
        <v>1201</v>
      </c>
      <c r="AM275" s="222"/>
      <c r="AN275" s="221">
        <v>635807</v>
      </c>
      <c r="AO275" s="221"/>
      <c r="AP275" s="224"/>
      <c r="AQ275" s="221"/>
      <c r="AR275" s="221"/>
    </row>
    <row r="276" spans="1:71" x14ac:dyDescent="0.2">
      <c r="E276" s="234" t="s">
        <v>465</v>
      </c>
      <c r="F276" s="235"/>
      <c r="G276" s="77"/>
      <c r="I276" s="77"/>
      <c r="K276" s="77"/>
      <c r="L276" s="77" t="s">
        <v>250</v>
      </c>
      <c r="M276" s="77" t="s">
        <v>270</v>
      </c>
      <c r="O276" s="236" t="s">
        <v>466</v>
      </c>
      <c r="P276" s="74">
        <v>1144</v>
      </c>
      <c r="R276" s="237" t="e">
        <f ca="1">R55</f>
        <v>#NAME?</v>
      </c>
      <c r="S276" s="238" t="e">
        <f ca="1">S55</f>
        <v>#NAME?</v>
      </c>
      <c r="T276" s="238" t="e">
        <f ca="1">T55</f>
        <v>#NAME?</v>
      </c>
      <c r="U276" s="238" t="e">
        <f ca="1">U55</f>
        <v>#NAME?</v>
      </c>
      <c r="W276" s="238" t="e">
        <f ca="1">T276+U276</f>
        <v>#NAME?</v>
      </c>
      <c r="AE276" s="238" t="e">
        <f ca="1">GetCtData("PKAMOUNT","AMOUNT",R$11:R$14,$L276:$M276,R$17:R$18,"#6387")</f>
        <v>#NAME?</v>
      </c>
      <c r="AF276" s="239" t="e">
        <f ca="1">GetCtData("PKAMOUNT","AMOUNT",S$11:S$14,$L276:$M276,S$17:S$18,"#2879")</f>
        <v>#NAME?</v>
      </c>
      <c r="AG276" s="238" t="e">
        <f ca="1">IF((W276-AF276)=0,"ok","error")</f>
        <v>#NAME?</v>
      </c>
      <c r="AH276" s="220"/>
      <c r="AI276" s="221"/>
      <c r="AJ276" s="222"/>
      <c r="AK276" s="221"/>
      <c r="AL276" s="223"/>
      <c r="AM276" s="222"/>
      <c r="AN276" s="221">
        <v>618500</v>
      </c>
      <c r="AO276" s="221"/>
      <c r="AP276" s="224"/>
      <c r="AQ276" s="221"/>
      <c r="AR276" s="221"/>
    </row>
    <row r="277" spans="1:71" x14ac:dyDescent="0.2">
      <c r="E277" s="240" t="s">
        <v>467</v>
      </c>
      <c r="F277" s="235"/>
      <c r="G277" s="77"/>
      <c r="I277" s="77"/>
      <c r="J277" s="77"/>
      <c r="K277" s="77"/>
      <c r="L277" s="241"/>
      <c r="M277" s="241"/>
      <c r="N277" s="242"/>
      <c r="O277" s="243"/>
      <c r="W277" s="74"/>
      <c r="AE277" s="74"/>
      <c r="AF277" s="74"/>
      <c r="AG277" s="74"/>
      <c r="AH277" s="220"/>
      <c r="AI277" s="221"/>
      <c r="AJ277" s="222">
        <v>40357.86</v>
      </c>
      <c r="AK277" s="221">
        <f>AJ277-AL277</f>
        <v>30902.86</v>
      </c>
      <c r="AL277" s="223">
        <v>9455</v>
      </c>
      <c r="AM277" s="222"/>
      <c r="AN277" s="221">
        <v>631300</v>
      </c>
      <c r="AO277" s="221"/>
      <c r="AP277" s="224"/>
      <c r="AQ277" s="221"/>
      <c r="AR277" s="221"/>
      <c r="BM277" s="73" t="s">
        <v>468</v>
      </c>
      <c r="BP277" s="73" t="s">
        <v>468</v>
      </c>
      <c r="BS277" s="73" t="s">
        <v>468</v>
      </c>
    </row>
    <row r="278" spans="1:71" x14ac:dyDescent="0.2">
      <c r="E278" s="240" t="s">
        <v>469</v>
      </c>
      <c r="F278" s="235"/>
      <c r="G278" s="77"/>
      <c r="I278" s="77"/>
      <c r="J278" s="77"/>
      <c r="K278" s="77"/>
      <c r="L278" s="77"/>
      <c r="M278" s="244"/>
      <c r="N278" s="118"/>
      <c r="O278" s="245"/>
      <c r="P278" s="130"/>
      <c r="Q278" s="130"/>
      <c r="R278" s="190"/>
      <c r="S278" s="190"/>
      <c r="T278" s="190"/>
      <c r="U278" s="190"/>
      <c r="W278" s="190"/>
      <c r="AE278" s="190"/>
      <c r="AF278" s="190"/>
      <c r="AG278" s="190"/>
      <c r="AH278" s="220"/>
      <c r="AI278" s="221"/>
      <c r="AJ278" s="222">
        <v>2139.71</v>
      </c>
      <c r="AK278" s="221">
        <f>AJ278-AL278</f>
        <v>-93.7199999999998</v>
      </c>
      <c r="AL278" s="223">
        <v>2233.4299999999998</v>
      </c>
      <c r="AM278" s="222"/>
      <c r="AN278" s="221">
        <v>635806</v>
      </c>
      <c r="AO278" s="221"/>
      <c r="AP278" s="224"/>
      <c r="AQ278" s="221"/>
      <c r="AR278" s="221"/>
    </row>
    <row r="279" spans="1:71" x14ac:dyDescent="0.2">
      <c r="E279" s="240" t="s">
        <v>470</v>
      </c>
      <c r="F279" s="235"/>
      <c r="G279" s="77"/>
      <c r="I279" s="77"/>
      <c r="J279" s="77"/>
      <c r="K279" s="77"/>
      <c r="L279" s="77"/>
      <c r="M279" s="244"/>
      <c r="N279" s="246"/>
      <c r="O279" s="247"/>
      <c r="P279" s="130"/>
      <c r="Q279" s="130"/>
      <c r="R279" s="237"/>
      <c r="S279" s="248"/>
      <c r="T279" s="237"/>
      <c r="U279" s="237"/>
      <c r="W279" s="237"/>
      <c r="X279" s="162"/>
      <c r="AE279" s="237"/>
      <c r="AF279" s="248"/>
      <c r="AG279" s="237" t="str">
        <f>IF((W279-AF279)=0,"ok","error")</f>
        <v>ok</v>
      </c>
      <c r="AH279" s="220"/>
      <c r="AI279" s="221"/>
      <c r="AJ279" s="222"/>
      <c r="AK279" s="221"/>
      <c r="AL279" s="223"/>
      <c r="AM279" s="222"/>
      <c r="AN279" s="221">
        <v>645016</v>
      </c>
      <c r="AO279" s="221"/>
      <c r="AP279" s="224"/>
      <c r="AQ279" s="221"/>
      <c r="AR279" s="221"/>
    </row>
    <row r="280" spans="1:71" x14ac:dyDescent="0.2">
      <c r="E280" s="249" t="s">
        <v>471</v>
      </c>
      <c r="F280" s="235"/>
      <c r="G280" s="77"/>
      <c r="I280" s="77"/>
      <c r="J280" s="77"/>
      <c r="K280" s="77"/>
      <c r="L280" s="77"/>
      <c r="M280" s="244"/>
      <c r="N280" s="118"/>
      <c r="O280" s="247"/>
      <c r="R280" s="238"/>
      <c r="S280" s="239"/>
      <c r="T280" s="238"/>
      <c r="U280" s="238"/>
      <c r="W280" s="238"/>
      <c r="AE280" s="238"/>
      <c r="AF280" s="239"/>
      <c r="AG280" s="238" t="str">
        <f>IF((W280-AF280)=0,"ok","error")</f>
        <v>ok</v>
      </c>
      <c r="AH280" s="220"/>
      <c r="AI280" s="250">
        <f>SUM(AI273:AI279)</f>
        <v>0</v>
      </c>
      <c r="AJ280" s="251">
        <f>SUM(AJ274:AJ279)</f>
        <v>48300.28</v>
      </c>
      <c r="AK280" s="251">
        <f>SUM(AK274:AK279)</f>
        <v>35410.85</v>
      </c>
      <c r="AL280" s="252">
        <f>SUM(AL274:AL279)</f>
        <v>12889.43</v>
      </c>
      <c r="AM280" s="252"/>
      <c r="AN280" s="253" t="s">
        <v>208</v>
      </c>
      <c r="AO280" s="221"/>
      <c r="AP280" s="224"/>
      <c r="AQ280" s="221"/>
      <c r="AR280" s="221"/>
    </row>
    <row r="281" spans="1:71" x14ac:dyDescent="0.2">
      <c r="E281" s="254"/>
      <c r="G281" s="77"/>
      <c r="I281" s="77"/>
      <c r="J281" s="77"/>
      <c r="K281" s="77"/>
      <c r="L281" s="77"/>
      <c r="M281" s="244"/>
      <c r="O281" s="247"/>
      <c r="R281" s="238"/>
      <c r="S281" s="239"/>
      <c r="T281" s="238"/>
      <c r="U281" s="238"/>
      <c r="W281" s="238"/>
      <c r="AE281" s="238"/>
      <c r="AF281" s="239"/>
      <c r="AG281" s="238" t="str">
        <f>IF((W281-AF281)=0,"ok","error")</f>
        <v>ok</v>
      </c>
      <c r="AH281" s="255"/>
      <c r="AL281" s="256"/>
      <c r="AM281" s="257"/>
      <c r="AN281" s="258"/>
      <c r="AO281" s="258"/>
      <c r="AP281" s="257"/>
      <c r="AQ281" s="258"/>
      <c r="AR281" s="258"/>
      <c r="AS281" s="259"/>
      <c r="AT281" s="258"/>
      <c r="AU281" s="258"/>
      <c r="AV281" s="258"/>
      <c r="AW281" s="258"/>
    </row>
    <row r="282" spans="1:71" x14ac:dyDescent="0.2">
      <c r="G282" s="77"/>
      <c r="I282" s="77"/>
      <c r="J282" s="77"/>
      <c r="K282" s="77"/>
      <c r="L282" s="77"/>
      <c r="M282" s="244"/>
      <c r="O282" s="247"/>
      <c r="R282" s="238"/>
      <c r="S282" s="239"/>
      <c r="T282" s="238"/>
      <c r="U282" s="238"/>
      <c r="W282" s="238"/>
      <c r="AE282" s="238"/>
      <c r="AF282" s="239"/>
      <c r="AG282" s="238" t="str">
        <f>IF((W282-AF282)=0,"ok","error")</f>
        <v>ok</v>
      </c>
      <c r="AH282" s="255"/>
      <c r="AL282" s="260"/>
      <c r="AM282" s="257"/>
      <c r="AN282" s="257"/>
      <c r="AO282" s="257"/>
      <c r="AP282" s="257"/>
      <c r="AQ282" s="257"/>
      <c r="AR282" s="257"/>
      <c r="AS282" s="259"/>
      <c r="AT282" s="258"/>
      <c r="AU282" s="258"/>
      <c r="AV282" s="258"/>
      <c r="AW282" s="258"/>
    </row>
    <row r="283" spans="1:71" ht="15" x14ac:dyDescent="0.25">
      <c r="E283" s="261" t="s">
        <v>472</v>
      </c>
      <c r="G283" s="77"/>
      <c r="I283" s="77"/>
      <c r="J283" s="77"/>
      <c r="K283" s="77"/>
      <c r="L283" s="244"/>
      <c r="M283" s="244"/>
      <c r="N283" s="118"/>
      <c r="O283" s="243"/>
      <c r="W283" s="74"/>
      <c r="AE283" s="74"/>
      <c r="AF283" s="74"/>
      <c r="AG283" s="74"/>
      <c r="AH283" s="118"/>
      <c r="AL283" s="260"/>
      <c r="AM283" s="257"/>
      <c r="AN283" s="257"/>
      <c r="AO283" s="257"/>
      <c r="AP283" s="257"/>
      <c r="AQ283" s="257"/>
      <c r="AR283" s="257"/>
      <c r="AS283" s="259"/>
      <c r="AT283" s="258"/>
      <c r="AU283" s="258"/>
      <c r="AV283" s="258"/>
      <c r="AW283" s="258"/>
    </row>
    <row r="284" spans="1:71" x14ac:dyDescent="0.2">
      <c r="E284" s="262" t="s">
        <v>473</v>
      </c>
      <c r="G284" s="77"/>
      <c r="I284" s="77"/>
      <c r="J284" s="77"/>
      <c r="K284" s="77"/>
      <c r="L284" s="77"/>
      <c r="M284" s="244"/>
      <c r="N284" s="118"/>
      <c r="O284" s="236"/>
      <c r="R284" s="237"/>
      <c r="S284" s="238"/>
      <c r="T284" s="238"/>
      <c r="U284" s="238"/>
      <c r="W284" s="238"/>
      <c r="AE284" s="238"/>
      <c r="AF284" s="239"/>
      <c r="AG284" s="238" t="str">
        <f>IF((W284-AF284)=0,"ok","error")</f>
        <v>ok</v>
      </c>
      <c r="AH284" s="255"/>
      <c r="AL284" s="260"/>
      <c r="AM284" s="257"/>
      <c r="AN284" s="257"/>
      <c r="AO284" s="257"/>
      <c r="AP284" s="257"/>
      <c r="AQ284" s="257"/>
      <c r="AR284" s="257"/>
      <c r="AS284" s="259"/>
      <c r="AT284" s="258"/>
      <c r="AU284" s="258"/>
      <c r="AV284" s="258"/>
      <c r="AW284" s="258"/>
    </row>
    <row r="285" spans="1:71" x14ac:dyDescent="0.2">
      <c r="E285" s="262" t="s">
        <v>474</v>
      </c>
      <c r="F285" s="263"/>
      <c r="G285" s="77"/>
      <c r="I285" s="77"/>
      <c r="J285" s="77"/>
      <c r="K285" s="74"/>
      <c r="L285" s="74"/>
      <c r="M285" s="118"/>
      <c r="N285" s="118"/>
      <c r="W285" s="74"/>
      <c r="AE285" s="74"/>
      <c r="AF285" s="74"/>
      <c r="AG285" s="74"/>
      <c r="AH285" s="118"/>
      <c r="AL285" s="260"/>
      <c r="AM285" s="257"/>
      <c r="AN285" s="257"/>
      <c r="AO285" s="257"/>
      <c r="AP285" s="257"/>
      <c r="AQ285" s="257"/>
      <c r="AR285" s="257"/>
      <c r="AS285" s="259"/>
      <c r="AT285" s="258"/>
      <c r="AU285" s="258"/>
      <c r="AV285" s="258"/>
      <c r="AW285" s="258"/>
    </row>
    <row r="286" spans="1:71" ht="15" x14ac:dyDescent="0.25">
      <c r="E286" s="262" t="s">
        <v>459</v>
      </c>
      <c r="G286" s="77"/>
      <c r="I286" s="77"/>
      <c r="J286" s="77"/>
      <c r="K286" s="74"/>
      <c r="L286" s="74"/>
      <c r="M286" s="74"/>
      <c r="O286" s="264"/>
      <c r="R286" s="265"/>
      <c r="S286" s="266"/>
      <c r="T286" s="266"/>
      <c r="U286" s="266"/>
      <c r="W286" s="266"/>
      <c r="AE286" s="238"/>
      <c r="AF286" s="267"/>
      <c r="AG286" s="238" t="str">
        <f>IF((W286-AF286)=0,"ok","error")</f>
        <v>ok</v>
      </c>
      <c r="AH286" s="80"/>
      <c r="AL286" s="260"/>
      <c r="AM286" s="257"/>
      <c r="AN286" s="257"/>
      <c r="AO286" s="257"/>
      <c r="AP286" s="257"/>
      <c r="AQ286" s="257"/>
      <c r="AR286" s="257"/>
      <c r="AS286" s="259"/>
      <c r="AT286" s="258"/>
      <c r="AU286" s="258"/>
      <c r="AV286" s="258"/>
      <c r="AW286" s="258"/>
    </row>
    <row r="287" spans="1:71" x14ac:dyDescent="0.2">
      <c r="E287" s="262" t="s">
        <v>475</v>
      </c>
      <c r="G287" s="77"/>
      <c r="I287" s="77"/>
      <c r="J287" s="77"/>
      <c r="K287" s="74"/>
      <c r="L287" s="74"/>
      <c r="M287" s="74"/>
      <c r="W287" s="74"/>
      <c r="AE287" s="74"/>
      <c r="AF287" s="74"/>
      <c r="AG287" s="74"/>
      <c r="AH287" s="118"/>
      <c r="AL287" s="260"/>
      <c r="AM287" s="257"/>
      <c r="AN287" s="257"/>
      <c r="AO287" s="257"/>
      <c r="AP287" s="257"/>
      <c r="AQ287" s="257"/>
      <c r="AR287" s="257"/>
      <c r="AS287" s="259"/>
      <c r="AT287" s="258"/>
      <c r="AU287" s="258"/>
      <c r="AV287" s="258"/>
      <c r="AW287" s="258"/>
    </row>
    <row r="288" spans="1:71" x14ac:dyDescent="0.2">
      <c r="E288" s="262" t="s">
        <v>476</v>
      </c>
      <c r="G288" s="77"/>
      <c r="I288" s="77"/>
      <c r="J288" s="77"/>
      <c r="K288" s="77"/>
      <c r="L288" s="77"/>
      <c r="M288" s="77"/>
      <c r="O288" s="230" t="s">
        <v>477</v>
      </c>
      <c r="P288" s="231"/>
      <c r="Q288" s="231"/>
      <c r="R288" s="231"/>
      <c r="S288" s="231"/>
      <c r="T288" s="231"/>
      <c r="U288" s="231"/>
      <c r="W288" s="231"/>
      <c r="AD288" s="130"/>
      <c r="AE288" s="231"/>
      <c r="AF288" s="231"/>
      <c r="AG288" s="231"/>
      <c r="AH288" s="118"/>
      <c r="AL288" s="244"/>
      <c r="AN288" s="77"/>
      <c r="AO288" s="77"/>
      <c r="AQ288" s="77"/>
      <c r="AR288" s="77"/>
    </row>
    <row r="289" spans="5:70" x14ac:dyDescent="0.2">
      <c r="E289" s="262" t="s">
        <v>478</v>
      </c>
      <c r="G289" s="244"/>
      <c r="H289" s="118"/>
      <c r="I289" s="77"/>
      <c r="J289" s="268"/>
      <c r="K289" s="244"/>
      <c r="L289" s="244"/>
      <c r="M289" s="269"/>
      <c r="N289" s="270"/>
      <c r="P289" s="74">
        <v>-272</v>
      </c>
      <c r="W289" s="74"/>
      <c r="AE289" s="74"/>
      <c r="AF289" s="74"/>
      <c r="AG289" s="74"/>
      <c r="AH289" s="118"/>
      <c r="AL289" s="260"/>
      <c r="AM289" s="257"/>
      <c r="AN289" s="257"/>
      <c r="AO289" s="257"/>
      <c r="AP289" s="257"/>
      <c r="AQ289" s="257"/>
      <c r="AR289" s="257"/>
      <c r="AS289" s="259"/>
      <c r="AT289" s="258"/>
      <c r="AU289" s="258"/>
      <c r="AV289" s="258"/>
      <c r="AW289" s="258"/>
    </row>
    <row r="290" spans="5:70" x14ac:dyDescent="0.2">
      <c r="E290" s="262" t="s">
        <v>479</v>
      </c>
      <c r="G290" s="77"/>
      <c r="I290" s="226"/>
      <c r="J290" s="244"/>
      <c r="K290" s="77"/>
      <c r="L290" s="77" t="s">
        <v>250</v>
      </c>
      <c r="M290" s="77" t="s">
        <v>270</v>
      </c>
      <c r="O290" s="236" t="s">
        <v>466</v>
      </c>
      <c r="P290" s="74">
        <v>1144</v>
      </c>
      <c r="R290" s="237" t="e">
        <f ca="1">R55</f>
        <v>#NAME?</v>
      </c>
      <c r="S290" s="238" t="e">
        <f ca="1">S55</f>
        <v>#NAME?</v>
      </c>
      <c r="T290" s="238" t="e">
        <f ca="1">T55</f>
        <v>#NAME?</v>
      </c>
      <c r="U290" s="238" t="e">
        <f ca="1">U55</f>
        <v>#NAME?</v>
      </c>
      <c r="W290" s="238" t="e">
        <f ca="1">SUM(S290:U290)</f>
        <v>#NAME?</v>
      </c>
      <c r="AE290" s="238" t="e">
        <f ca="1">GetCtData("PKAMOUNT","AMOUNT",R$11:R$14,$L290:$M290,R$17:R$18,"#6387")</f>
        <v>#NAME?</v>
      </c>
      <c r="AF290" s="239" t="e">
        <f ca="1">GetCtData("PKAMOUNT","AMOUNT",S$11:S$14,$L290:$M290,S$17:S$18,"#2879")</f>
        <v>#NAME?</v>
      </c>
      <c r="AG290" s="238" t="e">
        <f ca="1">IF((W290-AF290)=0,"ok","error")</f>
        <v>#NAME?</v>
      </c>
      <c r="AH290" s="255" t="e">
        <f ca="1">GetCtData("PKAMOUNT","AMOUNT",U$11:U$14,$L290:$M290,U$17:U$18,"#")</f>
        <v>#NAME?</v>
      </c>
      <c r="AL290" s="260"/>
      <c r="AM290" s="257"/>
      <c r="AN290" s="257"/>
      <c r="AO290" s="257"/>
      <c r="AP290" s="260"/>
      <c r="AQ290" s="257"/>
      <c r="AR290" s="257"/>
      <c r="AS290" s="259"/>
      <c r="AT290" s="258"/>
      <c r="AU290" s="258"/>
      <c r="AV290" s="258"/>
      <c r="AW290" s="258"/>
      <c r="BL290" s="73">
        <f>SUM(BK289:BK290)</f>
        <v>0</v>
      </c>
      <c r="BO290" s="73" t="e">
        <f>SUM(#REF!)</f>
        <v>#REF!</v>
      </c>
      <c r="BR290" s="73">
        <f>SUM(BQ289:BQ290)</f>
        <v>0</v>
      </c>
    </row>
    <row r="291" spans="5:70" ht="15" x14ac:dyDescent="0.25">
      <c r="E291" s="262" t="s">
        <v>480</v>
      </c>
      <c r="G291" s="77"/>
      <c r="I291" s="226"/>
      <c r="J291" s="244"/>
      <c r="K291" s="77"/>
      <c r="L291" s="77"/>
      <c r="M291" s="271"/>
      <c r="O291" s="191"/>
      <c r="R291" s="130"/>
      <c r="W291" s="74"/>
      <c r="AE291" s="74"/>
      <c r="AF291" s="74"/>
      <c r="AG291" s="74"/>
      <c r="AH291" s="118"/>
      <c r="AL291" s="260"/>
      <c r="AM291" s="257"/>
      <c r="AN291" s="257"/>
      <c r="AO291" s="257"/>
      <c r="AP291" s="260"/>
      <c r="AQ291" s="257"/>
      <c r="AR291" s="257"/>
      <c r="AS291" s="259"/>
      <c r="AT291" s="258"/>
      <c r="AU291" s="258"/>
      <c r="AV291" s="258"/>
      <c r="AW291" s="258"/>
    </row>
    <row r="292" spans="5:70" ht="15" x14ac:dyDescent="0.25">
      <c r="E292" s="262" t="s">
        <v>481</v>
      </c>
      <c r="G292" s="77"/>
      <c r="I292" s="226"/>
      <c r="J292" s="244"/>
      <c r="K292" s="77"/>
      <c r="L292" s="77"/>
      <c r="M292" s="271"/>
      <c r="O292" s="272" t="s">
        <v>482</v>
      </c>
      <c r="W292" s="74"/>
      <c r="AE292" s="74"/>
      <c r="AF292" s="74"/>
      <c r="AG292" s="74"/>
      <c r="AH292" s="118"/>
      <c r="AL292" s="260"/>
      <c r="AM292" s="257"/>
      <c r="AN292" s="257"/>
      <c r="AO292" s="257"/>
      <c r="AP292" s="257"/>
      <c r="AQ292" s="257"/>
      <c r="AR292" s="257"/>
      <c r="AS292" s="259"/>
      <c r="AT292" s="258"/>
      <c r="AU292" s="258"/>
      <c r="AV292" s="258"/>
      <c r="AW292" s="258"/>
    </row>
    <row r="293" spans="5:70" x14ac:dyDescent="0.2">
      <c r="E293" s="262" t="s">
        <v>483</v>
      </c>
      <c r="G293" s="241"/>
      <c r="H293" s="242"/>
      <c r="I293" s="241"/>
      <c r="J293" s="273"/>
      <c r="K293" s="77"/>
      <c r="L293" s="77"/>
      <c r="M293" s="73" t="s">
        <v>305</v>
      </c>
      <c r="O293" s="247" t="s">
        <v>172</v>
      </c>
      <c r="P293" s="130"/>
      <c r="Q293" s="130"/>
      <c r="R293" s="237" t="e">
        <f t="shared" ref="R293:U296" ca="1" si="327">SUMIF($D$57:$D$89,$O293,R$57:R$89)</f>
        <v>#NAME?</v>
      </c>
      <c r="S293" s="238" t="e">
        <f t="shared" ca="1" si="327"/>
        <v>#NAME?</v>
      </c>
      <c r="T293" s="238" t="e">
        <f t="shared" ca="1" si="327"/>
        <v>#NAME?</v>
      </c>
      <c r="U293" s="238" t="e">
        <f t="shared" ca="1" si="327"/>
        <v>#NAME?</v>
      </c>
      <c r="W293" s="238" t="e">
        <f ca="1">SUM(S293:U293)</f>
        <v>#NAME?</v>
      </c>
      <c r="AE293" s="238" t="e">
        <f ca="1">GetCtData("PKAMOUNT","AMOUNT",R$11:R$14,$M293:$O293,R$17:R$18,"#5022")</f>
        <v>#NAME?</v>
      </c>
      <c r="AF293" s="239" t="e">
        <f ca="1">GetCtData("PKAMOUNT","AMOUNT",S$11:S$14,$M293:$O293,S$17:S$18,"#1661")</f>
        <v>#NAME?</v>
      </c>
      <c r="AG293" s="238" t="e">
        <f ca="1">IF((W293-AF293)=0,"ok","error")</f>
        <v>#NAME?</v>
      </c>
      <c r="AH293" s="255" t="e">
        <f ca="1">GetCtData("PKAMOUNT","AMOUNT",U$11:U$14,$M293:$O293,U$17:U$18,"#")</f>
        <v>#NAME?</v>
      </c>
      <c r="AL293" s="244"/>
      <c r="AN293" s="77"/>
      <c r="AO293" s="77"/>
      <c r="AQ293" s="77"/>
      <c r="AR293" s="77"/>
    </row>
    <row r="294" spans="5:70" x14ac:dyDescent="0.2">
      <c r="E294" s="73" t="s">
        <v>484</v>
      </c>
      <c r="G294" s="77"/>
      <c r="I294" s="77"/>
      <c r="J294" s="77"/>
      <c r="K294" s="77"/>
      <c r="L294" s="77"/>
      <c r="M294" s="73" t="s">
        <v>305</v>
      </c>
      <c r="O294" s="247" t="s">
        <v>279</v>
      </c>
      <c r="R294" s="238" t="e">
        <f t="shared" ca="1" si="327"/>
        <v>#NAME?</v>
      </c>
      <c r="S294" s="238" t="e">
        <f t="shared" ca="1" si="327"/>
        <v>#NAME?</v>
      </c>
      <c r="T294" s="238">
        <f t="shared" si="327"/>
        <v>0</v>
      </c>
      <c r="U294" s="238" t="e">
        <f t="shared" ca="1" si="327"/>
        <v>#NAME?</v>
      </c>
      <c r="W294" s="238" t="e">
        <f ca="1">SUM(S294:U294)</f>
        <v>#NAME?</v>
      </c>
      <c r="AD294" s="214"/>
      <c r="AE294" s="238" t="e">
        <f ca="1">GetCtData("PKAMOUNT","AMOUNT",R$11:R$14,$M294:$O294,R$17:R$18,"#44")</f>
        <v>#NAME?</v>
      </c>
      <c r="AF294" s="239" t="e">
        <f ca="1">GetCtData("PKAMOUNT","AMOUNT",S$11:S$14,$M294:$O294,S$17:S$18,"#-44")</f>
        <v>#NAME?</v>
      </c>
      <c r="AG294" s="238" t="e">
        <f ca="1">IF((W294-AF294)=0,"ok","error")</f>
        <v>#NAME?</v>
      </c>
      <c r="AH294" s="255" t="e">
        <f ca="1">GetCtData("PKAMOUNT","AMOUNT",U$11:U$14,$M294:$O294,U$17:U$18,"#")</f>
        <v>#NAME?</v>
      </c>
      <c r="AL294" s="244"/>
      <c r="AN294" s="77"/>
      <c r="AO294" s="77"/>
      <c r="AQ294" s="77"/>
      <c r="AR294" s="77"/>
    </row>
    <row r="295" spans="5:70" x14ac:dyDescent="0.2">
      <c r="E295" s="73" t="s">
        <v>485</v>
      </c>
      <c r="G295" s="77"/>
      <c r="I295" s="77"/>
      <c r="J295" s="77"/>
      <c r="K295" s="77"/>
      <c r="L295" s="77"/>
      <c r="M295" s="73" t="s">
        <v>305</v>
      </c>
      <c r="N295" s="270"/>
      <c r="O295" s="247" t="s">
        <v>196</v>
      </c>
      <c r="R295" s="238" t="e">
        <f t="shared" ca="1" si="327"/>
        <v>#NAME?</v>
      </c>
      <c r="S295" s="238" t="e">
        <f t="shared" ca="1" si="327"/>
        <v>#NAME?</v>
      </c>
      <c r="T295" s="238" t="e">
        <f t="shared" ca="1" si="327"/>
        <v>#NAME?</v>
      </c>
      <c r="U295" s="238" t="e">
        <f t="shared" ca="1" si="327"/>
        <v>#NAME?</v>
      </c>
      <c r="W295" s="238" t="e">
        <f ca="1">SUM(S295:U295)</f>
        <v>#NAME?</v>
      </c>
      <c r="AE295" s="238" t="e">
        <f ca="1">GetCtData("PKAMOUNT","AMOUNT",R$11:R$14,$M295:$O295,R$17:R$18,"#9")</f>
        <v>#NAME?</v>
      </c>
      <c r="AF295" s="239" t="e">
        <f ca="1">GetCtData("PKAMOUNT","AMOUNT",S$11:S$14,$M295:$O295,S$17:S$18,"#")</f>
        <v>#NAME?</v>
      </c>
      <c r="AG295" s="238" t="e">
        <f ca="1">IF((W295-AF295)=0,"ok","error")</f>
        <v>#NAME?</v>
      </c>
      <c r="AH295" s="255" t="e">
        <f ca="1">GetCtData("PKAMOUNT","AMOUNT",U$11:U$14,$M295:$O295,U$17:U$18,"#")</f>
        <v>#NAME?</v>
      </c>
    </row>
    <row r="296" spans="5:70" x14ac:dyDescent="0.2">
      <c r="E296" s="73" t="s">
        <v>486</v>
      </c>
      <c r="G296" s="77"/>
      <c r="I296" s="77"/>
      <c r="J296" s="274"/>
      <c r="K296" s="77"/>
      <c r="L296" s="77"/>
      <c r="M296" s="73" t="s">
        <v>305</v>
      </c>
      <c r="O296" s="247" t="s">
        <v>296</v>
      </c>
      <c r="R296" s="238" t="e">
        <f t="shared" ca="1" si="327"/>
        <v>#NAME?</v>
      </c>
      <c r="S296" s="238" t="e">
        <f t="shared" ca="1" si="327"/>
        <v>#NAME?</v>
      </c>
      <c r="T296" s="238" t="e">
        <f t="shared" ca="1" si="327"/>
        <v>#NAME?</v>
      </c>
      <c r="U296" s="238" t="e">
        <f t="shared" ca="1" si="327"/>
        <v>#NAME?</v>
      </c>
      <c r="W296" s="238" t="e">
        <f ca="1">SUM(S296:U296)</f>
        <v>#NAME?</v>
      </c>
      <c r="AD296" s="130"/>
      <c r="AE296" s="238" t="e">
        <f ca="1">GetCtData("PKAMOUNT","AMOUNT",R$11:R$14,$M296:$O296,R$17:R$18,"#17")</f>
        <v>#NAME?</v>
      </c>
      <c r="AF296" s="239" t="e">
        <f ca="1">GetCtData("PKAMOUNT","AMOUNT",S$11:S$14,$M296:$O296,S$17:S$18,"#")</f>
        <v>#NAME?</v>
      </c>
      <c r="AG296" s="238" t="e">
        <f ca="1">IF((W296-AF296)=0,"ok","error")</f>
        <v>#NAME?</v>
      </c>
      <c r="AH296" s="255" t="e">
        <f ca="1">GetCtData("PKAMOUNT","AMOUNT",U$11:U$14,$M296:$O296,U$17:U$18,"#")</f>
        <v>#NAME?</v>
      </c>
    </row>
    <row r="297" spans="5:70" ht="15" x14ac:dyDescent="0.25">
      <c r="E297" s="73" t="s">
        <v>487</v>
      </c>
      <c r="G297" s="77"/>
      <c r="I297" s="77"/>
      <c r="J297" s="77"/>
      <c r="K297" s="77"/>
      <c r="L297" s="77"/>
      <c r="M297" s="77"/>
      <c r="O297" s="272"/>
      <c r="R297" s="130"/>
      <c r="S297" s="74">
        <f>SUMIF($D$57:$D$89,$O297,S$57:S$89)</f>
        <v>0</v>
      </c>
      <c r="T297" s="74">
        <f>SUMIF($D$57:$D$89,$O297,T$57:T$89)</f>
        <v>0</v>
      </c>
      <c r="U297" s="74">
        <f>SUMIF($D$57:$D$89,$O297,U$57:U$89)</f>
        <v>0</v>
      </c>
      <c r="W297" s="74"/>
      <c r="AD297" s="130"/>
      <c r="AE297" s="74"/>
      <c r="AF297" s="74"/>
      <c r="AG297" s="74"/>
      <c r="AH297" s="118"/>
    </row>
    <row r="298" spans="5:70" ht="15" x14ac:dyDescent="0.25">
      <c r="E298" s="74"/>
      <c r="G298" s="77"/>
      <c r="I298" s="77"/>
      <c r="J298" s="77"/>
      <c r="K298" s="77"/>
      <c r="L298" s="77"/>
      <c r="M298" s="77"/>
      <c r="O298" s="272" t="s">
        <v>488</v>
      </c>
      <c r="W298" s="74"/>
      <c r="AE298" s="74"/>
      <c r="AF298" s="74"/>
      <c r="AG298" s="74"/>
      <c r="AH298" s="118"/>
    </row>
    <row r="299" spans="5:70" x14ac:dyDescent="0.2">
      <c r="E299" s="74"/>
      <c r="G299" s="77"/>
      <c r="I299" s="77"/>
      <c r="J299" s="77"/>
      <c r="K299" s="77"/>
      <c r="L299" s="77"/>
      <c r="M299" s="77" t="s">
        <v>323</v>
      </c>
      <c r="O299" s="247" t="s">
        <v>172</v>
      </c>
      <c r="R299" s="237" t="e">
        <f ca="1">SUMIF($D$94:$D$113,$O299,R$94:R$113)</f>
        <v>#NAME?</v>
      </c>
      <c r="S299" s="238" t="e">
        <f t="shared" ref="S299:U302" ca="1" si="328">SUMIF($D$94:$D$113,$O299,S$94:S$113)</f>
        <v>#NAME?</v>
      </c>
      <c r="T299" s="238" t="e">
        <f t="shared" ca="1" si="328"/>
        <v>#NAME?</v>
      </c>
      <c r="U299" s="238" t="e">
        <f t="shared" ca="1" si="328"/>
        <v>#NAME?</v>
      </c>
      <c r="W299" s="238" t="e">
        <f ca="1">SUM(S299:U299)</f>
        <v>#NAME?</v>
      </c>
      <c r="AD299" s="130"/>
      <c r="AE299" s="238" t="e">
        <f ca="1">GetCtData("PKAMOUNT","AMOUNT",R$11:R$14,$M299:$O299,R$17:R$18,"#886")</f>
        <v>#NAME?</v>
      </c>
      <c r="AF299" s="239" t="e">
        <f ca="1">GetCtData("PKAMOUNT","AMOUNT",S$11:S$14,$M299:$O299,S$17:S$18,"#86")</f>
        <v>#NAME?</v>
      </c>
      <c r="AG299" s="238" t="e">
        <f ca="1">IF((W299-AF299)=0,"ok","error")</f>
        <v>#NAME?</v>
      </c>
      <c r="AH299" s="255" t="e">
        <f ca="1">GetCtData("PKAMOUNT","AMOUNT",U$11:U$14,$M299:$O299,U$17:U$18,"#")</f>
        <v>#NAME?</v>
      </c>
    </row>
    <row r="300" spans="5:70" x14ac:dyDescent="0.2">
      <c r="E300" s="74"/>
      <c r="G300" s="77"/>
      <c r="I300" s="77"/>
      <c r="J300" s="77"/>
      <c r="K300" s="77"/>
      <c r="L300" s="77"/>
      <c r="M300" s="77" t="s">
        <v>323</v>
      </c>
      <c r="O300" s="247" t="s">
        <v>279</v>
      </c>
      <c r="R300" s="238">
        <f>SUMIF($D$94:$D$113,$O300,R$94:R$113)</f>
        <v>0</v>
      </c>
      <c r="S300" s="238">
        <f t="shared" si="328"/>
        <v>0</v>
      </c>
      <c r="T300" s="238">
        <f t="shared" si="328"/>
        <v>0</v>
      </c>
      <c r="U300" s="238">
        <f t="shared" si="328"/>
        <v>0</v>
      </c>
      <c r="W300" s="238">
        <f>SUM(S300:U300)</f>
        <v>0</v>
      </c>
      <c r="AE300" s="238" t="e">
        <f ca="1">GetCtData("PKAMOUNT","AMOUNT",R$11:R$14,$M300:$O300,R$17:R$18,"#")</f>
        <v>#NAME?</v>
      </c>
      <c r="AF300" s="239" t="e">
        <f ca="1">GetCtData("PKAMOUNT","AMOUNT",S$11:S$14,$M300:$O300,S$17:S$18,"#")</f>
        <v>#NAME?</v>
      </c>
      <c r="AG300" s="238" t="e">
        <f ca="1">IF((W300-AF300)=0,"ok","error")</f>
        <v>#NAME?</v>
      </c>
      <c r="AH300" s="255" t="e">
        <f ca="1">GetCtData("PKAMOUNT","AMOUNT",U$11:U$14,$M300:$O300,U$17:U$18,"#")</f>
        <v>#NAME?</v>
      </c>
    </row>
    <row r="301" spans="5:70" x14ac:dyDescent="0.2">
      <c r="E301" s="74"/>
      <c r="G301" s="77"/>
      <c r="I301" s="77"/>
      <c r="J301" s="77"/>
      <c r="K301" s="77"/>
      <c r="L301" s="77"/>
      <c r="M301" s="77" t="s">
        <v>323</v>
      </c>
      <c r="O301" s="247" t="s">
        <v>196</v>
      </c>
      <c r="R301" s="238" t="e">
        <f ca="1">SUMIF($D$94:$D$113,$O301,R$94:R$113)</f>
        <v>#NAME?</v>
      </c>
      <c r="S301" s="238" t="e">
        <f t="shared" ca="1" si="328"/>
        <v>#NAME?</v>
      </c>
      <c r="T301" s="238" t="e">
        <f t="shared" ca="1" si="328"/>
        <v>#NAME?</v>
      </c>
      <c r="U301" s="238" t="e">
        <f t="shared" ca="1" si="328"/>
        <v>#NAME?</v>
      </c>
      <c r="W301" s="238" t="e">
        <f ca="1">SUM(S301:U301)</f>
        <v>#NAME?</v>
      </c>
      <c r="AE301" s="238" t="e">
        <f ca="1">GetCtData("PKAMOUNT","AMOUNT",R$11:R$14,$M301:$O301,R$17:R$18,"#23")</f>
        <v>#NAME?</v>
      </c>
      <c r="AF301" s="239" t="e">
        <f ca="1">GetCtData("PKAMOUNT","AMOUNT",S$11:S$14,$M301:$O301,S$17:S$18,"#")</f>
        <v>#NAME?</v>
      </c>
      <c r="AG301" s="238" t="e">
        <f ca="1">IF((W301-AF301)=0,"ok","error")</f>
        <v>#NAME?</v>
      </c>
      <c r="AH301" s="255" t="e">
        <f ca="1">GetCtData("PKAMOUNT","AMOUNT",U$11:U$14,$M301:$O301,U$17:U$18,"#")</f>
        <v>#NAME?</v>
      </c>
    </row>
    <row r="302" spans="5:70" x14ac:dyDescent="0.2">
      <c r="E302" s="74"/>
      <c r="G302" s="77"/>
      <c r="I302" s="77"/>
      <c r="J302" s="77"/>
      <c r="K302" s="77"/>
      <c r="L302" s="77"/>
      <c r="M302" s="77" t="s">
        <v>323</v>
      </c>
      <c r="O302" s="247" t="s">
        <v>296</v>
      </c>
      <c r="R302" s="238" t="e">
        <f ca="1">SUMIF($D$94:$D$113,$O302,R$94:R$113)</f>
        <v>#NAME?</v>
      </c>
      <c r="S302" s="238" t="e">
        <f t="shared" ca="1" si="328"/>
        <v>#NAME?</v>
      </c>
      <c r="T302" s="238" t="e">
        <f t="shared" ca="1" si="328"/>
        <v>#NAME?</v>
      </c>
      <c r="U302" s="238" t="e">
        <f t="shared" ca="1" si="328"/>
        <v>#NAME?</v>
      </c>
      <c r="W302" s="238" t="e">
        <f ca="1">SUM(S302:U302)</f>
        <v>#NAME?</v>
      </c>
      <c r="AE302" s="238" t="e">
        <f ca="1">GetCtData("PKAMOUNT","AMOUNT",R$11:R$14,$M302:$O302,R$17:R$18,"#1")</f>
        <v>#NAME?</v>
      </c>
      <c r="AF302" s="239" t="e">
        <f ca="1">GetCtData("PKAMOUNT","AMOUNT",S$11:S$14,$M302:$O302,S$17:S$18,"#")</f>
        <v>#NAME?</v>
      </c>
      <c r="AG302" s="238" t="e">
        <f ca="1">IF((W302-AF302)=0,"ok","error")</f>
        <v>#NAME?</v>
      </c>
      <c r="AH302" s="255" t="e">
        <f ca="1">GetCtData("PKAMOUNT","AMOUNT",U$11:U$14,$M302:$O302,U$17:U$18,"#")</f>
        <v>#NAME?</v>
      </c>
    </row>
    <row r="303" spans="5:70" x14ac:dyDescent="0.2">
      <c r="E303" s="74"/>
      <c r="G303" s="77"/>
      <c r="I303" s="77"/>
      <c r="J303" s="77"/>
      <c r="K303" s="77"/>
      <c r="L303" s="77"/>
      <c r="M303" s="77"/>
      <c r="W303" s="74"/>
      <c r="AE303" s="74"/>
      <c r="AF303" s="74"/>
      <c r="AG303" s="74"/>
      <c r="AH303" s="118"/>
    </row>
    <row r="304" spans="5:70" ht="15" x14ac:dyDescent="0.25">
      <c r="E304" s="74"/>
      <c r="G304" s="77"/>
      <c r="I304" s="77"/>
      <c r="J304" s="77"/>
      <c r="K304" s="77"/>
      <c r="L304" s="77"/>
      <c r="M304" s="77"/>
      <c r="O304" s="272" t="s">
        <v>489</v>
      </c>
      <c r="W304" s="74"/>
      <c r="AE304" s="74"/>
      <c r="AF304" s="74"/>
      <c r="AG304" s="74"/>
      <c r="AH304" s="118"/>
    </row>
    <row r="305" spans="5:37" x14ac:dyDescent="0.2">
      <c r="E305" s="74"/>
      <c r="G305" s="77"/>
      <c r="I305" s="77"/>
      <c r="J305" s="77"/>
      <c r="K305" s="77"/>
      <c r="L305" s="77"/>
      <c r="M305" s="77" t="s">
        <v>336</v>
      </c>
      <c r="O305" s="247" t="s">
        <v>172</v>
      </c>
      <c r="R305" s="237" t="e">
        <f ca="1">SUMIF($D$117:$D$128,$O305,R$117:R$128)</f>
        <v>#NAME?</v>
      </c>
      <c r="S305" s="238" t="e">
        <f t="shared" ref="S305:U308" ca="1" si="329">SUMIF($D$117:$D$128,$O305,S$117:S$128)</f>
        <v>#NAME?</v>
      </c>
      <c r="T305" s="238" t="e">
        <f t="shared" ca="1" si="329"/>
        <v>#NAME?</v>
      </c>
      <c r="U305" s="238" t="e">
        <f t="shared" ca="1" si="329"/>
        <v>#NAME?</v>
      </c>
      <c r="W305" s="238" t="e">
        <f ca="1">SUM(S305:U305)</f>
        <v>#NAME?</v>
      </c>
      <c r="AE305" s="238" t="e">
        <f ca="1">GetCtData("PKAMOUNT","AMOUNT",R$11:R$14,$M305:$O305,R$17:R$18,"#390")</f>
        <v>#NAME?</v>
      </c>
      <c r="AF305" s="239" t="e">
        <f ca="1">GetCtData("PKAMOUNT","AMOUNT",S$11:S$14,$M305:$O305,S$17:S$18,"#128")</f>
        <v>#NAME?</v>
      </c>
      <c r="AG305" s="238" t="e">
        <f ca="1">IF((W305-AF305)=0,"ok","error")</f>
        <v>#NAME?</v>
      </c>
      <c r="AH305" s="255" t="e">
        <f ca="1">GetCtData("PKAMOUNT","AMOUNT",U$11:U$14,$M305:$O305,U$17:U$18,"#")</f>
        <v>#NAME?</v>
      </c>
    </row>
    <row r="306" spans="5:37" x14ac:dyDescent="0.2">
      <c r="E306" s="74"/>
      <c r="G306" s="77"/>
      <c r="I306" s="77"/>
      <c r="J306" s="77"/>
      <c r="K306" s="77"/>
      <c r="L306" s="77"/>
      <c r="M306" s="77" t="s">
        <v>336</v>
      </c>
      <c r="O306" s="247" t="s">
        <v>279</v>
      </c>
      <c r="R306" s="238">
        <f>SUMIF($D$117:$D$128,$O306,R$117:R$128)</f>
        <v>0</v>
      </c>
      <c r="S306" s="238">
        <f t="shared" si="329"/>
        <v>0</v>
      </c>
      <c r="T306" s="238">
        <f t="shared" si="329"/>
        <v>0</v>
      </c>
      <c r="U306" s="238">
        <f t="shared" si="329"/>
        <v>0</v>
      </c>
      <c r="W306" s="238">
        <f>SUM(S306:U306)</f>
        <v>0</v>
      </c>
      <c r="AE306" s="238" t="e">
        <f t="shared" ref="AE306:AF308" ca="1" si="330">GetCtData("PKAMOUNT","AMOUNT",R$11:R$14,$M306:$O306,R$17:R$18,"#")</f>
        <v>#NAME?</v>
      </c>
      <c r="AF306" s="239" t="e">
        <f t="shared" ca="1" si="330"/>
        <v>#NAME?</v>
      </c>
      <c r="AG306" s="238" t="e">
        <f ca="1">IF((W306-AF306)=0,"ok","error")</f>
        <v>#NAME?</v>
      </c>
      <c r="AH306" s="255" t="e">
        <f ca="1">GetCtData("PKAMOUNT","AMOUNT",U$11:U$14,$M306:$O306,U$17:U$18,"#")</f>
        <v>#NAME?</v>
      </c>
    </row>
    <row r="307" spans="5:37" x14ac:dyDescent="0.2">
      <c r="E307" s="74"/>
      <c r="G307" s="77"/>
      <c r="I307" s="77"/>
      <c r="J307" s="244"/>
      <c r="K307" s="77"/>
      <c r="L307" s="77"/>
      <c r="M307" s="77" t="s">
        <v>336</v>
      </c>
      <c r="O307" s="247" t="s">
        <v>196</v>
      </c>
      <c r="R307" s="238">
        <f>SUMIF($D$117:$D$128,$O307,R$117:R$128)</f>
        <v>0</v>
      </c>
      <c r="S307" s="238">
        <f t="shared" si="329"/>
        <v>0</v>
      </c>
      <c r="T307" s="238">
        <f t="shared" si="329"/>
        <v>0</v>
      </c>
      <c r="U307" s="238">
        <f t="shared" si="329"/>
        <v>0</v>
      </c>
      <c r="W307" s="238">
        <f>SUM(S307:U307)</f>
        <v>0</v>
      </c>
      <c r="AE307" s="238" t="e">
        <f t="shared" ca="1" si="330"/>
        <v>#NAME?</v>
      </c>
      <c r="AF307" s="239" t="e">
        <f t="shared" ca="1" si="330"/>
        <v>#NAME?</v>
      </c>
      <c r="AG307" s="238" t="e">
        <f ca="1">IF((W307-AF307)=0,"ok","error")</f>
        <v>#NAME?</v>
      </c>
      <c r="AH307" s="255" t="e">
        <f ca="1">GetCtData("PKAMOUNT","AMOUNT",U$11:U$14,$M307:$O307,U$17:U$18,"#")</f>
        <v>#NAME?</v>
      </c>
      <c r="AK307" s="73">
        <f>SUM(AJ305:AJ306)</f>
        <v>0</v>
      </c>
    </row>
    <row r="308" spans="5:37" x14ac:dyDescent="0.2">
      <c r="M308" s="73" t="s">
        <v>336</v>
      </c>
      <c r="O308" s="247" t="s">
        <v>296</v>
      </c>
      <c r="R308" s="238">
        <f>SUMIF($D$117:$D$128,$O308,R$117:R$128)</f>
        <v>0</v>
      </c>
      <c r="S308" s="238">
        <f t="shared" si="329"/>
        <v>0</v>
      </c>
      <c r="T308" s="238">
        <f t="shared" si="329"/>
        <v>0</v>
      </c>
      <c r="U308" s="238">
        <f t="shared" si="329"/>
        <v>0</v>
      </c>
      <c r="W308" s="238">
        <f>SUM(S308:U308)</f>
        <v>0</v>
      </c>
      <c r="AE308" s="238" t="e">
        <f t="shared" ca="1" si="330"/>
        <v>#NAME?</v>
      </c>
      <c r="AF308" s="239" t="e">
        <f t="shared" ca="1" si="330"/>
        <v>#NAME?</v>
      </c>
      <c r="AG308" s="238" t="e">
        <f ca="1">IF((W308-AF308)=0,"ok","error")</f>
        <v>#NAME?</v>
      </c>
      <c r="AH308" s="255" t="e">
        <f ca="1">GetCtData("PKAMOUNT","AMOUNT",U$11:U$14,$M308:$O308,U$17:U$18,"#")</f>
        <v>#NAME?</v>
      </c>
    </row>
    <row r="309" spans="5:37" x14ac:dyDescent="0.2">
      <c r="W309" s="74"/>
      <c r="AE309" s="74"/>
      <c r="AF309" s="74"/>
      <c r="AG309" s="74"/>
      <c r="AH309" s="118"/>
    </row>
    <row r="310" spans="5:37" ht="15" x14ac:dyDescent="0.25">
      <c r="O310" s="272" t="s">
        <v>490</v>
      </c>
      <c r="W310" s="74"/>
      <c r="AE310" s="74"/>
      <c r="AF310" s="74"/>
      <c r="AG310" s="74"/>
      <c r="AH310" s="118"/>
    </row>
    <row r="311" spans="5:37" x14ac:dyDescent="0.2">
      <c r="M311" s="73" t="s">
        <v>358</v>
      </c>
      <c r="O311" s="247" t="s">
        <v>172</v>
      </c>
      <c r="R311" s="237" t="e">
        <f ca="1">SUMIF($D$132:$D$151,$O311,R$132:R$151)</f>
        <v>#NAME?</v>
      </c>
      <c r="S311" s="238" t="e">
        <f t="shared" ref="S311:U314" ca="1" si="331">SUMIF($D$132:$D$151,$O311,S$132:S$151)</f>
        <v>#NAME?</v>
      </c>
      <c r="T311" s="238" t="e">
        <f t="shared" ca="1" si="331"/>
        <v>#NAME?</v>
      </c>
      <c r="U311" s="238" t="e">
        <f t="shared" ca="1" si="331"/>
        <v>#NAME?</v>
      </c>
      <c r="W311" s="238" t="e">
        <f ca="1">SUM(S311:U311)</f>
        <v>#NAME?</v>
      </c>
      <c r="AE311" s="238" t="e">
        <f ca="1">GetCtData("PKAMOUNT","AMOUNT",R$11:R$14,$M311:$O311,R$17:R$18,"#200")</f>
        <v>#NAME?</v>
      </c>
      <c r="AF311" s="239" t="e">
        <f ca="1">GetCtData("PKAMOUNT","AMOUNT",S$11:S$14,$M311:$O311,S$17:S$18,"#141")</f>
        <v>#NAME?</v>
      </c>
      <c r="AG311" s="238" t="e">
        <f ca="1">IF((W311-AF311)=0,"ok","error")</f>
        <v>#NAME?</v>
      </c>
      <c r="AH311" s="255" t="e">
        <f ca="1">GetCtData("PKAMOUNT","AMOUNT",U$11:U$14,$M311:$O311,U$17:U$18,"#")</f>
        <v>#NAME?</v>
      </c>
    </row>
    <row r="312" spans="5:37" x14ac:dyDescent="0.2">
      <c r="M312" s="73" t="s">
        <v>358</v>
      </c>
      <c r="O312" s="247" t="s">
        <v>279</v>
      </c>
      <c r="R312" s="238">
        <f>SUMIF($D$132:$D$151,$O312,R$132:R$151)</f>
        <v>0</v>
      </c>
      <c r="S312" s="238">
        <f t="shared" si="331"/>
        <v>0</v>
      </c>
      <c r="T312" s="238">
        <f t="shared" si="331"/>
        <v>0</v>
      </c>
      <c r="U312" s="238">
        <f t="shared" si="331"/>
        <v>0</v>
      </c>
      <c r="W312" s="238">
        <f>SUM(S312:U312)</f>
        <v>0</v>
      </c>
      <c r="AE312" s="238" t="e">
        <f t="shared" ref="AE312:AF314" ca="1" si="332">GetCtData("PKAMOUNT","AMOUNT",R$11:R$14,$M312:$O312,R$17:R$18,"#")</f>
        <v>#NAME?</v>
      </c>
      <c r="AF312" s="239" t="e">
        <f t="shared" ca="1" si="332"/>
        <v>#NAME?</v>
      </c>
      <c r="AG312" s="238" t="e">
        <f ca="1">IF((W312-AF312)=0,"ok","error")</f>
        <v>#NAME?</v>
      </c>
      <c r="AH312" s="255" t="e">
        <f ca="1">GetCtData("PKAMOUNT","AMOUNT",U$11:U$14,$M312:$O312,U$17:U$18,"#")</f>
        <v>#NAME?</v>
      </c>
    </row>
    <row r="313" spans="5:37" x14ac:dyDescent="0.2">
      <c r="M313" s="73" t="s">
        <v>358</v>
      </c>
      <c r="O313" s="247" t="s">
        <v>196</v>
      </c>
      <c r="R313" s="238">
        <f>SUMIF($D$132:$D$151,$O313,R$132:R$151)</f>
        <v>0</v>
      </c>
      <c r="S313" s="238">
        <f t="shared" si="331"/>
        <v>0</v>
      </c>
      <c r="T313" s="238">
        <f t="shared" si="331"/>
        <v>0</v>
      </c>
      <c r="U313" s="238">
        <f t="shared" si="331"/>
        <v>0</v>
      </c>
      <c r="W313" s="238">
        <f>SUM(S313:U313)</f>
        <v>0</v>
      </c>
      <c r="AE313" s="238" t="e">
        <f t="shared" ca="1" si="332"/>
        <v>#NAME?</v>
      </c>
      <c r="AF313" s="239" t="e">
        <f t="shared" ca="1" si="332"/>
        <v>#NAME?</v>
      </c>
      <c r="AG313" s="238" t="e">
        <f ca="1">IF((W313-AF313)=0,"ok","error")</f>
        <v>#NAME?</v>
      </c>
      <c r="AH313" s="255" t="e">
        <f ca="1">GetCtData("PKAMOUNT","AMOUNT",U$11:U$14,$M313:$O313,U$17:U$18,"#")</f>
        <v>#NAME?</v>
      </c>
    </row>
    <row r="314" spans="5:37" x14ac:dyDescent="0.2">
      <c r="M314" s="73" t="s">
        <v>358</v>
      </c>
      <c r="O314" s="247" t="s">
        <v>296</v>
      </c>
      <c r="R314" s="238">
        <f>SUMIF($D$132:$D$151,$O314,R$132:R$151)</f>
        <v>0</v>
      </c>
      <c r="S314" s="238">
        <f t="shared" si="331"/>
        <v>0</v>
      </c>
      <c r="T314" s="238">
        <f t="shared" si="331"/>
        <v>0</v>
      </c>
      <c r="U314" s="238">
        <f t="shared" si="331"/>
        <v>0</v>
      </c>
      <c r="W314" s="238">
        <f>SUM(S314:U314)</f>
        <v>0</v>
      </c>
      <c r="AE314" s="238" t="e">
        <f t="shared" ca="1" si="332"/>
        <v>#NAME?</v>
      </c>
      <c r="AF314" s="239" t="e">
        <f t="shared" ca="1" si="332"/>
        <v>#NAME?</v>
      </c>
      <c r="AG314" s="238" t="e">
        <f ca="1">IF((W314-AF314)=0,"ok","error")</f>
        <v>#NAME?</v>
      </c>
      <c r="AH314" s="255" t="e">
        <f ca="1">GetCtData("PKAMOUNT","AMOUNT",U$11:U$14,$M314:$O314,U$17:U$18,"#")</f>
        <v>#NAME?</v>
      </c>
    </row>
    <row r="315" spans="5:37" x14ac:dyDescent="0.2">
      <c r="W315" s="74"/>
      <c r="AE315" s="74"/>
      <c r="AF315" s="74"/>
      <c r="AG315" s="74"/>
      <c r="AH315" s="118"/>
    </row>
    <row r="316" spans="5:37" ht="15" x14ac:dyDescent="0.25">
      <c r="O316" s="272" t="s">
        <v>491</v>
      </c>
      <c r="W316" s="74"/>
      <c r="AE316" s="74"/>
      <c r="AF316" s="74"/>
      <c r="AG316" s="74"/>
      <c r="AH316" s="118"/>
    </row>
    <row r="317" spans="5:37" ht="15" x14ac:dyDescent="0.25">
      <c r="K317" s="275"/>
      <c r="M317" s="276" t="s">
        <v>384</v>
      </c>
      <c r="O317" s="247" t="s">
        <v>172</v>
      </c>
      <c r="R317" s="237" t="e">
        <f ca="1">SUMIF($D$155:$D$187,$O317,R$155:R$187)</f>
        <v>#NAME?</v>
      </c>
      <c r="S317" s="238" t="e">
        <f t="shared" ref="S317:U320" ca="1" si="333">SUMIF($D$155:$D$187,$O317,S$155:S$187)</f>
        <v>#NAME?</v>
      </c>
      <c r="T317" s="238" t="e">
        <f t="shared" ca="1" si="333"/>
        <v>#NAME?</v>
      </c>
      <c r="U317" s="277" t="e">
        <f t="shared" ca="1" si="333"/>
        <v>#NAME?</v>
      </c>
      <c r="W317" s="238" t="e">
        <f ca="1">SUM(S317:U317)</f>
        <v>#NAME?</v>
      </c>
      <c r="AE317" s="238" t="e">
        <f ca="1">GetCtData("PKAMOUNT","AMOUNT",R$11:R$14,$M317:$O317,R$17:R$18,"#220")</f>
        <v>#NAME?</v>
      </c>
      <c r="AF317" s="239" t="e">
        <f ca="1">GetCtData("PKAMOUNT","AMOUNT",S$11:S$14,$M317:$O317,S$17:S$18,"#114")</f>
        <v>#NAME?</v>
      </c>
      <c r="AG317" s="238" t="e">
        <f ca="1">IF((W317-AF317)=0,"ok","error")</f>
        <v>#NAME?</v>
      </c>
      <c r="AH317" s="255" t="e">
        <f ca="1">GetCtData("PKAMOUNT","AMOUNT",U$11:U$14,$M317:$O317,U$17:U$18,"#")</f>
        <v>#NAME?</v>
      </c>
    </row>
    <row r="318" spans="5:37" ht="15" x14ac:dyDescent="0.25">
      <c r="K318" s="275"/>
      <c r="M318" s="276" t="s">
        <v>384</v>
      </c>
      <c r="O318" s="247" t="s">
        <v>279</v>
      </c>
      <c r="R318" s="238">
        <f>SUMIF($D$155:$D$187,$O318,R$155:R$187)</f>
        <v>0</v>
      </c>
      <c r="S318" s="238">
        <f t="shared" si="333"/>
        <v>0</v>
      </c>
      <c r="T318" s="238">
        <f t="shared" si="333"/>
        <v>0</v>
      </c>
      <c r="U318" s="238">
        <f t="shared" si="333"/>
        <v>0</v>
      </c>
      <c r="W318" s="238">
        <f>SUM(S318:U318)</f>
        <v>0</v>
      </c>
      <c r="AE318" s="238" t="e">
        <f ca="1">GetCtData("PKAMOUNT","AMOUNT",R$11:R$14,$M318:$O318,R$17:R$18,"#")</f>
        <v>#NAME?</v>
      </c>
      <c r="AF318" s="239" t="e">
        <f ca="1">GetCtData("PKAMOUNT","AMOUNT",S$11:S$14,$M318:$O318,S$17:S$18,"#")</f>
        <v>#NAME?</v>
      </c>
      <c r="AG318" s="238" t="e">
        <f ca="1">IF((W318-AF318)=0,"ok","error")</f>
        <v>#NAME?</v>
      </c>
      <c r="AH318" s="255" t="e">
        <f ca="1">GetCtData("PKAMOUNT","AMOUNT",U$11:U$14,$M318:$O318,U$17:U$18,"#")</f>
        <v>#NAME?</v>
      </c>
    </row>
    <row r="319" spans="5:37" ht="15" x14ac:dyDescent="0.25">
      <c r="K319" s="275"/>
      <c r="M319" s="276" t="s">
        <v>384</v>
      </c>
      <c r="O319" s="247" t="s">
        <v>196</v>
      </c>
      <c r="R319" s="238" t="e">
        <f ca="1">SUMIF($D$155:$D$187,$O319,R$155:R$187)</f>
        <v>#NAME?</v>
      </c>
      <c r="S319" s="238" t="e">
        <f t="shared" ca="1" si="333"/>
        <v>#NAME?</v>
      </c>
      <c r="T319" s="238" t="e">
        <f t="shared" ca="1" si="333"/>
        <v>#NAME?</v>
      </c>
      <c r="U319" s="238" t="e">
        <f t="shared" ca="1" si="333"/>
        <v>#NAME?</v>
      </c>
      <c r="W319" s="238" t="e">
        <f ca="1">SUM(S319:U319)</f>
        <v>#NAME?</v>
      </c>
      <c r="AE319" s="238" t="e">
        <f ca="1">GetCtData("PKAMOUNT","AMOUNT",R$11:R$14,$M319:$O319,R$17:R$18,"#268.744")</f>
        <v>#NAME?</v>
      </c>
      <c r="AF319" s="239" t="e">
        <f ca="1">GetCtData("PKAMOUNT","AMOUNT",S$11:S$14,$M319:$O319,S$17:S$18,"#-3.744")</f>
        <v>#NAME?</v>
      </c>
      <c r="AG319" s="238" t="e">
        <f ca="1">IF((W319-AF319)=0,"ok","error")</f>
        <v>#NAME?</v>
      </c>
      <c r="AH319" s="255" t="e">
        <f ca="1">GetCtData("PKAMOUNT","AMOUNT",U$11:U$14,$M319:$O319,U$17:U$18,"#")</f>
        <v>#NAME?</v>
      </c>
    </row>
    <row r="320" spans="5:37" ht="15" x14ac:dyDescent="0.25">
      <c r="K320" s="275"/>
      <c r="M320" s="276" t="s">
        <v>384</v>
      </c>
      <c r="O320" s="247" t="s">
        <v>296</v>
      </c>
      <c r="R320" s="238" t="e">
        <f ca="1">SUMIF($D$155:$D$187,$O320,R$155:R$187)</f>
        <v>#NAME?</v>
      </c>
      <c r="S320" s="238" t="e">
        <f t="shared" ca="1" si="333"/>
        <v>#NAME?</v>
      </c>
      <c r="T320" s="238" t="e">
        <f t="shared" ca="1" si="333"/>
        <v>#NAME?</v>
      </c>
      <c r="U320" s="238" t="e">
        <f t="shared" ca="1" si="333"/>
        <v>#NAME?</v>
      </c>
      <c r="W320" s="238" t="e">
        <f ca="1">SUM(S320:U320)</f>
        <v>#NAME?</v>
      </c>
      <c r="AE320" s="238" t="e">
        <f ca="1">GetCtData("PKAMOUNT","AMOUNT",R$11:R$14,$M320:$O320,R$17:R$18,"#72")</f>
        <v>#NAME?</v>
      </c>
      <c r="AF320" s="239" t="e">
        <f ca="1">GetCtData("PKAMOUNT","AMOUNT",S$11:S$14,$M320:$O320,S$17:S$18,"#-64")</f>
        <v>#NAME?</v>
      </c>
      <c r="AG320" s="238" t="e">
        <f ca="1">IF((W320-AF320)=0,"ok","error")</f>
        <v>#NAME?</v>
      </c>
      <c r="AH320" s="255" t="e">
        <f ca="1">GetCtData("PKAMOUNT","AMOUNT",U$11:U$14,$M320:$O320,U$17:U$18,"#")</f>
        <v>#NAME?</v>
      </c>
    </row>
    <row r="321" spans="11:34" x14ac:dyDescent="0.2">
      <c r="K321" s="275"/>
      <c r="W321" s="74"/>
      <c r="AE321" s="74"/>
      <c r="AF321" s="74"/>
      <c r="AG321" s="74"/>
      <c r="AH321" s="118"/>
    </row>
    <row r="322" spans="11:34" ht="15" x14ac:dyDescent="0.25">
      <c r="O322" s="272" t="s">
        <v>492</v>
      </c>
      <c r="W322" s="74"/>
      <c r="AE322" s="74"/>
      <c r="AF322" s="74"/>
      <c r="AG322" s="74"/>
      <c r="AH322" s="118"/>
    </row>
    <row r="323" spans="11:34" x14ac:dyDescent="0.2">
      <c r="K323" s="275"/>
      <c r="M323" s="73" t="s">
        <v>401</v>
      </c>
      <c r="O323" s="247" t="s">
        <v>172</v>
      </c>
      <c r="R323" s="237" t="e">
        <f ca="1">SUMIF($D$191:$D$204,$O323,R$191:R$204)</f>
        <v>#NAME?</v>
      </c>
      <c r="S323" s="238" t="e">
        <f t="shared" ref="S323:U326" ca="1" si="334">SUMIF($D$191:$D$204,$O323,S$191:S$204)</f>
        <v>#NAME?</v>
      </c>
      <c r="T323" s="238" t="e">
        <f t="shared" ca="1" si="334"/>
        <v>#NAME?</v>
      </c>
      <c r="U323" s="238" t="e">
        <f t="shared" ca="1" si="334"/>
        <v>#NAME?</v>
      </c>
      <c r="W323" s="238" t="e">
        <f ca="1">SUM(S323:U323)</f>
        <v>#NAME?</v>
      </c>
      <c r="AE323" s="238" t="e">
        <f ca="1">GetCtData("PKAMOUNT","AMOUNT",R$11:R$14,$M323:$O323,R$17:R$18,"#82")</f>
        <v>#NAME?</v>
      </c>
      <c r="AF323" s="239" t="e">
        <f ca="1">GetCtData("PKAMOUNT","AMOUNT",S$11:S$14,$M323:$O323,S$17:S$18,"#6")</f>
        <v>#NAME?</v>
      </c>
      <c r="AG323" s="238" t="e">
        <f ca="1">IF((W323-AF323)=0,"ok","error")</f>
        <v>#NAME?</v>
      </c>
      <c r="AH323" s="255" t="e">
        <f ca="1">GetCtData("PKAMOUNT","AMOUNT",U$11:U$14,$M323:$O323,U$17:U$18,"#")</f>
        <v>#NAME?</v>
      </c>
    </row>
    <row r="324" spans="11:34" x14ac:dyDescent="0.2">
      <c r="K324" s="275"/>
      <c r="M324" s="73" t="s">
        <v>401</v>
      </c>
      <c r="O324" s="247" t="s">
        <v>279</v>
      </c>
      <c r="R324" s="238">
        <f>SUMIF($D$191:$D$204,$O324,R$191:R$204)</f>
        <v>0</v>
      </c>
      <c r="S324" s="238">
        <f t="shared" si="334"/>
        <v>0</v>
      </c>
      <c r="T324" s="238">
        <f t="shared" si="334"/>
        <v>0</v>
      </c>
      <c r="U324" s="238">
        <f t="shared" si="334"/>
        <v>0</v>
      </c>
      <c r="W324" s="238">
        <f>SUM(S324:U324)</f>
        <v>0</v>
      </c>
      <c r="AE324" s="238" t="e">
        <f t="shared" ref="AE324:AF326" ca="1" si="335">GetCtData("PKAMOUNT","AMOUNT",R$11:R$14,$M324:$O324,R$17:R$18,"#")</f>
        <v>#NAME?</v>
      </c>
      <c r="AF324" s="239" t="e">
        <f t="shared" ca="1" si="335"/>
        <v>#NAME?</v>
      </c>
      <c r="AG324" s="238" t="e">
        <f ca="1">IF((W324-AF324)=0,"ok","error")</f>
        <v>#NAME?</v>
      </c>
      <c r="AH324" s="255" t="e">
        <f ca="1">GetCtData("PKAMOUNT","AMOUNT",U$11:U$14,$M324:$O324,U$17:U$18,"#")</f>
        <v>#NAME?</v>
      </c>
    </row>
    <row r="325" spans="11:34" x14ac:dyDescent="0.2">
      <c r="M325" s="73" t="s">
        <v>401</v>
      </c>
      <c r="O325" s="247" t="s">
        <v>196</v>
      </c>
      <c r="R325" s="238">
        <f>SUMIF($D$191:$D$204,$O325,R$191:R$204)</f>
        <v>0</v>
      </c>
      <c r="S325" s="238">
        <f t="shared" si="334"/>
        <v>0</v>
      </c>
      <c r="T325" s="238">
        <f t="shared" si="334"/>
        <v>0</v>
      </c>
      <c r="U325" s="238">
        <f t="shared" si="334"/>
        <v>0</v>
      </c>
      <c r="W325" s="238">
        <f>SUM(S325:U325)</f>
        <v>0</v>
      </c>
      <c r="AE325" s="238" t="e">
        <f t="shared" ca="1" si="335"/>
        <v>#NAME?</v>
      </c>
      <c r="AF325" s="239" t="e">
        <f t="shared" ca="1" si="335"/>
        <v>#NAME?</v>
      </c>
      <c r="AG325" s="238" t="e">
        <f ca="1">IF((W325-AF325)=0,"ok","error")</f>
        <v>#NAME?</v>
      </c>
      <c r="AH325" s="255" t="e">
        <f ca="1">GetCtData("PKAMOUNT","AMOUNT",U$11:U$14,$M325:$O325,U$17:U$18,"#")</f>
        <v>#NAME?</v>
      </c>
    </row>
    <row r="326" spans="11:34" x14ac:dyDescent="0.2">
      <c r="M326" s="73" t="s">
        <v>401</v>
      </c>
      <c r="O326" s="247" t="s">
        <v>296</v>
      </c>
      <c r="R326" s="238">
        <f>SUMIF($D$191:$D$204,$O326,R$191:R$204)</f>
        <v>0</v>
      </c>
      <c r="S326" s="238">
        <f t="shared" si="334"/>
        <v>0</v>
      </c>
      <c r="T326" s="238">
        <f t="shared" si="334"/>
        <v>0</v>
      </c>
      <c r="U326" s="238">
        <f t="shared" si="334"/>
        <v>0</v>
      </c>
      <c r="W326" s="238">
        <f>SUM(S326:U326)</f>
        <v>0</v>
      </c>
      <c r="AE326" s="238" t="e">
        <f t="shared" ca="1" si="335"/>
        <v>#NAME?</v>
      </c>
      <c r="AF326" s="239" t="e">
        <f t="shared" ca="1" si="335"/>
        <v>#NAME?</v>
      </c>
      <c r="AG326" s="238" t="e">
        <f ca="1">IF((W326-AF326)=0,"ok","error")</f>
        <v>#NAME?</v>
      </c>
      <c r="AH326" s="255" t="e">
        <f ca="1">GetCtData("PKAMOUNT","AMOUNT",U$11:U$14,$M326:$O326,U$17:U$18,"#")</f>
        <v>#NAME?</v>
      </c>
    </row>
    <row r="327" spans="11:34" x14ac:dyDescent="0.2">
      <c r="W327" s="74"/>
      <c r="AE327" s="74"/>
      <c r="AF327" s="74"/>
      <c r="AG327" s="74"/>
      <c r="AH327" s="118"/>
    </row>
    <row r="328" spans="11:34" ht="15" x14ac:dyDescent="0.25">
      <c r="O328" s="272" t="s">
        <v>493</v>
      </c>
      <c r="W328" s="74"/>
      <c r="AE328" s="74"/>
      <c r="AF328" s="74"/>
      <c r="AG328" s="74"/>
      <c r="AH328" s="118"/>
    </row>
    <row r="329" spans="11:34" x14ac:dyDescent="0.2">
      <c r="M329" s="73" t="s">
        <v>413</v>
      </c>
      <c r="O329" s="247" t="s">
        <v>172</v>
      </c>
      <c r="R329" s="237" t="e">
        <f t="shared" ref="R329:U332" ca="1" si="336">SUMIF($D$208:$D$218,$O329,R$208:R$218)</f>
        <v>#NAME?</v>
      </c>
      <c r="S329" s="238" t="e">
        <f t="shared" ca="1" si="336"/>
        <v>#NAME?</v>
      </c>
      <c r="T329" s="238" t="e">
        <f t="shared" ca="1" si="336"/>
        <v>#NAME?</v>
      </c>
      <c r="U329" s="238">
        <f t="shared" si="336"/>
        <v>0</v>
      </c>
      <c r="W329" s="238" t="e">
        <f ca="1">SUM(S329:U329)</f>
        <v>#NAME?</v>
      </c>
      <c r="AE329" s="238" t="e">
        <f ca="1">GetCtData("PKAMOUNT","AMOUNT",R$11:R$14,$M329:$O329,R$17:R$18,"#427.609")</f>
        <v>#NAME?</v>
      </c>
      <c r="AF329" s="239" t="e">
        <f ca="1">GetCtData("PKAMOUNT","AMOUNT",S$11:S$14,$M329:$O329,S$17:S$18,"#-339.123")</f>
        <v>#NAME?</v>
      </c>
      <c r="AG329" s="238" t="e">
        <f ca="1">IF((W329-AF329)=0,"ok","error")</f>
        <v>#NAME?</v>
      </c>
      <c r="AH329" s="255" t="e">
        <f ca="1">GetCtData("PKAMOUNT","AMOUNT",U$11:U$14,$M329:$O329,U$17:U$18,"#")</f>
        <v>#NAME?</v>
      </c>
    </row>
    <row r="330" spans="11:34" x14ac:dyDescent="0.2">
      <c r="M330" s="73" t="s">
        <v>413</v>
      </c>
      <c r="O330" s="247" t="s">
        <v>279</v>
      </c>
      <c r="R330" s="238">
        <f t="shared" si="336"/>
        <v>0</v>
      </c>
      <c r="S330" s="238">
        <f t="shared" si="336"/>
        <v>0</v>
      </c>
      <c r="T330" s="238">
        <f t="shared" si="336"/>
        <v>0</v>
      </c>
      <c r="U330" s="238">
        <f t="shared" si="336"/>
        <v>0</v>
      </c>
      <c r="W330" s="238">
        <f>SUM(S330:U330)</f>
        <v>0</v>
      </c>
      <c r="AE330" s="238" t="e">
        <f ca="1">GetCtData("PKAMOUNT","AMOUNT",R$11:R$14,$M330:$O330,R$17:R$18,"#")</f>
        <v>#NAME?</v>
      </c>
      <c r="AF330" s="239" t="e">
        <f ca="1">GetCtData("PKAMOUNT","AMOUNT",S$11:S$14,$M330:$O330,S$17:S$18,"#")</f>
        <v>#NAME?</v>
      </c>
      <c r="AG330" s="238" t="e">
        <f ca="1">IF((W330-AF330)=0,"ok","error")</f>
        <v>#NAME?</v>
      </c>
      <c r="AH330" s="255" t="e">
        <f ca="1">GetCtData("PKAMOUNT","AMOUNT",U$11:U$14,$M330:$O330,U$17:U$18,"#")</f>
        <v>#NAME?</v>
      </c>
    </row>
    <row r="331" spans="11:34" x14ac:dyDescent="0.2">
      <c r="M331" s="73" t="s">
        <v>413</v>
      </c>
      <c r="O331" s="247" t="s">
        <v>196</v>
      </c>
      <c r="R331" s="238" t="e">
        <f t="shared" ca="1" si="336"/>
        <v>#NAME?</v>
      </c>
      <c r="S331" s="238">
        <f t="shared" si="336"/>
        <v>0</v>
      </c>
      <c r="T331" s="238" t="e">
        <f t="shared" ca="1" si="336"/>
        <v>#NAME?</v>
      </c>
      <c r="U331" s="238">
        <f t="shared" si="336"/>
        <v>0</v>
      </c>
      <c r="W331" s="238" t="e">
        <f ca="1">SUM(S331:U331)</f>
        <v>#NAME?</v>
      </c>
      <c r="AE331" s="238" t="e">
        <f ca="1">GetCtData("PKAMOUNT","AMOUNT",R$11:R$14,$M331:$O331,R$17:R$18,"#11.667")</f>
        <v>#NAME?</v>
      </c>
      <c r="AF331" s="239" t="e">
        <f ca="1">GetCtData("PKAMOUNT","AMOUNT",S$11:S$14,$M331:$O331,S$17:S$18,"#")</f>
        <v>#NAME?</v>
      </c>
      <c r="AG331" s="238" t="e">
        <f ca="1">IF((W331-AF331)=0,"ok","error")</f>
        <v>#NAME?</v>
      </c>
      <c r="AH331" s="255" t="e">
        <f ca="1">GetCtData("PKAMOUNT","AMOUNT",U$11:U$14,$M331:$O331,U$17:U$18,"#")</f>
        <v>#NAME?</v>
      </c>
    </row>
    <row r="332" spans="11:34" x14ac:dyDescent="0.2">
      <c r="M332" s="73" t="s">
        <v>413</v>
      </c>
      <c r="O332" s="247" t="s">
        <v>296</v>
      </c>
      <c r="R332" s="238">
        <f t="shared" si="336"/>
        <v>0</v>
      </c>
      <c r="S332" s="238">
        <f t="shared" si="336"/>
        <v>0</v>
      </c>
      <c r="T332" s="238">
        <f t="shared" si="336"/>
        <v>0</v>
      </c>
      <c r="U332" s="238">
        <f t="shared" si="336"/>
        <v>0</v>
      </c>
      <c r="W332" s="238">
        <f>SUM(S332:U332)</f>
        <v>0</v>
      </c>
      <c r="AE332" s="238" t="e">
        <f ca="1">GetCtData("PKAMOUNT","AMOUNT",R$11:R$14,$M332:$O332,R$17:R$18,"#")</f>
        <v>#NAME?</v>
      </c>
      <c r="AF332" s="239" t="e">
        <f ca="1">GetCtData("PKAMOUNT","AMOUNT",S$11:S$14,$M332:$O332,S$17:S$18,"#")</f>
        <v>#NAME?</v>
      </c>
      <c r="AG332" s="238" t="e">
        <f ca="1">IF((W332-AF332)=0,"ok","error")</f>
        <v>#NAME?</v>
      </c>
      <c r="AH332" s="255" t="e">
        <f ca="1">GetCtData("PKAMOUNT","AMOUNT",U$11:U$14,$M332:$O332,U$17:U$18,"#")</f>
        <v>#NAME?</v>
      </c>
    </row>
    <row r="333" spans="11:34" x14ac:dyDescent="0.2">
      <c r="O333" s="70"/>
      <c r="W333" s="74"/>
      <c r="AE333" s="74"/>
      <c r="AF333" s="74"/>
      <c r="AG333" s="74"/>
      <c r="AH333" s="118"/>
    </row>
    <row r="334" spans="11:34" x14ac:dyDescent="0.2">
      <c r="O334" s="278" t="s">
        <v>494</v>
      </c>
      <c r="P334" s="279"/>
      <c r="Q334" s="279"/>
      <c r="R334" s="280" t="e">
        <f ca="1">R290-SUM(R293:R332)</f>
        <v>#NAME?</v>
      </c>
      <c r="S334" s="279" t="e">
        <f ca="1">S290-SUM(S293:S332)</f>
        <v>#NAME?</v>
      </c>
      <c r="T334" s="279" t="e">
        <f ca="1">T290-SUM(T293:T332)</f>
        <v>#NAME?</v>
      </c>
      <c r="U334" s="281" t="e">
        <f ca="1">U290-SUM(U293:U332)</f>
        <v>#NAME?</v>
      </c>
      <c r="W334" s="281" t="e">
        <f ca="1">SUM(S334:U334)</f>
        <v>#NAME?</v>
      </c>
      <c r="AE334" s="279" t="e">
        <f ca="1">AE290-SUM(AE293:AE332)</f>
        <v>#NAME?</v>
      </c>
      <c r="AF334" s="279" t="e">
        <f ca="1">AF290-SUM(AF293:AF332)</f>
        <v>#NAME?</v>
      </c>
      <c r="AG334" s="279" t="e">
        <f ca="1">IF((W334-AF334)=0,"ok","error")</f>
        <v>#NAME?</v>
      </c>
      <c r="AH334" s="118" t="e">
        <f ca="1">AH290-SUM(AH293:AH332)</f>
        <v>#NAME?</v>
      </c>
    </row>
    <row r="335" spans="11:34" ht="15" x14ac:dyDescent="0.25">
      <c r="O335" s="272"/>
      <c r="R335" s="130"/>
      <c r="U335" s="206" t="s">
        <v>140</v>
      </c>
      <c r="W335" s="206"/>
      <c r="AE335" s="130"/>
      <c r="AF335" s="74"/>
      <c r="AG335" s="74"/>
      <c r="AH335" s="118"/>
    </row>
    <row r="336" spans="11:34" ht="15" x14ac:dyDescent="0.25">
      <c r="O336" s="272" t="s">
        <v>495</v>
      </c>
      <c r="W336" s="74"/>
      <c r="AE336" s="74"/>
      <c r="AF336" s="74"/>
      <c r="AG336" s="74"/>
      <c r="AH336" s="118"/>
    </row>
    <row r="337" spans="13:34" x14ac:dyDescent="0.2">
      <c r="M337" s="73" t="s">
        <v>424</v>
      </c>
      <c r="O337" s="247" t="s">
        <v>172</v>
      </c>
      <c r="R337" s="237" t="e">
        <f ca="1">SUMIF($D$227:$D$232,$O337,R$227:R$232)</f>
        <v>#NAME?</v>
      </c>
      <c r="S337" s="238" t="e">
        <f t="shared" ref="S337:U340" ca="1" si="337">SUMIF($D$227:$D$232,$O337,S$227:S$232)</f>
        <v>#NAME?</v>
      </c>
      <c r="T337" s="238" t="e">
        <f t="shared" ca="1" si="337"/>
        <v>#NAME?</v>
      </c>
      <c r="U337" s="238" t="e">
        <f t="shared" ca="1" si="337"/>
        <v>#NAME?</v>
      </c>
      <c r="W337" s="238" t="e">
        <f ca="1">SUM(S337:U337)</f>
        <v>#NAME?</v>
      </c>
      <c r="AE337" s="238" t="e">
        <f ca="1">GetCtData("PKAMOUNT","AMOUNT",R$11:R$14,$M337:$O337,R$17:R$18,"#-7")</f>
        <v>#NAME?</v>
      </c>
      <c r="AF337" s="239" t="e">
        <f ca="1">GetCtData("PKAMOUNT","AMOUNT",S$11:S$14,$M337:$O337,S$17:S$18,"#-1")</f>
        <v>#NAME?</v>
      </c>
      <c r="AG337" s="238" t="e">
        <f ca="1">IF((W337-AF337)=0,"ok","error")</f>
        <v>#NAME?</v>
      </c>
      <c r="AH337" s="255" t="e">
        <f ca="1">GetCtData("PKAMOUNT","AMOUNT",U$11:U$14,$M337:$O337,U$17:U$18,"#")</f>
        <v>#NAME?</v>
      </c>
    </row>
    <row r="338" spans="13:34" x14ac:dyDescent="0.2">
      <c r="M338" s="73" t="s">
        <v>424</v>
      </c>
      <c r="O338" s="247" t="s">
        <v>279</v>
      </c>
      <c r="R338" s="238">
        <f>SUMIF($D$227:$D$232,$O338,R$227:R$232)</f>
        <v>0</v>
      </c>
      <c r="S338" s="238">
        <f t="shared" si="337"/>
        <v>0</v>
      </c>
      <c r="T338" s="238">
        <f t="shared" si="337"/>
        <v>0</v>
      </c>
      <c r="U338" s="238">
        <f t="shared" si="337"/>
        <v>0</v>
      </c>
      <c r="W338" s="238">
        <f>SUM(S338:U338)</f>
        <v>0</v>
      </c>
      <c r="AE338" s="238" t="e">
        <f t="shared" ref="AE338:AF340" ca="1" si="338">GetCtData("PKAMOUNT","AMOUNT",R$11:R$14,$M338:$O338,R$17:R$18,"#")</f>
        <v>#NAME?</v>
      </c>
      <c r="AF338" s="239" t="e">
        <f t="shared" ca="1" si="338"/>
        <v>#NAME?</v>
      </c>
      <c r="AG338" s="238" t="e">
        <f ca="1">IF((W338-AF338)=0,"ok","error")</f>
        <v>#NAME?</v>
      </c>
      <c r="AH338" s="255" t="e">
        <f ca="1">GetCtData("PKAMOUNT","AMOUNT",U$11:U$14,$M338:$O338,U$17:U$18,"#")</f>
        <v>#NAME?</v>
      </c>
    </row>
    <row r="339" spans="13:34" x14ac:dyDescent="0.2">
      <c r="M339" s="73" t="s">
        <v>424</v>
      </c>
      <c r="O339" s="247" t="s">
        <v>196</v>
      </c>
      <c r="R339" s="238">
        <f>SUMIF($D$227:$D$232,$O339,R$227:R$232)</f>
        <v>0</v>
      </c>
      <c r="S339" s="238">
        <f t="shared" si="337"/>
        <v>0</v>
      </c>
      <c r="T339" s="238">
        <f t="shared" si="337"/>
        <v>0</v>
      </c>
      <c r="U339" s="238">
        <f t="shared" si="337"/>
        <v>0</v>
      </c>
      <c r="W339" s="238">
        <f>SUM(S339:U339)</f>
        <v>0</v>
      </c>
      <c r="AE339" s="238" t="e">
        <f t="shared" ca="1" si="338"/>
        <v>#NAME?</v>
      </c>
      <c r="AF339" s="239" t="e">
        <f t="shared" ca="1" si="338"/>
        <v>#NAME?</v>
      </c>
      <c r="AG339" s="238" t="e">
        <f ca="1">IF((W339-AF339)=0,"ok","error")</f>
        <v>#NAME?</v>
      </c>
      <c r="AH339" s="255" t="e">
        <f ca="1">GetCtData("PKAMOUNT","AMOUNT",U$11:U$14,$M339:$O339,U$17:U$18,"#")</f>
        <v>#NAME?</v>
      </c>
    </row>
    <row r="340" spans="13:34" x14ac:dyDescent="0.2">
      <c r="M340" s="73" t="s">
        <v>424</v>
      </c>
      <c r="O340" s="247" t="s">
        <v>296</v>
      </c>
      <c r="R340" s="238">
        <f>SUMIF($D$227:$D$232,$O340,R$227:R$232)</f>
        <v>0</v>
      </c>
      <c r="S340" s="238">
        <f t="shared" si="337"/>
        <v>0</v>
      </c>
      <c r="T340" s="238">
        <f t="shared" si="337"/>
        <v>0</v>
      </c>
      <c r="U340" s="238">
        <f t="shared" si="337"/>
        <v>0</v>
      </c>
      <c r="W340" s="238">
        <f>SUM(S340:U340)</f>
        <v>0</v>
      </c>
      <c r="AE340" s="238" t="e">
        <f t="shared" ca="1" si="338"/>
        <v>#NAME?</v>
      </c>
      <c r="AF340" s="239" t="e">
        <f t="shared" ca="1" si="338"/>
        <v>#NAME?</v>
      </c>
      <c r="AG340" s="238" t="e">
        <f ca="1">IF((W340-AF340)=0,"ok","error")</f>
        <v>#NAME?</v>
      </c>
      <c r="AH340" s="255" t="e">
        <f ca="1">GetCtData("PKAMOUNT","AMOUNT",U$11:U$14,$M340:$O340,U$17:U$18,"#")</f>
        <v>#NAME?</v>
      </c>
    </row>
    <row r="341" spans="13:34" x14ac:dyDescent="0.2">
      <c r="W341" s="74"/>
      <c r="AE341" s="74"/>
      <c r="AF341" s="74"/>
      <c r="AG341" s="74"/>
      <c r="AH341" s="118"/>
    </row>
    <row r="342" spans="13:34" ht="15" x14ac:dyDescent="0.25">
      <c r="O342" s="272" t="s">
        <v>496</v>
      </c>
      <c r="W342" s="74"/>
      <c r="AE342" s="74"/>
      <c r="AF342" s="74"/>
      <c r="AG342" s="74"/>
      <c r="AH342" s="118"/>
    </row>
    <row r="343" spans="13:34" x14ac:dyDescent="0.2">
      <c r="M343" s="73" t="s">
        <v>436</v>
      </c>
      <c r="O343" s="247" t="s">
        <v>172</v>
      </c>
      <c r="R343" s="237" t="e">
        <f ca="1">SUMIF($D$246:$D$250,$O343,R$246:R$250)</f>
        <v>#NAME?</v>
      </c>
      <c r="S343" s="238" t="e">
        <f t="shared" ref="S343:U346" ca="1" si="339">SUMIF($D$246:$D$250,$O343,S$246:S$250)</f>
        <v>#NAME?</v>
      </c>
      <c r="T343" s="238" t="e">
        <f t="shared" ca="1" si="339"/>
        <v>#NAME?</v>
      </c>
      <c r="U343" s="238" t="e">
        <f t="shared" ca="1" si="339"/>
        <v>#NAME?</v>
      </c>
      <c r="W343" s="238" t="e">
        <f ca="1">SUM(S343:U343)</f>
        <v>#NAME?</v>
      </c>
      <c r="AE343" s="238" t="e">
        <f ca="1">GetCtData("PKAMOUNT","AMOUNT",R$11:R$14,$M343:$O343,R$17:R$18,"#0")</f>
        <v>#NAME?</v>
      </c>
      <c r="AF343" s="239" t="e">
        <f ca="1">GetCtData("PKAMOUNT","AMOUNT",S$11:S$14,$M343:$O343,S$17:S$18,"#0")</f>
        <v>#NAME?</v>
      </c>
      <c r="AG343" s="238" t="e">
        <f ca="1">IF((W343-AF343)=0,"ok","error")</f>
        <v>#NAME?</v>
      </c>
      <c r="AH343" s="255" t="e">
        <f ca="1">GetCtData("PKAMOUNT","AMOUNT",U$11:U$14,$M343:$O343,U$17:U$18,"#")</f>
        <v>#NAME?</v>
      </c>
    </row>
    <row r="344" spans="13:34" x14ac:dyDescent="0.2">
      <c r="M344" s="73" t="s">
        <v>436</v>
      </c>
      <c r="O344" s="247" t="s">
        <v>279</v>
      </c>
      <c r="R344" s="238">
        <f>SUMIF($D$246:$D$250,$O344,R$246:R$250)</f>
        <v>0</v>
      </c>
      <c r="S344" s="238">
        <f t="shared" si="339"/>
        <v>0</v>
      </c>
      <c r="T344" s="238">
        <f t="shared" si="339"/>
        <v>0</v>
      </c>
      <c r="U344" s="238">
        <f t="shared" si="339"/>
        <v>0</v>
      </c>
      <c r="W344" s="238">
        <f>SUM(S344:U344)</f>
        <v>0</v>
      </c>
      <c r="AE344" s="238" t="e">
        <f t="shared" ref="AE344:AF346" ca="1" si="340">GetCtData("PKAMOUNT","AMOUNT",R$11:R$14,$M344:$O344,R$17:R$18,"#")</f>
        <v>#NAME?</v>
      </c>
      <c r="AF344" s="239" t="e">
        <f t="shared" ca="1" si="340"/>
        <v>#NAME?</v>
      </c>
      <c r="AG344" s="238" t="e">
        <f ca="1">IF((W344-AF344)=0,"ok","error")</f>
        <v>#NAME?</v>
      </c>
      <c r="AH344" s="255" t="e">
        <f ca="1">GetCtData("PKAMOUNT","AMOUNT",U$11:U$14,$M344:$O344,U$17:U$18,"#")</f>
        <v>#NAME?</v>
      </c>
    </row>
    <row r="345" spans="13:34" x14ac:dyDescent="0.2">
      <c r="M345" s="73" t="s">
        <v>436</v>
      </c>
      <c r="O345" s="247" t="s">
        <v>196</v>
      </c>
      <c r="R345" s="238">
        <f>SUMIF($D$246:$D$250,$O345,R$246:R$250)</f>
        <v>0</v>
      </c>
      <c r="S345" s="238">
        <f t="shared" si="339"/>
        <v>0</v>
      </c>
      <c r="T345" s="238">
        <f t="shared" si="339"/>
        <v>0</v>
      </c>
      <c r="U345" s="238">
        <f t="shared" si="339"/>
        <v>0</v>
      </c>
      <c r="W345" s="238">
        <f>SUM(S345:U345)</f>
        <v>0</v>
      </c>
      <c r="AE345" s="238" t="e">
        <f t="shared" ca="1" si="340"/>
        <v>#NAME?</v>
      </c>
      <c r="AF345" s="239" t="e">
        <f t="shared" ca="1" si="340"/>
        <v>#NAME?</v>
      </c>
      <c r="AG345" s="238" t="e">
        <f ca="1">IF((W345-AF345)=0,"ok","error")</f>
        <v>#NAME?</v>
      </c>
      <c r="AH345" s="255" t="e">
        <f ca="1">GetCtData("PKAMOUNT","AMOUNT",U$11:U$14,$M345:$O345,U$17:U$18,"#")</f>
        <v>#NAME?</v>
      </c>
    </row>
    <row r="346" spans="13:34" x14ac:dyDescent="0.2">
      <c r="M346" s="73" t="s">
        <v>436</v>
      </c>
      <c r="O346" s="247" t="s">
        <v>296</v>
      </c>
      <c r="R346" s="238">
        <f>SUMIF($D$246:$D$250,$O346,R$246:R$250)</f>
        <v>0</v>
      </c>
      <c r="S346" s="238">
        <f t="shared" si="339"/>
        <v>0</v>
      </c>
      <c r="T346" s="238">
        <f t="shared" si="339"/>
        <v>0</v>
      </c>
      <c r="U346" s="238">
        <f t="shared" si="339"/>
        <v>0</v>
      </c>
      <c r="W346" s="238">
        <f>SUM(S346:U346)</f>
        <v>0</v>
      </c>
      <c r="AE346" s="238" t="e">
        <f t="shared" ca="1" si="340"/>
        <v>#NAME?</v>
      </c>
      <c r="AF346" s="239" t="e">
        <f t="shared" ca="1" si="340"/>
        <v>#NAME?</v>
      </c>
      <c r="AG346" s="238" t="e">
        <f ca="1">IF((W346-AF346)=0,"ok","error")</f>
        <v>#NAME?</v>
      </c>
      <c r="AH346" s="255" t="e">
        <f ca="1">GetCtData("PKAMOUNT","AMOUNT",U$11:U$14,$M346:$O346,U$17:U$18,"#")</f>
        <v>#NAME?</v>
      </c>
    </row>
    <row r="347" spans="13:34" x14ac:dyDescent="0.2">
      <c r="W347" s="74"/>
      <c r="AE347" s="73"/>
      <c r="AH347" s="244"/>
    </row>
    <row r="348" spans="13:34" ht="15" x14ac:dyDescent="0.25">
      <c r="O348" s="272" t="s">
        <v>497</v>
      </c>
      <c r="W348" s="74"/>
      <c r="AE348" s="74"/>
      <c r="AF348" s="74"/>
      <c r="AG348" s="74"/>
      <c r="AH348" s="118"/>
    </row>
    <row r="349" spans="13:34" x14ac:dyDescent="0.2">
      <c r="M349" s="73" t="s">
        <v>446</v>
      </c>
      <c r="O349" s="247" t="s">
        <v>172</v>
      </c>
      <c r="R349" s="237" t="e">
        <f ca="1">SUMIF($D$254:$D$261,$O349,R$254:R$261)</f>
        <v>#NAME?</v>
      </c>
      <c r="S349" s="238" t="e">
        <f t="shared" ref="S349:U352" ca="1" si="341">SUMIF($D$254:$D$261,$O349,S$254:S$261)</f>
        <v>#NAME?</v>
      </c>
      <c r="T349" s="238" t="e">
        <f t="shared" ca="1" si="341"/>
        <v>#NAME?</v>
      </c>
      <c r="U349" s="238" t="e">
        <f t="shared" ca="1" si="341"/>
        <v>#NAME?</v>
      </c>
      <c r="W349" s="238" t="e">
        <f ca="1">SUM(S349:U349)</f>
        <v>#NAME?</v>
      </c>
      <c r="AE349" s="238" t="e">
        <f ca="1">GetCtData("PKAMOUNT","AMOUNT",R$11:R$14,$M349:$O349,R$17:R$18,"#-28")</f>
        <v>#NAME?</v>
      </c>
      <c r="AF349" s="239" t="e">
        <f ca="1">GetCtData("PKAMOUNT","AMOUNT",S$11:S$14,$M349:$O349,S$17:S$18,"#0")</f>
        <v>#NAME?</v>
      </c>
      <c r="AG349" s="238" t="e">
        <f ca="1">IF((W349-AF349)=0,"ok","error")</f>
        <v>#NAME?</v>
      </c>
      <c r="AH349" s="255" t="e">
        <f ca="1">GetCtData("PKAMOUNT","AMOUNT",U$11:U$14,$M349:$O349,U$17:U$18,"#")</f>
        <v>#NAME?</v>
      </c>
    </row>
    <row r="350" spans="13:34" x14ac:dyDescent="0.2">
      <c r="M350" s="73" t="s">
        <v>446</v>
      </c>
      <c r="O350" s="247" t="s">
        <v>279</v>
      </c>
      <c r="R350" s="238">
        <f>SUMIF($D$254:$D$261,$O350,R$254:R$261)</f>
        <v>0</v>
      </c>
      <c r="S350" s="238">
        <f t="shared" si="341"/>
        <v>0</v>
      </c>
      <c r="T350" s="238">
        <f t="shared" si="341"/>
        <v>0</v>
      </c>
      <c r="U350" s="238">
        <f t="shared" si="341"/>
        <v>0</v>
      </c>
      <c r="W350" s="238">
        <f>SUM(S350:U350)</f>
        <v>0</v>
      </c>
      <c r="AE350" s="238" t="e">
        <f t="shared" ref="AE350:AF352" ca="1" si="342">GetCtData("PKAMOUNT","AMOUNT",R$11:R$14,$M350:$O350,R$17:R$18,"#")</f>
        <v>#NAME?</v>
      </c>
      <c r="AF350" s="239" t="e">
        <f t="shared" ca="1" si="342"/>
        <v>#NAME?</v>
      </c>
      <c r="AG350" s="238" t="e">
        <f ca="1">IF((W350-AF350)=0,"ok","error")</f>
        <v>#NAME?</v>
      </c>
      <c r="AH350" s="255" t="e">
        <f ca="1">GetCtData("PKAMOUNT","AMOUNT",U$11:U$14,$M350:$O350,U$17:U$18,"#")</f>
        <v>#NAME?</v>
      </c>
    </row>
    <row r="351" spans="13:34" x14ac:dyDescent="0.2">
      <c r="M351" s="73" t="s">
        <v>446</v>
      </c>
      <c r="O351" s="247" t="s">
        <v>196</v>
      </c>
      <c r="R351" s="238">
        <f>SUMIF($D$254:$D$261,$O351,R$254:R$261)</f>
        <v>0</v>
      </c>
      <c r="S351" s="238">
        <f t="shared" si="341"/>
        <v>0</v>
      </c>
      <c r="T351" s="238">
        <f t="shared" si="341"/>
        <v>0</v>
      </c>
      <c r="U351" s="238">
        <f t="shared" si="341"/>
        <v>0</v>
      </c>
      <c r="W351" s="238">
        <f>SUM(S351:U351)</f>
        <v>0</v>
      </c>
      <c r="AE351" s="238" t="e">
        <f t="shared" ca="1" si="342"/>
        <v>#NAME?</v>
      </c>
      <c r="AF351" s="239" t="e">
        <f t="shared" ca="1" si="342"/>
        <v>#NAME?</v>
      </c>
      <c r="AG351" s="238" t="e">
        <f ca="1">IF((W351-AF351)=0,"ok","error")</f>
        <v>#NAME?</v>
      </c>
      <c r="AH351" s="255" t="e">
        <f ca="1">GetCtData("PKAMOUNT","AMOUNT",U$11:U$14,$M351:$O351,U$17:U$18,"#")</f>
        <v>#NAME?</v>
      </c>
    </row>
    <row r="352" spans="13:34" x14ac:dyDescent="0.2">
      <c r="M352" s="73" t="s">
        <v>446</v>
      </c>
      <c r="O352" s="247" t="s">
        <v>296</v>
      </c>
      <c r="R352" s="238">
        <f>SUMIF($D$254:$D$261,$O352,R$254:R$261)</f>
        <v>0</v>
      </c>
      <c r="S352" s="238">
        <f t="shared" si="341"/>
        <v>0</v>
      </c>
      <c r="T352" s="238">
        <f t="shared" si="341"/>
        <v>0</v>
      </c>
      <c r="U352" s="238">
        <f t="shared" si="341"/>
        <v>0</v>
      </c>
      <c r="W352" s="238">
        <f>SUM(S352:U352)</f>
        <v>0</v>
      </c>
      <c r="AE352" s="238" t="e">
        <f t="shared" ca="1" si="342"/>
        <v>#NAME?</v>
      </c>
      <c r="AF352" s="239" t="e">
        <f t="shared" ca="1" si="342"/>
        <v>#NAME?</v>
      </c>
      <c r="AG352" s="238" t="e">
        <f ca="1">IF((W352-AF352)=0,"ok","error")</f>
        <v>#NAME?</v>
      </c>
      <c r="AH352" s="255" t="e">
        <f ca="1">GetCtData("PKAMOUNT","AMOUNT",U$11:U$14,$M352:$O352,U$17:U$18,"#")</f>
        <v>#NAME?</v>
      </c>
    </row>
    <row r="354" spans="15:15" x14ac:dyDescent="0.2">
      <c r="O354" s="191"/>
    </row>
  </sheetData>
  <dataConsolidate/>
  <conditionalFormatting sqref="R266:U268 R264:U264 R253:U262 R245:U251 R8:U8 R56:U63 R24:U29 R65:U78 R64:S64 R218:U219 R225:U233 R235:U235 R237:U241 R243:U243 R223:U223 R54:U54 R116:U129 R131:U148 R154:U154 R221:U221 R39:U52 R31:U37 R85:U90 R106:U114 R80:U81 R150:U152 R197:U205 S196:U196 R190:U193 R207:U210 R212:U216 R93:U104 R172:U188 R156:U170">
    <cfRule type="containsBlanks" dxfId="49" priority="50">
      <formula>LEN(TRIM(R8))=0</formula>
    </cfRule>
  </conditionalFormatting>
  <conditionalFormatting sqref="R57:U63 R267:U268 R254:U261 R245:U250 R238:U240 R227:U232 R132:U148 R117:U128 R40:U51 R32:U36 R8:U8 R24:U28 R65:U78 R64:S64 R218:U218 R156:U170 R85:U89 R106:U113 R80:U81 R150:U152 R197:U204 S196:U196 R191:U193 R208:U210 R212:U216 R94:U104 R172:U187">
    <cfRule type="notContainsBlanks" dxfId="48" priority="48">
      <formula>LEN(TRIM(R8))&gt;0</formula>
    </cfRule>
    <cfRule type="containsBlanks" dxfId="47" priority="49">
      <formula>LEN(TRIM(R8))=0</formula>
    </cfRule>
  </conditionalFormatting>
  <conditionalFormatting sqref="S245">
    <cfRule type="notContainsBlanks" dxfId="46" priority="46">
      <formula>LEN(TRIM(S245))&gt;0</formula>
    </cfRule>
    <cfRule type="containsBlanks" dxfId="45" priority="47">
      <formula>LEN(TRIM(S245))=0</formula>
    </cfRule>
  </conditionalFormatting>
  <conditionalFormatting sqref="T32:T36">
    <cfRule type="notContainsBlanks" dxfId="44" priority="44">
      <formula>LEN(TRIM(T32))&gt;0</formula>
    </cfRule>
    <cfRule type="containsBlanks" dxfId="43" priority="45">
      <formula>LEN(TRIM(T32))=0</formula>
    </cfRule>
  </conditionalFormatting>
  <conditionalFormatting sqref="T191:T193 T156:T170 T218 T196:T204 T172:T186">
    <cfRule type="notContainsBlanks" dxfId="42" priority="42">
      <formula>LEN(TRIM(T156))&gt;0</formula>
    </cfRule>
    <cfRule type="containsBlanks" dxfId="41" priority="43">
      <formula>LEN(TRIM(T156))=0</formula>
    </cfRule>
  </conditionalFormatting>
  <conditionalFormatting sqref="T64:U64">
    <cfRule type="containsBlanks" dxfId="40" priority="41">
      <formula>LEN(TRIM(T64))=0</formula>
    </cfRule>
  </conditionalFormatting>
  <conditionalFormatting sqref="T64:U64">
    <cfRule type="notContainsBlanks" dxfId="39" priority="39">
      <formula>LEN(TRIM(T64))&gt;0</formula>
    </cfRule>
    <cfRule type="containsBlanks" dxfId="38" priority="40">
      <formula>LEN(TRIM(T64))=0</formula>
    </cfRule>
  </conditionalFormatting>
  <conditionalFormatting sqref="R217:U217">
    <cfRule type="containsBlanks" dxfId="37" priority="38">
      <formula>LEN(TRIM(R217))=0</formula>
    </cfRule>
  </conditionalFormatting>
  <conditionalFormatting sqref="R217:U217">
    <cfRule type="notContainsBlanks" dxfId="36" priority="36">
      <formula>LEN(TRIM(R217))&gt;0</formula>
    </cfRule>
    <cfRule type="containsBlanks" dxfId="35" priority="37">
      <formula>LEN(TRIM(R217))=0</formula>
    </cfRule>
  </conditionalFormatting>
  <conditionalFormatting sqref="T217">
    <cfRule type="notContainsBlanks" dxfId="34" priority="34">
      <formula>LEN(TRIM(T217))&gt;0</formula>
    </cfRule>
    <cfRule type="containsBlanks" dxfId="33" priority="35">
      <formula>LEN(TRIM(T217))=0</formula>
    </cfRule>
  </conditionalFormatting>
  <conditionalFormatting sqref="R82:U82">
    <cfRule type="containsBlanks" dxfId="32" priority="33">
      <formula>LEN(TRIM(R82))=0</formula>
    </cfRule>
  </conditionalFormatting>
  <conditionalFormatting sqref="R82:U82">
    <cfRule type="notContainsBlanks" dxfId="31" priority="31">
      <formula>LEN(TRIM(R82))&gt;0</formula>
    </cfRule>
    <cfRule type="containsBlanks" dxfId="30" priority="32">
      <formula>LEN(TRIM(R82))=0</formula>
    </cfRule>
  </conditionalFormatting>
  <conditionalFormatting sqref="R105:U105">
    <cfRule type="containsBlanks" dxfId="29" priority="30">
      <formula>LEN(TRIM(R105))=0</formula>
    </cfRule>
  </conditionalFormatting>
  <conditionalFormatting sqref="R105:U105">
    <cfRule type="notContainsBlanks" dxfId="28" priority="28">
      <formula>LEN(TRIM(R105))&gt;0</formula>
    </cfRule>
    <cfRule type="containsBlanks" dxfId="27" priority="29">
      <formula>LEN(TRIM(R105))=0</formula>
    </cfRule>
  </conditionalFormatting>
  <conditionalFormatting sqref="R83:U84">
    <cfRule type="notContainsBlanks" dxfId="26" priority="25">
      <formula>LEN(TRIM(R83))&gt;0</formula>
    </cfRule>
    <cfRule type="containsBlanks" dxfId="25" priority="26">
      <formula>LEN(TRIM(R83))=0</formula>
    </cfRule>
  </conditionalFormatting>
  <conditionalFormatting sqref="R83:U84">
    <cfRule type="containsBlanks" dxfId="24" priority="27">
      <formula>LEN(TRIM(R83))=0</formula>
    </cfRule>
  </conditionalFormatting>
  <conditionalFormatting sqref="R79:U79">
    <cfRule type="containsBlanks" dxfId="23" priority="24">
      <formula>LEN(TRIM(R79))=0</formula>
    </cfRule>
  </conditionalFormatting>
  <conditionalFormatting sqref="R79:U79">
    <cfRule type="notContainsBlanks" dxfId="22" priority="22">
      <formula>LEN(TRIM(R79))&gt;0</formula>
    </cfRule>
    <cfRule type="containsBlanks" dxfId="21" priority="23">
      <formula>LEN(TRIM(R79))=0</formula>
    </cfRule>
  </conditionalFormatting>
  <conditionalFormatting sqref="G272">
    <cfRule type="cellIs" dxfId="20" priority="21" operator="equal">
      <formula>"ok"</formula>
    </cfRule>
  </conditionalFormatting>
  <conditionalFormatting sqref="R149:U149">
    <cfRule type="containsBlanks" dxfId="19" priority="20">
      <formula>LEN(TRIM(R149))=0</formula>
    </cfRule>
  </conditionalFormatting>
  <conditionalFormatting sqref="R149:U149">
    <cfRule type="notContainsBlanks" dxfId="18" priority="18">
      <formula>LEN(TRIM(R149))&gt;0</formula>
    </cfRule>
    <cfRule type="containsBlanks" dxfId="17" priority="19">
      <formula>LEN(TRIM(R149))=0</formula>
    </cfRule>
  </conditionalFormatting>
  <conditionalFormatting sqref="S195:U195">
    <cfRule type="containsBlanks" dxfId="16" priority="17">
      <formula>LEN(TRIM(S195))=0</formula>
    </cfRule>
  </conditionalFormatting>
  <conditionalFormatting sqref="S195:U195">
    <cfRule type="notContainsBlanks" dxfId="15" priority="15">
      <formula>LEN(TRIM(S195))&gt;0</formula>
    </cfRule>
    <cfRule type="containsBlanks" dxfId="14" priority="16">
      <formula>LEN(TRIM(S195))=0</formula>
    </cfRule>
  </conditionalFormatting>
  <conditionalFormatting sqref="T195">
    <cfRule type="notContainsBlanks" dxfId="13" priority="13">
      <formula>LEN(TRIM(T195))&gt;0</formula>
    </cfRule>
    <cfRule type="containsBlanks" dxfId="12" priority="14">
      <formula>LEN(TRIM(T195))=0</formula>
    </cfRule>
  </conditionalFormatting>
  <conditionalFormatting sqref="R194:U194">
    <cfRule type="containsBlanks" dxfId="11" priority="12">
      <formula>LEN(TRIM(R194))=0</formula>
    </cfRule>
  </conditionalFormatting>
  <conditionalFormatting sqref="R194:U194">
    <cfRule type="notContainsBlanks" dxfId="10" priority="10">
      <formula>LEN(TRIM(R194))&gt;0</formula>
    </cfRule>
    <cfRule type="containsBlanks" dxfId="9" priority="11">
      <formula>LEN(TRIM(R194))=0</formula>
    </cfRule>
  </conditionalFormatting>
  <conditionalFormatting sqref="R196">
    <cfRule type="containsBlanks" dxfId="8" priority="9">
      <formula>LEN(TRIM(R196))=0</formula>
    </cfRule>
  </conditionalFormatting>
  <conditionalFormatting sqref="R196">
    <cfRule type="notContainsBlanks" dxfId="7" priority="7">
      <formula>LEN(TRIM(R196))&gt;0</formula>
    </cfRule>
    <cfRule type="containsBlanks" dxfId="6" priority="8">
      <formula>LEN(TRIM(R196))=0</formula>
    </cfRule>
  </conditionalFormatting>
  <conditionalFormatting sqref="R195">
    <cfRule type="containsBlanks" dxfId="5" priority="6">
      <formula>LEN(TRIM(R195))=0</formula>
    </cfRule>
  </conditionalFormatting>
  <conditionalFormatting sqref="R195">
    <cfRule type="notContainsBlanks" dxfId="4" priority="4">
      <formula>LEN(TRIM(R195))&gt;0</formula>
    </cfRule>
    <cfRule type="containsBlanks" dxfId="3" priority="5">
      <formula>LEN(TRIM(R195))=0</formula>
    </cfRule>
  </conditionalFormatting>
  <conditionalFormatting sqref="R211:U211">
    <cfRule type="containsBlanks" dxfId="2" priority="3">
      <formula>LEN(TRIM(R211))=0</formula>
    </cfRule>
  </conditionalFormatting>
  <conditionalFormatting sqref="R211:U211">
    <cfRule type="notContainsBlanks" dxfId="1" priority="1">
      <formula>LEN(TRIM(R211))&gt;0</formula>
    </cfRule>
    <cfRule type="containsBlanks" dxfId="0" priority="2">
      <formula>LEN(TRIM(R211))=0</formula>
    </cfRule>
  </conditionalFormatting>
  <dataValidations disablePrompts="1" count="2">
    <dataValidation type="list" allowBlank="1" showInputMessage="1" showErrorMessage="1" sqref="E3">
      <formula1>".01,.02,.03,.04,.05,.06,.07,.08,.09,.10,.11,.12"</formula1>
    </dataValidation>
    <dataValidation type="list" allowBlank="1" showInputMessage="1" showErrorMessage="1" sqref="E2">
      <formula1>"2010,2011,2012,2013,2014,2015,2016,2017,2018,2019,2020"</formula1>
    </dataValidation>
  </dataValidations>
  <printOptions horizontalCentered="1"/>
  <pageMargins left="0.19685039370078741" right="0.19685039370078741" top="0.19685039370078741" bottom="0.27559055118110237" header="0.15748031496062992" footer="0.15748031496062992"/>
  <pageSetup paperSize="9" scale="39" fitToHeight="0" orientation="landscape" r:id="rId1"/>
  <headerFooter alignWithMargins="0">
    <oddFooter>&amp;L&amp;8&amp;Z&amp;F&amp;C&amp;8&amp;D&amp;T&amp;R&amp;9&amp;P-&amp;A</oddFooter>
  </headerFooter>
  <rowBreaks count="1" manualBreakCount="1">
    <brk id="153" min="4" max="46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1"/>
  <sheetViews>
    <sheetView workbookViewId="0">
      <selection activeCell="K25" sqref="K25"/>
    </sheetView>
  </sheetViews>
  <sheetFormatPr baseColWidth="10" defaultColWidth="11.42578125" defaultRowHeight="15" x14ac:dyDescent="0.25"/>
  <cols>
    <col min="1" max="1" width="22.85546875" style="6" customWidth="1"/>
    <col min="2" max="2" width="11.140625" style="6" customWidth="1"/>
    <col min="3" max="3" width="20.85546875" style="6" bestFit="1" customWidth="1"/>
    <col min="4" max="16384" width="11.42578125" style="6"/>
  </cols>
  <sheetData>
    <row r="1" spans="1:27" s="56" customFormat="1" ht="12.75" x14ac:dyDescent="0.2">
      <c r="A1" s="65" t="s">
        <v>170</v>
      </c>
      <c r="C1" s="57"/>
      <c r="D1" s="57"/>
      <c r="E1" s="57"/>
      <c r="F1" s="57"/>
      <c r="G1" s="57"/>
      <c r="H1" s="57"/>
      <c r="I1" s="57"/>
      <c r="J1" s="57"/>
      <c r="L1" s="58"/>
      <c r="M1" s="58"/>
      <c r="N1" s="58"/>
      <c r="O1" s="58"/>
      <c r="P1" s="58"/>
      <c r="Q1" s="58"/>
      <c r="R1" s="58"/>
      <c r="S1" s="59"/>
      <c r="T1" s="60"/>
      <c r="U1" s="61"/>
      <c r="V1" s="62"/>
      <c r="W1" s="62"/>
      <c r="X1" s="61"/>
      <c r="Z1" s="62"/>
      <c r="AA1" s="61"/>
    </row>
    <row r="2" spans="1:27" s="56" customFormat="1" ht="12.75" x14ac:dyDescent="0.2">
      <c r="A2" s="66" t="s">
        <v>173</v>
      </c>
      <c r="C2" s="57"/>
      <c r="D2" s="57"/>
      <c r="E2" s="57"/>
      <c r="F2" s="57"/>
      <c r="G2" s="57"/>
      <c r="H2" s="57"/>
      <c r="I2" s="57"/>
      <c r="J2" s="57"/>
      <c r="L2" s="58"/>
      <c r="M2" s="58"/>
      <c r="N2" s="58"/>
      <c r="O2" s="58"/>
      <c r="P2" s="58"/>
      <c r="Q2" s="58"/>
      <c r="R2" s="58"/>
      <c r="S2" s="59"/>
      <c r="T2" s="60"/>
      <c r="U2" s="61"/>
      <c r="V2" s="62"/>
      <c r="W2" s="62"/>
      <c r="X2" s="61"/>
      <c r="Z2" s="62"/>
      <c r="AA2" s="61"/>
    </row>
    <row r="3" spans="1:27" s="56" customFormat="1" ht="12.75" x14ac:dyDescent="0.2">
      <c r="A3" s="63" t="s">
        <v>174</v>
      </c>
      <c r="C3" s="57"/>
      <c r="D3" s="57"/>
      <c r="E3" s="57"/>
      <c r="F3" s="57"/>
      <c r="G3" s="57"/>
      <c r="H3" s="57"/>
      <c r="I3" s="57"/>
      <c r="J3" s="57"/>
      <c r="L3" s="58"/>
      <c r="M3" s="58"/>
      <c r="N3" s="58"/>
      <c r="O3" s="58"/>
      <c r="P3" s="58"/>
      <c r="Q3" s="58"/>
      <c r="R3" s="58"/>
      <c r="S3" s="59"/>
      <c r="T3" s="60"/>
      <c r="U3" s="61"/>
      <c r="V3" s="62"/>
      <c r="W3" s="62"/>
      <c r="X3" s="61"/>
      <c r="Z3" s="62"/>
      <c r="AA3" s="61"/>
    </row>
    <row r="4" spans="1:27" s="56" customFormat="1" ht="12.75" x14ac:dyDescent="0.2">
      <c r="A4" s="64" t="s">
        <v>175</v>
      </c>
      <c r="C4" s="57"/>
      <c r="D4" s="57"/>
      <c r="E4" s="57"/>
      <c r="F4" s="57"/>
      <c r="G4" s="57"/>
      <c r="H4" s="57"/>
      <c r="I4" s="57"/>
      <c r="J4" s="57"/>
      <c r="L4" s="58"/>
      <c r="M4" s="58"/>
      <c r="N4" s="58"/>
      <c r="O4" s="58"/>
      <c r="P4" s="58"/>
      <c r="Q4" s="58"/>
      <c r="R4" s="58"/>
      <c r="S4" s="59"/>
      <c r="T4" s="60"/>
      <c r="U4" s="61"/>
      <c r="V4" s="62"/>
      <c r="W4" s="62"/>
      <c r="X4" s="61"/>
      <c r="Z4" s="62"/>
      <c r="AA4" s="61"/>
    </row>
    <row r="5" spans="1:27" s="56" customFormat="1" ht="12.75" x14ac:dyDescent="0.2">
      <c r="A5" s="66" t="s">
        <v>171</v>
      </c>
      <c r="C5" s="57"/>
      <c r="D5" s="57"/>
      <c r="E5" s="57"/>
      <c r="F5" s="57"/>
      <c r="G5" s="57"/>
      <c r="H5" s="57"/>
      <c r="I5" s="57"/>
      <c r="J5" s="57"/>
      <c r="L5" s="58"/>
      <c r="M5" s="58"/>
      <c r="N5" s="58"/>
      <c r="O5" s="58"/>
      <c r="P5" s="58"/>
      <c r="Q5" s="58"/>
      <c r="R5" s="58"/>
      <c r="S5" s="59"/>
      <c r="T5" s="60"/>
      <c r="U5" s="61"/>
      <c r="V5" s="62"/>
      <c r="W5" s="62"/>
      <c r="X5" s="61"/>
      <c r="Z5" s="62"/>
      <c r="AA5" s="61"/>
    </row>
    <row r="6" spans="1:27" s="56" customFormat="1" ht="12.75" x14ac:dyDescent="0.2">
      <c r="A6" s="65" t="s">
        <v>172</v>
      </c>
      <c r="C6" s="57"/>
      <c r="D6" s="57"/>
      <c r="E6" s="57"/>
      <c r="F6" s="57"/>
      <c r="G6" s="57"/>
      <c r="H6" s="57"/>
      <c r="I6" s="57"/>
      <c r="J6" s="57"/>
      <c r="L6" s="58"/>
      <c r="M6" s="58"/>
      <c r="N6" s="58"/>
      <c r="O6" s="58"/>
      <c r="P6" s="58"/>
      <c r="Q6" s="58"/>
      <c r="R6" s="58"/>
      <c r="S6" s="59"/>
      <c r="T6" s="60"/>
      <c r="U6" s="61"/>
      <c r="V6" s="62"/>
      <c r="W6" s="62"/>
      <c r="X6" s="61"/>
      <c r="Z6" s="62"/>
      <c r="AA6" s="61"/>
    </row>
    <row r="10" spans="1:27" x14ac:dyDescent="0.25">
      <c r="A10" s="6">
        <v>10010</v>
      </c>
      <c r="C10" s="6" t="s">
        <v>168</v>
      </c>
      <c r="D10" s="6">
        <f>[2]Juin!$AK$98</f>
        <v>1122110.9099999999</v>
      </c>
    </row>
    <row r="11" spans="1:27" x14ac:dyDescent="0.25">
      <c r="A11" s="6">
        <v>10015</v>
      </c>
      <c r="C11" s="6" t="s">
        <v>169</v>
      </c>
      <c r="D11" s="6">
        <f>[2]Juin!$AJ$98</f>
        <v>1403354.41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1"/>
  <sheetViews>
    <sheetView workbookViewId="0">
      <selection activeCell="K25" sqref="K25"/>
    </sheetView>
  </sheetViews>
  <sheetFormatPr baseColWidth="10" defaultColWidth="11.42578125" defaultRowHeight="15" x14ac:dyDescent="0.25"/>
  <cols>
    <col min="1" max="1" width="22.85546875" style="6" customWidth="1"/>
    <col min="2" max="2" width="11.140625" style="6" customWidth="1"/>
    <col min="3" max="3" width="20.85546875" style="6" bestFit="1" customWidth="1"/>
    <col min="4" max="4" width="11.42578125" style="68"/>
    <col min="5" max="16384" width="11.42578125" style="6"/>
  </cols>
  <sheetData>
    <row r="1" spans="1:27" s="56" customFormat="1" ht="12.75" x14ac:dyDescent="0.2">
      <c r="A1" s="65" t="s">
        <v>170</v>
      </c>
      <c r="C1" s="57"/>
      <c r="D1" s="67"/>
      <c r="E1" s="57"/>
      <c r="F1" s="57"/>
      <c r="G1" s="57"/>
      <c r="H1" s="57"/>
      <c r="I1" s="57"/>
      <c r="J1" s="57"/>
      <c r="L1" s="58"/>
      <c r="M1" s="58"/>
      <c r="N1" s="58"/>
      <c r="O1" s="58"/>
      <c r="P1" s="58"/>
      <c r="Q1" s="58"/>
      <c r="R1" s="58"/>
      <c r="S1" s="59"/>
      <c r="T1" s="60"/>
      <c r="U1" s="61"/>
      <c r="V1" s="62"/>
      <c r="W1" s="62"/>
      <c r="X1" s="61"/>
      <c r="Z1" s="62"/>
      <c r="AA1" s="61"/>
    </row>
    <row r="2" spans="1:27" s="56" customFormat="1" ht="12.75" x14ac:dyDescent="0.2">
      <c r="A2" s="66" t="s">
        <v>173</v>
      </c>
      <c r="C2" s="57"/>
      <c r="D2" s="67"/>
      <c r="E2" s="57"/>
      <c r="F2" s="57"/>
      <c r="G2" s="57"/>
      <c r="H2" s="57"/>
      <c r="I2" s="57"/>
      <c r="J2" s="57"/>
      <c r="L2" s="58"/>
      <c r="M2" s="58"/>
      <c r="N2" s="58"/>
      <c r="O2" s="58"/>
      <c r="P2" s="58"/>
      <c r="Q2" s="58"/>
      <c r="R2" s="58"/>
      <c r="S2" s="59"/>
      <c r="T2" s="60"/>
      <c r="U2" s="61"/>
      <c r="V2" s="62"/>
      <c r="W2" s="62"/>
      <c r="X2" s="61"/>
      <c r="Z2" s="62"/>
      <c r="AA2" s="61"/>
    </row>
    <row r="3" spans="1:27" s="56" customFormat="1" ht="12.75" x14ac:dyDescent="0.2">
      <c r="A3" s="63" t="s">
        <v>174</v>
      </c>
      <c r="C3" s="57"/>
      <c r="D3" s="67"/>
      <c r="E3" s="57"/>
      <c r="F3" s="57"/>
      <c r="G3" s="57"/>
      <c r="H3" s="57"/>
      <c r="I3" s="57"/>
      <c r="J3" s="57"/>
      <c r="L3" s="58"/>
      <c r="M3" s="58"/>
      <c r="N3" s="58"/>
      <c r="O3" s="58"/>
      <c r="P3" s="58"/>
      <c r="Q3" s="58"/>
      <c r="R3" s="58"/>
      <c r="S3" s="59"/>
      <c r="T3" s="60"/>
      <c r="U3" s="61"/>
      <c r="V3" s="62"/>
      <c r="W3" s="62"/>
      <c r="X3" s="61"/>
      <c r="Z3" s="62"/>
      <c r="AA3" s="61"/>
    </row>
    <row r="4" spans="1:27" s="56" customFormat="1" ht="12.75" x14ac:dyDescent="0.2">
      <c r="A4" s="64" t="s">
        <v>175</v>
      </c>
      <c r="C4" s="57"/>
      <c r="D4" s="67"/>
      <c r="E4" s="57"/>
      <c r="F4" s="57"/>
      <c r="G4" s="57"/>
      <c r="H4" s="57"/>
      <c r="I4" s="57"/>
      <c r="J4" s="57"/>
      <c r="L4" s="58"/>
      <c r="M4" s="58"/>
      <c r="N4" s="58"/>
      <c r="O4" s="58"/>
      <c r="P4" s="58"/>
      <c r="Q4" s="58"/>
      <c r="R4" s="58"/>
      <c r="S4" s="59"/>
      <c r="T4" s="60"/>
      <c r="U4" s="61"/>
      <c r="V4" s="62"/>
      <c r="W4" s="62"/>
      <c r="X4" s="61"/>
      <c r="Z4" s="62"/>
      <c r="AA4" s="61"/>
    </row>
    <row r="5" spans="1:27" s="56" customFormat="1" ht="12.75" x14ac:dyDescent="0.2">
      <c r="A5" s="66" t="s">
        <v>171</v>
      </c>
      <c r="C5" s="57"/>
      <c r="D5" s="67"/>
      <c r="E5" s="57"/>
      <c r="F5" s="57"/>
      <c r="G5" s="57"/>
      <c r="H5" s="57"/>
      <c r="I5" s="57"/>
      <c r="J5" s="57"/>
      <c r="L5" s="58"/>
      <c r="M5" s="58"/>
      <c r="N5" s="58"/>
      <c r="O5" s="58"/>
      <c r="P5" s="58"/>
      <c r="Q5" s="58"/>
      <c r="R5" s="58"/>
      <c r="S5" s="59"/>
      <c r="T5" s="60"/>
      <c r="U5" s="61"/>
      <c r="V5" s="62"/>
      <c r="W5" s="62"/>
      <c r="X5" s="61"/>
      <c r="Z5" s="62"/>
      <c r="AA5" s="61"/>
    </row>
    <row r="6" spans="1:27" s="56" customFormat="1" ht="12.75" x14ac:dyDescent="0.2">
      <c r="A6" s="65" t="s">
        <v>172</v>
      </c>
      <c r="C6" s="57"/>
      <c r="D6" s="67"/>
      <c r="E6" s="57"/>
      <c r="F6" s="57"/>
      <c r="G6" s="57"/>
      <c r="H6" s="57"/>
      <c r="I6" s="57"/>
      <c r="J6" s="57"/>
      <c r="L6" s="58"/>
      <c r="M6" s="58"/>
      <c r="N6" s="58"/>
      <c r="O6" s="58"/>
      <c r="P6" s="58"/>
      <c r="Q6" s="58"/>
      <c r="R6" s="58"/>
      <c r="S6" s="59"/>
      <c r="T6" s="60"/>
      <c r="U6" s="61"/>
      <c r="V6" s="62"/>
      <c r="W6" s="62"/>
      <c r="X6" s="61"/>
      <c r="Z6" s="62"/>
      <c r="AA6" s="61"/>
    </row>
    <row r="10" spans="1:27" x14ac:dyDescent="0.25">
      <c r="A10" s="6">
        <v>10010</v>
      </c>
      <c r="C10" s="6" t="s">
        <v>168</v>
      </c>
      <c r="D10" s="69" t="e">
        <f ca="1">PutCtData("PKAMOUNT","AMOUNT",$A$1:$A$6,$A10,D$14,'Actuals juin'!D10)</f>
        <v>#NAME?</v>
      </c>
    </row>
    <row r="11" spans="1:27" x14ac:dyDescent="0.25">
      <c r="A11" s="6">
        <v>10015</v>
      </c>
      <c r="C11" s="6" t="s">
        <v>169</v>
      </c>
      <c r="D11" s="69" t="e">
        <f ca="1">PutCtData("PKAMOUNT","AMOUNT",$A$1:$A$6,$A11,D$14,'Actuals juin'!D11)</f>
        <v>#NAME?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H63"/>
  <sheetViews>
    <sheetView showGridLines="0" showZeros="0" topLeftCell="D19" workbookViewId="0">
      <selection activeCell="K25" sqref="K25"/>
    </sheetView>
  </sheetViews>
  <sheetFormatPr baseColWidth="10" defaultColWidth="9.140625" defaultRowHeight="15" outlineLevelCol="1" x14ac:dyDescent="0.25"/>
  <cols>
    <col min="1" max="2" width="10.85546875" hidden="1" customWidth="1" outlineLevel="1"/>
    <col min="3" max="3" width="12.7109375" hidden="1" customWidth="1" outlineLevel="1"/>
    <col min="4" max="4" width="51" bestFit="1" customWidth="1" collapsed="1"/>
    <col min="5" max="6" width="13.85546875" style="289" customWidth="1"/>
    <col min="7" max="8" width="14.85546875" customWidth="1"/>
  </cols>
  <sheetData>
    <row r="1" spans="1:8" x14ac:dyDescent="0.25">
      <c r="D1" s="71" t="s">
        <v>176</v>
      </c>
    </row>
    <row r="2" spans="1:8" x14ac:dyDescent="0.25">
      <c r="D2" s="80">
        <v>2015</v>
      </c>
    </row>
    <row r="3" spans="1:8" x14ac:dyDescent="0.25">
      <c r="C3" t="s">
        <v>707</v>
      </c>
      <c r="D3" s="81" t="s">
        <v>179</v>
      </c>
    </row>
    <row r="4" spans="1:8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x14ac:dyDescent="0.25">
      <c r="G5" s="292" t="s">
        <v>704</v>
      </c>
      <c r="H5" s="292" t="s">
        <v>704</v>
      </c>
    </row>
    <row r="6" spans="1:8" x14ac:dyDescent="0.25">
      <c r="G6" s="292" t="s">
        <v>190</v>
      </c>
      <c r="H6" s="292" t="s">
        <v>190</v>
      </c>
    </row>
    <row r="7" spans="1:8" x14ac:dyDescent="0.25">
      <c r="G7" s="292" t="s">
        <v>194</v>
      </c>
      <c r="H7" s="292" t="s">
        <v>171</v>
      </c>
    </row>
    <row r="8" spans="1:8" x14ac:dyDescent="0.25">
      <c r="G8" s="292"/>
      <c r="H8" s="292"/>
    </row>
    <row r="9" spans="1:8" x14ac:dyDescent="0.25">
      <c r="G9" s="292"/>
      <c r="H9" s="292"/>
    </row>
    <row r="10" spans="1:8" x14ac:dyDescent="0.25">
      <c r="G10" s="292" t="s">
        <v>705</v>
      </c>
      <c r="H10" s="292" t="s">
        <v>705</v>
      </c>
    </row>
    <row r="11" spans="1:8" x14ac:dyDescent="0.25">
      <c r="G11" s="292" t="s">
        <v>706</v>
      </c>
      <c r="H11" s="292" t="s">
        <v>706</v>
      </c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tr">
        <f>IFERROR(VLOOKUP($D16,mapping_one!A:B,2,FALSE),"")</f>
        <v>AC=10008</v>
      </c>
      <c r="B16" t="str">
        <f>IFERROR(VLOOKUP($D16,mapping_one!A:D,4,FALSE),"")</f>
        <v>AU=0.INP</v>
      </c>
      <c r="C16">
        <f>IFERROR(VLOOKUP($D16,mapping_one!A:C,3,FALSE),"")</f>
        <v>0</v>
      </c>
      <c r="D16" t="s">
        <v>498</v>
      </c>
      <c r="E16" s="288" t="e">
        <f>SUMIF(#REF!,'p&amp;l'!D16,#REF!)</f>
        <v>#REF!</v>
      </c>
      <c r="F16" s="289" t="e">
        <f>SUMIF(#REF!,'p&amp;l'!D16,#REF!)</f>
        <v>#REF!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8" x14ac:dyDescent="0.25">
      <c r="A17" t="str">
        <f ca="1">IFERROR(VLOOKUP($D17,mapping_one!A:B,2,FALSE),"")</f>
        <v/>
      </c>
      <c r="B17" t="str">
        <f ca="1">IFERROR(VLOOKUP($D17,mapping_one!A:D,4,FALSE),"")</f>
        <v/>
      </c>
      <c r="C17" t="str">
        <f ca="1">IFERROR(VLOOKUP($D17,mapping_one!A:C,3,FALSE),"")</f>
        <v/>
      </c>
      <c r="D17" s="147" t="e">
        <f ca="1">GetCtLabel(#REF!,"CURINIT(AC)!LDESC","#TOTAL BILLINGS AND FEES")</f>
        <v>#NAME?</v>
      </c>
      <c r="E17" s="290"/>
      <c r="F17" s="290"/>
      <c r="G17" s="294"/>
      <c r="H17" s="294"/>
    </row>
    <row r="18" spans="1:8" s="284" customFormat="1" x14ac:dyDescent="0.25">
      <c r="A18" t="str">
        <f>IFERROR(VLOOKUP($D18,mapping_one!A:B,2,FALSE),"")</f>
        <v/>
      </c>
      <c r="B18" t="str">
        <f>IFERROR(VLOOKUP($D18,mapping_one!A:D,4,FALSE),"")</f>
        <v/>
      </c>
      <c r="C18" t="str">
        <f>IFERROR(VLOOKUP($D18,mapping_one!A:C,3,FALSE),"")</f>
        <v/>
      </c>
      <c r="D18" s="127"/>
      <c r="E18" s="291"/>
      <c r="F18" s="291"/>
      <c r="G18" s="295"/>
      <c r="H18" s="295"/>
    </row>
    <row r="19" spans="1:8" x14ac:dyDescent="0.25">
      <c r="A19" t="str">
        <f>IFERROR(VLOOKUP($D19,mapping_one!A:B,2,FALSE),"")</f>
        <v>AC=14050</v>
      </c>
      <c r="B19" t="str">
        <f>IFERROR(VLOOKUP($D19,mapping_one!A:D,4,FALSE),"")</f>
        <v>AU=0.INP</v>
      </c>
      <c r="C19">
        <f>IFERROR(VLOOKUP($D19,mapping_one!A:C,3,FALSE),"")</f>
        <v>0</v>
      </c>
      <c r="D19" t="s">
        <v>499</v>
      </c>
      <c r="E19" s="288" t="e">
        <f>SUMIF(#REF!,'p&amp;l'!D19,#REF!)</f>
        <v>#REF!</v>
      </c>
      <c r="F19" s="288" t="e">
        <f>SUMIF(#REF!,'p&amp;l'!D19,#REF!)</f>
        <v>#REF!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</row>
    <row r="20" spans="1:8" x14ac:dyDescent="0.25">
      <c r="A20" t="str">
        <f>IFERROR(VLOOKUP($D20,mapping_one!A:B,2,FALSE),"")</f>
        <v>AC=14100</v>
      </c>
      <c r="B20" t="str">
        <f>IFERROR(VLOOKUP($D20,mapping_one!A:D,4,FALSE),"")</f>
        <v>AU=0.INP</v>
      </c>
      <c r="C20">
        <f>IFERROR(VLOOKUP($D20,mapping_one!A:C,3,FALSE),"")</f>
        <v>0</v>
      </c>
      <c r="D20" t="s">
        <v>500</v>
      </c>
      <c r="E20" s="288" t="e">
        <f>SUMIF(#REF!,'p&amp;l'!D20,#REF!)</f>
        <v>#REF!</v>
      </c>
      <c r="F20" s="288" t="e">
        <f>SUMIF(#REF!,'p&amp;l'!D20,#REF!)</f>
        <v>#REF!</v>
      </c>
      <c r="G20" s="293" t="e">
        <f t="shared" ca="1" si="0"/>
        <v>#NAME?</v>
      </c>
      <c r="H20" s="293" t="e">
        <f t="shared" ca="1" si="0"/>
        <v>#NAME?</v>
      </c>
    </row>
    <row r="21" spans="1:8" x14ac:dyDescent="0.25">
      <c r="A21" t="str">
        <f>IFERROR(VLOOKUP($D21,mapping_one!A:B,2,FALSE),"")</f>
        <v>AC=14600</v>
      </c>
      <c r="B21" t="str">
        <f>IFERROR(VLOOKUP($D21,mapping_one!A:D,4,FALSE),"")</f>
        <v>AU=0.INP</v>
      </c>
      <c r="C21" t="str">
        <f>IFERROR(VLOOKUP($D21,mapping_one!A:C,3,FALSE),"")</f>
        <v>CTPY=OAFAG1</v>
      </c>
      <c r="D21" t="s">
        <v>501</v>
      </c>
      <c r="E21" s="288" t="e">
        <f>SUMIF(#REF!,'p&amp;l'!D21,#REF!)</f>
        <v>#REF!</v>
      </c>
      <c r="F21" s="288" t="e">
        <f>SUMIF(#REF!,'p&amp;l'!D21,#REF!)</f>
        <v>#REF!</v>
      </c>
      <c r="G21" s="293" t="e">
        <f t="shared" ca="1" si="0"/>
        <v>#NAME?</v>
      </c>
      <c r="H21" s="293" t="e">
        <f t="shared" ca="1" si="0"/>
        <v>#NAME?</v>
      </c>
    </row>
    <row r="22" spans="1:8" x14ac:dyDescent="0.25">
      <c r="A22" t="str">
        <f>IFERROR(VLOOKUP($D22,mapping_one!A:B,2,FALSE),"")</f>
        <v>AC=14250</v>
      </c>
      <c r="B22" t="str">
        <f>IFERROR(VLOOKUP($D22,mapping_one!A:D,4,FALSE),"")</f>
        <v>AU=0.INP</v>
      </c>
      <c r="C22">
        <f>IFERROR(VLOOKUP($D22,mapping_one!A:C,3,FALSE),"")</f>
        <v>0</v>
      </c>
      <c r="D22" t="s">
        <v>502</v>
      </c>
      <c r="E22" s="288" t="e">
        <f>SUMIF(#REF!,'p&amp;l'!D22,#REF!)</f>
        <v>#REF!</v>
      </c>
      <c r="F22" s="288" t="e">
        <f>SUMIF(#REF!,'p&amp;l'!D22,#REF!)</f>
        <v>#REF!</v>
      </c>
      <c r="G22" s="293" t="e">
        <f t="shared" ca="1" si="0"/>
        <v>#NAME?</v>
      </c>
      <c r="H22" s="293" t="e">
        <f t="shared" ca="1" si="0"/>
        <v>#NAME?</v>
      </c>
    </row>
    <row r="23" spans="1:8" x14ac:dyDescent="0.25">
      <c r="A23" t="str">
        <f>IFERROR(VLOOKUP($D23,mapping_one!A:B,2,FALSE),"")</f>
        <v>AC=14650</v>
      </c>
      <c r="B23" t="str">
        <f>IFERROR(VLOOKUP($D23,mapping_one!A:D,4,FALSE),"")</f>
        <v>AU=0.INP</v>
      </c>
      <c r="C23">
        <f>IFERROR(VLOOKUP($D23,mapping_one!A:C,3,FALSE),"")</f>
        <v>0</v>
      </c>
      <c r="D23" t="s">
        <v>503</v>
      </c>
      <c r="E23" s="288" t="e">
        <f>SUMIF(#REF!,'p&amp;l'!D23,#REF!)</f>
        <v>#REF!</v>
      </c>
      <c r="F23" s="288" t="e">
        <f>SUMIF(#REF!,'p&amp;l'!D23,#REF!)</f>
        <v>#REF!</v>
      </c>
      <c r="G23" s="293" t="e">
        <f t="shared" ca="1" si="0"/>
        <v>#NAME?</v>
      </c>
      <c r="H23" s="293" t="e">
        <f t="shared" ca="1" si="0"/>
        <v>#NAME?</v>
      </c>
    </row>
    <row r="24" spans="1:8" x14ac:dyDescent="0.25">
      <c r="A24" t="str">
        <f>IFERROR(VLOOKUP($D24,mapping_one!A:B,2,FALSE),"")</f>
        <v>AC=14400</v>
      </c>
      <c r="B24" t="str">
        <f>IFERROR(VLOOKUP($D24,mapping_one!A:D,4,FALSE),"")</f>
        <v>AU=0.INP</v>
      </c>
      <c r="C24">
        <f>IFERROR(VLOOKUP($D24,mapping_one!A:C,3,FALSE),"")</f>
        <v>0</v>
      </c>
      <c r="D24" t="s">
        <v>504</v>
      </c>
      <c r="E24" s="288" t="e">
        <f>SUMIF(#REF!,'p&amp;l'!D24,#REF!)</f>
        <v>#REF!</v>
      </c>
      <c r="F24" s="288" t="e">
        <f>SUMIF(#REF!,'p&amp;l'!D24,#REF!)</f>
        <v>#REF!</v>
      </c>
      <c r="G24" s="293" t="e">
        <f t="shared" ca="1" si="0"/>
        <v>#NAME?</v>
      </c>
      <c r="H24" s="293" t="e">
        <f t="shared" ca="1" si="0"/>
        <v>#NAME?</v>
      </c>
    </row>
    <row r="25" spans="1:8" x14ac:dyDescent="0.25">
      <c r="A25" t="str">
        <f>IFERROR(VLOOKUP($D25,mapping_one!A:B,2,FALSE),"")</f>
        <v>AC=14700</v>
      </c>
      <c r="B25" t="str">
        <f>IFERROR(VLOOKUP($D25,mapping_one!A:D,4,FALSE),"")</f>
        <v>AU=0.INP</v>
      </c>
      <c r="C25">
        <f>IFERROR(VLOOKUP($D25,mapping_one!A:C,3,FALSE),"")</f>
        <v>0</v>
      </c>
      <c r="D25" t="s">
        <v>505</v>
      </c>
      <c r="E25" s="288" t="e">
        <f>SUMIF(#REF!,'p&amp;l'!D25,#REF!)</f>
        <v>#REF!</v>
      </c>
      <c r="F25" s="288" t="e">
        <f>SUMIF(#REF!,'p&amp;l'!D25,#REF!)</f>
        <v>#REF!</v>
      </c>
      <c r="G25" s="293" t="e">
        <f t="shared" ca="1" si="0"/>
        <v>#NAME?</v>
      </c>
      <c r="H25" s="293" t="e">
        <f t="shared" ca="1" si="0"/>
        <v>#NAME?</v>
      </c>
    </row>
    <row r="26" spans="1:8" x14ac:dyDescent="0.25">
      <c r="A26" t="str">
        <f>IFERROR(VLOOKUP($D26,mapping_one!A:B,2,FALSE),"")</f>
        <v>AC=14850</v>
      </c>
      <c r="B26" t="str">
        <f>IFERROR(VLOOKUP($D26,mapping_one!A:D,4,FALSE),"")</f>
        <v>AU=0.INP</v>
      </c>
      <c r="C26">
        <f>IFERROR(VLOOKUP($D26,mapping_one!A:C,3,FALSE),"")</f>
        <v>0</v>
      </c>
      <c r="D26" t="s">
        <v>506</v>
      </c>
      <c r="E26" s="288" t="e">
        <f>SUMIF(#REF!,'p&amp;l'!D26,#REF!)</f>
        <v>#REF!</v>
      </c>
      <c r="F26" s="288" t="e">
        <f>SUMIF(#REF!,'p&amp;l'!D26,#REF!)</f>
        <v>#REF!</v>
      </c>
      <c r="G26" s="293" t="e">
        <f t="shared" ca="1" si="0"/>
        <v>#NAME?</v>
      </c>
      <c r="H26" s="293" t="e">
        <f t="shared" ca="1" si="0"/>
        <v>#NAME?</v>
      </c>
    </row>
    <row r="27" spans="1:8" x14ac:dyDescent="0.25">
      <c r="A27" t="str">
        <f>IFERROR(VLOOKUP($D27,mapping_one!A:B,2,FALSE),"")</f>
        <v>AC=14210</v>
      </c>
      <c r="B27" t="str">
        <f>IFERROR(VLOOKUP($D27,mapping_one!A:D,4,FALSE),"")</f>
        <v>AU=0.INP</v>
      </c>
      <c r="C27">
        <f>IFERROR(VLOOKUP($D27,mapping_one!A:C,3,FALSE),"")</f>
        <v>0</v>
      </c>
      <c r="D27" t="s">
        <v>507</v>
      </c>
      <c r="E27" s="288" t="e">
        <f>SUMIF(#REF!,'p&amp;l'!D27,#REF!)</f>
        <v>#REF!</v>
      </c>
      <c r="F27" s="288" t="e">
        <f>SUMIF(#REF!,'p&amp;l'!D27,#REF!)</f>
        <v>#REF!</v>
      </c>
      <c r="G27" s="293" t="e">
        <f t="shared" ca="1" si="0"/>
        <v>#NAME?</v>
      </c>
      <c r="H27" s="293" t="e">
        <f t="shared" ca="1" si="0"/>
        <v>#NAME?</v>
      </c>
    </row>
    <row r="28" spans="1:8" x14ac:dyDescent="0.25">
      <c r="A28" t="str">
        <f>IFERROR(VLOOKUP($D28,mapping_one!A:B,2,FALSE),"")</f>
        <v>AC=14718</v>
      </c>
      <c r="B28" t="str">
        <f>IFERROR(VLOOKUP($D28,mapping_one!A:D,4,FALSE),"")</f>
        <v>AU=0.INP</v>
      </c>
      <c r="C28">
        <f>IFERROR(VLOOKUP($D28,mapping_one!A:C,3,FALSE),"")</f>
        <v>0</v>
      </c>
      <c r="D28" t="s">
        <v>32</v>
      </c>
      <c r="E28" s="288" t="e">
        <f>SUMIF(#REF!,'p&amp;l'!D28,#REF!)</f>
        <v>#REF!</v>
      </c>
      <c r="F28" s="288" t="e">
        <f>SUMIF(#REF!,'p&amp;l'!D28,#REF!)</f>
        <v>#REF!</v>
      </c>
      <c r="G28" s="293" t="e">
        <f t="shared" ca="1" si="0"/>
        <v>#NAME?</v>
      </c>
      <c r="H28" s="293" t="e">
        <f t="shared" ca="1" si="0"/>
        <v>#NAME?</v>
      </c>
    </row>
    <row r="29" spans="1:8" x14ac:dyDescent="0.25">
      <c r="A29" t="str">
        <f ca="1">IFERROR(VLOOKUP($D29,mapping_one!A:B,2,FALSE),"")</f>
        <v/>
      </c>
      <c r="B29" t="str">
        <f ca="1">IFERROR(VLOOKUP($D29,mapping_one!A:D,4,FALSE),"")</f>
        <v/>
      </c>
      <c r="C29" t="str">
        <f ca="1">IFERROR(VLOOKUP($D29,mapping_one!A:C,3,FALSE),"")</f>
        <v/>
      </c>
      <c r="D29" s="147" t="e">
        <f ca="1">GetCtLabel(#REF!,"CURINIT(AC)!LDESC","#TOTAL STAFF COSTS")</f>
        <v>#NAME?</v>
      </c>
      <c r="E29" s="290"/>
      <c r="F29" s="290"/>
      <c r="G29" s="294"/>
      <c r="H29" s="294"/>
    </row>
    <row r="30" spans="1:8" s="284" customFormat="1" x14ac:dyDescent="0.25">
      <c r="A30" t="str">
        <f>IFERROR(VLOOKUP($D30,mapping_one!A:B,2,FALSE),"")</f>
        <v/>
      </c>
      <c r="B30" t="str">
        <f>IFERROR(VLOOKUP($D30,mapping_one!A:D,4,FALSE),"")</f>
        <v/>
      </c>
      <c r="C30" t="str">
        <f>IFERROR(VLOOKUP($D30,mapping_one!A:C,3,FALSE),"")</f>
        <v/>
      </c>
      <c r="D30" s="127"/>
      <c r="E30" s="291"/>
      <c r="F30" s="291"/>
      <c r="G30" s="295"/>
      <c r="H30" s="295"/>
    </row>
    <row r="31" spans="1:8" x14ac:dyDescent="0.25">
      <c r="A31" t="str">
        <f>IFERROR(VLOOKUP($D31,mapping_one!A:B,2,FALSE),"")</f>
        <v>AC=15400</v>
      </c>
      <c r="B31" t="str">
        <f>IFERROR(VLOOKUP($D31,mapping_one!A:D,4,FALSE),"")</f>
        <v>AU=0.INP</v>
      </c>
      <c r="C31" t="str">
        <f>IFERROR(VLOOKUP($D31,mapping_one!A:C,3,FALSE),"")</f>
        <v>CTPY=ODFRMO</v>
      </c>
      <c r="D31" t="s">
        <v>508</v>
      </c>
      <c r="E31" s="288" t="e">
        <f>SUMIF(#REF!,'p&amp;l'!D31,#REF!)</f>
        <v>#REF!</v>
      </c>
      <c r="F31" s="288" t="e">
        <f>SUMIF(#REF!,'p&amp;l'!D31,#REF!)</f>
        <v>#REF!</v>
      </c>
      <c r="G31" s="293" t="e">
        <f t="shared" ref="G31:H37" ca="1" si="1">PutCtData("PKAMOUNT","AMOUNT",G$4:G$7,$A31:$C31,G$10:G$11,$E31)</f>
        <v>#NAME?</v>
      </c>
      <c r="H31" s="293" t="e">
        <f t="shared" ca="1" si="1"/>
        <v>#NAME?</v>
      </c>
    </row>
    <row r="32" spans="1:8" x14ac:dyDescent="0.25">
      <c r="A32" t="str">
        <f>IFERROR(VLOOKUP($D32,mapping_one!A:B,2,FALSE),"")</f>
        <v>AC=15500</v>
      </c>
      <c r="B32" t="str">
        <f>IFERROR(VLOOKUP($D32,mapping_one!A:D,4,FALSE),"")</f>
        <v>AU=0.INP</v>
      </c>
      <c r="C32">
        <f>IFERROR(VLOOKUP($D32,mapping_one!A:C,3,FALSE),"")</f>
        <v>0</v>
      </c>
      <c r="D32" t="s">
        <v>509</v>
      </c>
      <c r="E32" s="288" t="e">
        <f>SUMIF(#REF!,'p&amp;l'!D32,#REF!)</f>
        <v>#REF!</v>
      </c>
      <c r="F32" s="288" t="e">
        <f>SUMIF(#REF!,'p&amp;l'!D32,#REF!)</f>
        <v>#REF!</v>
      </c>
      <c r="G32" s="293" t="e">
        <f t="shared" ca="1" si="1"/>
        <v>#NAME?</v>
      </c>
      <c r="H32" s="293" t="e">
        <f t="shared" ca="1" si="1"/>
        <v>#NAME?</v>
      </c>
    </row>
    <row r="33" spans="1:8" x14ac:dyDescent="0.25">
      <c r="A33" t="str">
        <f>IFERROR(VLOOKUP($D33,mapping_one!A:B,2,FALSE),"")</f>
        <v/>
      </c>
      <c r="B33" t="str">
        <f>IFERROR(VLOOKUP($D33,mapping_one!A:D,4,FALSE),"")</f>
        <v/>
      </c>
      <c r="C33" t="str">
        <f>IFERROR(VLOOKUP($D33,mapping_one!A:C,3,FALSE),"")</f>
        <v/>
      </c>
      <c r="E33" s="288" t="e">
        <f>SUMIF(#REF!,'p&amp;l'!D33,#REF!)</f>
        <v>#REF!</v>
      </c>
      <c r="F33" s="288" t="e">
        <f>SUMIF(#REF!,'p&amp;l'!D33,#REF!)</f>
        <v>#REF!</v>
      </c>
      <c r="G33" s="293" t="e">
        <f t="shared" ca="1" si="1"/>
        <v>#NAME?</v>
      </c>
      <c r="H33" s="293" t="e">
        <f t="shared" ca="1" si="1"/>
        <v>#NAME?</v>
      </c>
    </row>
    <row r="34" spans="1:8" x14ac:dyDescent="0.25">
      <c r="A34" t="str">
        <f>IFERROR(VLOOKUP($D34,mapping_one!A:B,2,FALSE),"")</f>
        <v>AC=16270</v>
      </c>
      <c r="B34" t="str">
        <f>IFERROR(VLOOKUP($D34,mapping_one!A:D,4,FALSE),"")</f>
        <v>AU=0.INP</v>
      </c>
      <c r="C34">
        <f>IFERROR(VLOOKUP($D34,mapping_one!A:C,3,FALSE),"")</f>
        <v>0</v>
      </c>
      <c r="D34" t="s">
        <v>511</v>
      </c>
      <c r="E34" s="288" t="e">
        <f>SUMIF(#REF!,'p&amp;l'!D34,#REF!)</f>
        <v>#REF!</v>
      </c>
      <c r="F34" s="288" t="e">
        <f>SUMIF(#REF!,'p&amp;l'!D34,#REF!)</f>
        <v>#REF!</v>
      </c>
      <c r="G34" s="293" t="e">
        <f t="shared" ca="1" si="1"/>
        <v>#NAME?</v>
      </c>
      <c r="H34" s="293" t="e">
        <f t="shared" ca="1" si="1"/>
        <v>#NAME?</v>
      </c>
    </row>
    <row r="35" spans="1:8" x14ac:dyDescent="0.25">
      <c r="A35" t="str">
        <f>IFERROR(VLOOKUP($D35,mapping_one!A:B,2,FALSE),"")</f>
        <v>AC=16290</v>
      </c>
      <c r="B35" t="str">
        <f>IFERROR(VLOOKUP($D35,mapping_one!A:D,4,FALSE),"")</f>
        <v>AU=0.INP</v>
      </c>
      <c r="C35">
        <f>IFERROR(VLOOKUP($D35,mapping_one!A:C,3,FALSE),"")</f>
        <v>0</v>
      </c>
      <c r="D35" t="s">
        <v>510</v>
      </c>
      <c r="E35" s="288" t="e">
        <f>SUMIF(#REF!,'p&amp;l'!D35,#REF!)</f>
        <v>#REF!</v>
      </c>
      <c r="F35" s="288" t="e">
        <f>SUMIF(#REF!,'p&amp;l'!D35,#REF!)</f>
        <v>#REF!</v>
      </c>
      <c r="G35" s="293" t="e">
        <f t="shared" ca="1" si="1"/>
        <v>#NAME?</v>
      </c>
      <c r="H35" s="293" t="e">
        <f t="shared" ca="1" si="1"/>
        <v>#NAME?</v>
      </c>
    </row>
    <row r="36" spans="1:8" x14ac:dyDescent="0.25">
      <c r="A36" t="str">
        <f>IFERROR(VLOOKUP($D36,mapping_one!A:B,2,FALSE),"")</f>
        <v>AC=16200</v>
      </c>
      <c r="B36" t="str">
        <f>IFERROR(VLOOKUP($D36,mapping_one!A:D,4,FALSE),"")</f>
        <v>AU=0.INP</v>
      </c>
      <c r="C36">
        <f>IFERROR(VLOOKUP($D36,mapping_one!A:C,3,FALSE),"")</f>
        <v>0</v>
      </c>
      <c r="D36" t="s">
        <v>512</v>
      </c>
      <c r="E36" s="288" t="e">
        <f>SUMIF(#REF!,'p&amp;l'!D36,#REF!)</f>
        <v>#REF!</v>
      </c>
      <c r="F36" s="288" t="e">
        <f>SUMIF(#REF!,'p&amp;l'!D36,#REF!)</f>
        <v>#REF!</v>
      </c>
      <c r="G36" s="293" t="e">
        <f t="shared" ca="1" si="1"/>
        <v>#NAME?</v>
      </c>
      <c r="H36" s="293" t="e">
        <f t="shared" ca="1" si="1"/>
        <v>#NAME?</v>
      </c>
    </row>
    <row r="37" spans="1:8" x14ac:dyDescent="0.25">
      <c r="A37" t="str">
        <f>IFERROR(VLOOKUP($D37,mapping_one!A:B,2,FALSE),"")</f>
        <v>AC=16000</v>
      </c>
      <c r="B37" t="str">
        <f>IFERROR(VLOOKUP($D37,mapping_one!A:D,4,FALSE),"")</f>
        <v>AU=0.INP</v>
      </c>
      <c r="C37">
        <f>IFERROR(VLOOKUP($D37,mapping_one!A:C,3,FALSE),"")</f>
        <v>0</v>
      </c>
      <c r="D37" t="s">
        <v>513</v>
      </c>
      <c r="E37" s="288" t="e">
        <f>SUMIF(#REF!,'p&amp;l'!D37,#REF!)</f>
        <v>#REF!</v>
      </c>
      <c r="F37" s="288" t="e">
        <f>SUMIF(#REF!,'p&amp;l'!D37,#REF!)</f>
        <v>#REF!</v>
      </c>
      <c r="G37" s="293" t="e">
        <f t="shared" ca="1" si="1"/>
        <v>#NAME?</v>
      </c>
      <c r="H37" s="293" t="e">
        <f t="shared" ca="1" si="1"/>
        <v>#NAME?</v>
      </c>
    </row>
    <row r="38" spans="1:8" x14ac:dyDescent="0.25">
      <c r="A38" t="str">
        <f ca="1">IFERROR(VLOOKUP($D38,mapping_one!A:B,2,FALSE),"")</f>
        <v/>
      </c>
      <c r="B38" t="str">
        <f ca="1">IFERROR(VLOOKUP($D38,mapping_one!A:D,4,FALSE),"")</f>
        <v/>
      </c>
      <c r="C38" t="str">
        <f ca="1">IFERROR(VLOOKUP($D38,mapping_one!A:C,3,FALSE),"")</f>
        <v/>
      </c>
      <c r="D38" s="147" t="e">
        <f ca="1">GetCtLabel(#REF!,"CURINIT(AC)!LDESC","#TOTAL PERSONAL COSTS")</f>
        <v>#NAME?</v>
      </c>
      <c r="E38" s="290"/>
      <c r="F38" s="290"/>
      <c r="G38" s="294"/>
      <c r="H38" s="294"/>
    </row>
    <row r="39" spans="1:8" s="284" customFormat="1" x14ac:dyDescent="0.25">
      <c r="A39" t="str">
        <f>IFERROR(VLOOKUP($D39,mapping_one!A:B,2,FALSE),"")</f>
        <v/>
      </c>
      <c r="B39" t="str">
        <f>IFERROR(VLOOKUP($D39,mapping_one!A:D,4,FALSE),"")</f>
        <v/>
      </c>
      <c r="C39" t="str">
        <f>IFERROR(VLOOKUP($D39,mapping_one!A:C,3,FALSE),"")</f>
        <v/>
      </c>
      <c r="D39" s="127"/>
      <c r="E39" s="291"/>
      <c r="F39" s="291"/>
      <c r="G39" s="295"/>
      <c r="H39" s="295"/>
    </row>
    <row r="40" spans="1:8" x14ac:dyDescent="0.25">
      <c r="A40" t="str">
        <f>IFERROR(VLOOKUP($D40,mapping_one!A:B,2,FALSE),"")</f>
        <v>AC=17500</v>
      </c>
      <c r="B40" t="str">
        <f>IFERROR(VLOOKUP($D40,mapping_one!A:D,4,FALSE),"")</f>
        <v>AU=0.INP</v>
      </c>
      <c r="C40">
        <f>IFERROR(VLOOKUP($D40,mapping_one!A:C,3,FALSE),"")</f>
        <v>0</v>
      </c>
      <c r="D40" t="s">
        <v>514</v>
      </c>
      <c r="E40" s="288" t="e">
        <f>SUMIF(#REF!,'p&amp;l'!D40,#REF!)</f>
        <v>#REF!</v>
      </c>
      <c r="F40" s="288" t="e">
        <f>SUMIF(#REF!,'p&amp;l'!D40,#REF!)</f>
        <v>#REF!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8" x14ac:dyDescent="0.25">
      <c r="A41" t="str">
        <f>IFERROR(VLOOKUP($D41,mapping_one!A:B,2,FALSE),"")</f>
        <v>AC=17000</v>
      </c>
      <c r="B41" t="str">
        <f>IFERROR(VLOOKUP($D41,mapping_one!A:D,4,FALSE),"")</f>
        <v>AU=0.INP</v>
      </c>
      <c r="C41">
        <f>IFERROR(VLOOKUP($D41,mapping_one!A:C,3,FALSE),"")</f>
        <v>0</v>
      </c>
      <c r="D41" t="s">
        <v>515</v>
      </c>
      <c r="E41" s="288" t="e">
        <f>SUMIF(#REF!,'p&amp;l'!D41,#REF!)</f>
        <v>#REF!</v>
      </c>
      <c r="F41" s="288" t="e">
        <f>SUMIF(#REF!,'p&amp;l'!D41,#REF!)</f>
        <v>#REF!</v>
      </c>
      <c r="G41" s="293" t="e">
        <f t="shared" ca="1" si="2"/>
        <v>#NAME?</v>
      </c>
      <c r="H41" s="293" t="e">
        <f t="shared" ca="1" si="2"/>
        <v>#NAME?</v>
      </c>
    </row>
    <row r="42" spans="1:8" x14ac:dyDescent="0.25">
      <c r="A42" t="str">
        <f>IFERROR(VLOOKUP($D42,mapping_one!A:B,2,FALSE),"")</f>
        <v>AC=17600</v>
      </c>
      <c r="B42" t="str">
        <f>IFERROR(VLOOKUP($D42,mapping_one!A:D,4,FALSE),"")</f>
        <v>AU=0.INP</v>
      </c>
      <c r="C42">
        <f>IFERROR(VLOOKUP($D42,mapping_one!A:C,3,FALSE),"")</f>
        <v>0</v>
      </c>
      <c r="D42" t="s">
        <v>516</v>
      </c>
      <c r="E42" s="288" t="e">
        <f>SUMIF(#REF!,'p&amp;l'!D42,#REF!)</f>
        <v>#REF!</v>
      </c>
      <c r="F42" s="288" t="e">
        <f>SUMIF(#REF!,'p&amp;l'!D42,#REF!)</f>
        <v>#REF!</v>
      </c>
      <c r="G42" s="293" t="e">
        <f t="shared" ca="1" si="2"/>
        <v>#NAME?</v>
      </c>
      <c r="H42" s="293" t="e">
        <f t="shared" ca="1" si="2"/>
        <v>#NAME?</v>
      </c>
    </row>
    <row r="43" spans="1:8" x14ac:dyDescent="0.25">
      <c r="A43" t="str">
        <f>IFERROR(VLOOKUP($D43,mapping_one!A:B,2,FALSE),"")</f>
        <v>AC=17400</v>
      </c>
      <c r="B43" t="str">
        <f>IFERROR(VLOOKUP($D43,mapping_one!A:D,4,FALSE),"")</f>
        <v>AU=0.INP</v>
      </c>
      <c r="C43">
        <f>IFERROR(VLOOKUP($D43,mapping_one!A:C,3,FALSE),"")</f>
        <v>0</v>
      </c>
      <c r="D43" t="s">
        <v>517</v>
      </c>
      <c r="E43" s="288" t="e">
        <f>SUMIF(#REF!,'p&amp;l'!D43,#REF!)</f>
        <v>#REF!</v>
      </c>
      <c r="F43" s="288" t="e">
        <f>SUMIF(#REF!,'p&amp;l'!D43,#REF!)</f>
        <v>#REF!</v>
      </c>
      <c r="G43" s="293" t="e">
        <f t="shared" ca="1" si="2"/>
        <v>#NAME?</v>
      </c>
      <c r="H43" s="293" t="e">
        <f t="shared" ca="1" si="2"/>
        <v>#NAME?</v>
      </c>
    </row>
    <row r="44" spans="1:8" x14ac:dyDescent="0.25">
      <c r="A44" t="str">
        <f ca="1">IFERROR(VLOOKUP($D44,mapping_one!A:B,2,FALSE),"")</f>
        <v/>
      </c>
      <c r="B44" t="str">
        <f ca="1">IFERROR(VLOOKUP($D44,mapping_one!A:D,4,FALSE),"")</f>
        <v/>
      </c>
      <c r="C44" t="str">
        <f ca="1">IFERROR(VLOOKUP($D44,mapping_one!A:C,3,FALSE),"")</f>
        <v/>
      </c>
      <c r="D44" s="147" t="e">
        <f ca="1">GetCtLabel(#REF!,"CURINIT(AC)!LDESC","#TOTAL COMMERCIAL COSTS")</f>
        <v>#NAME?</v>
      </c>
      <c r="E44" s="290"/>
      <c r="F44" s="290"/>
      <c r="G44" s="294"/>
      <c r="H44" s="294"/>
    </row>
    <row r="45" spans="1:8" x14ac:dyDescent="0.25">
      <c r="A45" t="str">
        <f>IFERROR(VLOOKUP($D45,mapping_one!A:B,2,FALSE),"")</f>
        <v/>
      </c>
      <c r="B45" t="str">
        <f>IFERROR(VLOOKUP($D45,mapping_one!A:D,4,FALSE),"")</f>
        <v/>
      </c>
      <c r="C45" t="str">
        <f>IFERROR(VLOOKUP($D45,mapping_one!A:C,3,FALSE),"")</f>
        <v/>
      </c>
      <c r="D45" s="127"/>
      <c r="G45" s="286"/>
      <c r="H45" s="286"/>
    </row>
    <row r="46" spans="1:8" x14ac:dyDescent="0.25">
      <c r="A46" t="str">
        <f>IFERROR(VLOOKUP($D46,mapping_one!A:B,2,FALSE),"")</f>
        <v>AC=18000</v>
      </c>
      <c r="B46" t="str">
        <f>IFERROR(VLOOKUP($D46,mapping_one!A:D,4,FALSE),"")</f>
        <v>AU=0.INP</v>
      </c>
      <c r="C46">
        <f>IFERROR(VLOOKUP($D46,mapping_one!A:C,3,FALSE),"")</f>
        <v>0</v>
      </c>
      <c r="D46" t="s">
        <v>518</v>
      </c>
      <c r="E46" s="288" t="e">
        <f>SUMIF(#REF!,'p&amp;l'!D46,#REF!)</f>
        <v>#REF!</v>
      </c>
      <c r="F46" s="288" t="e">
        <f>SUMIF(#REF!,'p&amp;l'!D46,#REF!)</f>
        <v>#REF!</v>
      </c>
      <c r="G46" s="293" t="e">
        <f t="shared" ref="G46:H53" ca="1" si="3">PutCtData("PKAMOUNT","AMOUNT",G$4:G$7,$A46:$C46,G$10:G$11,$E46)</f>
        <v>#NAME?</v>
      </c>
      <c r="H46" s="293" t="e">
        <f t="shared" ca="1" si="3"/>
        <v>#NAME?</v>
      </c>
    </row>
    <row r="47" spans="1:8" x14ac:dyDescent="0.25">
      <c r="A47" t="str">
        <f>IFERROR(VLOOKUP($D47,mapping_one!A:B,2,FALSE),"")</f>
        <v>AC=18600</v>
      </c>
      <c r="B47" t="str">
        <f>IFERROR(VLOOKUP($D47,mapping_one!A:D,4,FALSE),"")</f>
        <v>AU=0.INP</v>
      </c>
      <c r="C47">
        <f>IFERROR(VLOOKUP($D47,mapping_one!A:C,3,FALSE),"")</f>
        <v>0</v>
      </c>
      <c r="D47" t="s">
        <v>519</v>
      </c>
      <c r="E47" s="288" t="e">
        <f>SUMIF(#REF!,'p&amp;l'!D47,#REF!)</f>
        <v>#REF!</v>
      </c>
      <c r="F47" s="288" t="e">
        <f>SUMIF(#REF!,'p&amp;l'!D47,#REF!)</f>
        <v>#REF!</v>
      </c>
      <c r="G47" s="293" t="e">
        <f t="shared" ca="1" si="3"/>
        <v>#NAME?</v>
      </c>
      <c r="H47" s="293" t="e">
        <f t="shared" ca="1" si="3"/>
        <v>#NAME?</v>
      </c>
    </row>
    <row r="48" spans="1:8" x14ac:dyDescent="0.25">
      <c r="A48" t="str">
        <f>IFERROR(VLOOKUP($D48,mapping_one!A:B,2,FALSE),"")</f>
        <v>AC=18700</v>
      </c>
      <c r="B48" t="str">
        <f>IFERROR(VLOOKUP($D48,mapping_one!A:D,4,FALSE),"")</f>
        <v>AU=0.INP</v>
      </c>
      <c r="C48">
        <f>IFERROR(VLOOKUP($D48,mapping_one!A:C,3,FALSE),"")</f>
        <v>0</v>
      </c>
      <c r="D48" t="s">
        <v>520</v>
      </c>
      <c r="E48" s="288" t="e">
        <f>SUMIF(#REF!,'p&amp;l'!D48,#REF!)</f>
        <v>#REF!</v>
      </c>
      <c r="F48" s="288" t="e">
        <f>SUMIF(#REF!,'p&amp;l'!D48,#REF!)</f>
        <v>#REF!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tr">
        <f>IFERROR(VLOOKUP($D49,mapping_one!A:B,2,FALSE),"")</f>
        <v>AC=18500</v>
      </c>
      <c r="B49" t="str">
        <f>IFERROR(VLOOKUP($D49,mapping_one!A:D,4,FALSE),"")</f>
        <v>AU=0ADJ16</v>
      </c>
      <c r="C49">
        <f>IFERROR(VLOOKUP($D49,mapping_one!A:C,3,FALSE),"")</f>
        <v>0</v>
      </c>
      <c r="D49" t="s">
        <v>521</v>
      </c>
      <c r="E49" s="288" t="e">
        <f>SUMIF(#REF!,'p&amp;l'!D49,#REF!)</f>
        <v>#REF!</v>
      </c>
      <c r="F49" s="288" t="e">
        <f>SUMIF(#REF!,'p&amp;l'!D49,#REF!)</f>
        <v>#REF!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tr">
        <f>IFERROR(VLOOKUP($D50,mapping_one!A:B,2,FALSE),"")</f>
        <v>AC=18550</v>
      </c>
      <c r="B50" t="str">
        <f>IFERROR(VLOOKUP($D50,mapping_one!A:D,4,FALSE),"")</f>
        <v>AU=0ADJ16</v>
      </c>
      <c r="C50">
        <f>IFERROR(VLOOKUP($D50,mapping_one!A:C,3,FALSE),"")</f>
        <v>0</v>
      </c>
      <c r="D50" t="s">
        <v>524</v>
      </c>
      <c r="E50" s="288" t="e">
        <f>SUMIF(#REF!,'p&amp;l'!D50,#REF!)</f>
        <v>#REF!</v>
      </c>
      <c r="F50" s="288" t="e">
        <f>SUMIF(#REF!,'p&amp;l'!D50,#REF!)</f>
        <v>#REF!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tr">
        <f>IFERROR(VLOOKUP($D51,mapping_one!A:B,2,FALSE),"")</f>
        <v>AC=18860</v>
      </c>
      <c r="B51" t="str">
        <f>IFERROR(VLOOKUP($D51,mapping_one!A:D,4,FALSE),"")</f>
        <v>AU=0ADJ16</v>
      </c>
      <c r="C51">
        <f>IFERROR(VLOOKUP($D51,mapping_one!A:C,3,FALSE),"")</f>
        <v>0</v>
      </c>
      <c r="D51" t="s">
        <v>522</v>
      </c>
      <c r="E51" s="288" t="e">
        <f>SUMIF(#REF!,'p&amp;l'!D51,#REF!)</f>
        <v>#REF!</v>
      </c>
      <c r="F51" s="288" t="e">
        <f>SUMIF(#REF!,'p&amp;l'!D51,#REF!)</f>
        <v>#REF!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tr">
        <f>IFERROR(VLOOKUP($D52,mapping_one!A:B,2,FALSE),"")</f>
        <v>AC=18200</v>
      </c>
      <c r="B52" t="str">
        <f>IFERROR(VLOOKUP($D52,mapping_one!A:D,4,FALSE),"")</f>
        <v>AU=0ADJ16</v>
      </c>
      <c r="C52">
        <f>IFERROR(VLOOKUP($D52,mapping_one!A:C,3,FALSE),"")</f>
        <v>0</v>
      </c>
      <c r="D52" t="s">
        <v>525</v>
      </c>
      <c r="E52" s="288" t="e">
        <f>SUMIF(#REF!,'p&amp;l'!D52,#REF!)</f>
        <v>#REF!</v>
      </c>
      <c r="F52" s="288" t="e">
        <f>SUMIF(#REF!,'p&amp;l'!D52,#REF!)</f>
        <v>#REF!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tr">
        <f>IFERROR(VLOOKUP($D53,mapping_one!A:B,2,FALSE),"")</f>
        <v>AC=18300</v>
      </c>
      <c r="B53" t="str">
        <f>IFERROR(VLOOKUP($D53,mapping_one!A:D,4,FALSE),"")</f>
        <v>AU=0ADJ16</v>
      </c>
      <c r="C53">
        <f>IFERROR(VLOOKUP($D53,mapping_one!A:C,3,FALSE),"")</f>
        <v>0</v>
      </c>
      <c r="D53" t="s">
        <v>523</v>
      </c>
      <c r="E53" s="288" t="e">
        <f>SUMIF(#REF!,'p&amp;l'!D53,#REF!)</f>
        <v>#REF!</v>
      </c>
      <c r="F53" s="288" t="e">
        <f>SUMIF(#REF!,'p&amp;l'!D53,#REF!)</f>
        <v>#REF!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tr">
        <f ca="1">IFERROR(VLOOKUP($D54,mapping_one!A:B,2,FALSE),"")</f>
        <v/>
      </c>
      <c r="B54" t="str">
        <f ca="1">IFERROR(VLOOKUP($D54,mapping_one!A:D,4,FALSE),"")</f>
        <v/>
      </c>
      <c r="C54" t="str">
        <f ca="1">IFERROR(VLOOKUP($D54,mapping_one!A:C,3,FALSE),"")</f>
        <v/>
      </c>
      <c r="D54" s="147" t="e">
        <f ca="1">GetCtLabel(#REF!,"CURINIT(AC)!LDESC","#TOTAL OFFICE COSTS INCLUDING IT")</f>
        <v>#NAME?</v>
      </c>
      <c r="E54" s="290"/>
      <c r="F54" s="290"/>
      <c r="G54" s="294"/>
      <c r="H54" s="294"/>
    </row>
    <row r="55" spans="1:8" x14ac:dyDescent="0.25">
      <c r="A55" t="str">
        <f>IFERROR(VLOOKUP($D55,mapping_one!A:B,2,FALSE),"")</f>
        <v/>
      </c>
      <c r="B55" t="str">
        <f>IFERROR(VLOOKUP($D55,mapping_one!A:D,4,FALSE),"")</f>
        <v/>
      </c>
      <c r="C55" t="str">
        <f>IFERROR(VLOOKUP($D55,mapping_one!A:C,3,FALSE),"")</f>
        <v/>
      </c>
      <c r="D55" s="127"/>
      <c r="G55" s="286"/>
      <c r="H55" s="286"/>
    </row>
    <row r="56" spans="1:8" x14ac:dyDescent="0.25">
      <c r="A56" t="str">
        <f>IFERROR(VLOOKUP($D56,mapping_one!A:B,2,FALSE),"")</f>
        <v>AC=19300</v>
      </c>
      <c r="B56" t="str">
        <f>IFERROR(VLOOKUP($D56,mapping_one!A:D,4,FALSE),"")</f>
        <v>AU=0.INP</v>
      </c>
      <c r="C56">
        <f>IFERROR(VLOOKUP($D56,mapping_one!A:C,3,FALSE),"")</f>
        <v>0</v>
      </c>
      <c r="D56" t="s">
        <v>526</v>
      </c>
      <c r="E56" s="288" t="e">
        <f>SUMIF(#REF!,'p&amp;l'!D56,#REF!)</f>
        <v>#REF!</v>
      </c>
      <c r="F56" s="288" t="e">
        <f>SUMIF(#REF!,'p&amp;l'!D56,#REF!)</f>
        <v>#REF!</v>
      </c>
      <c r="G56" s="293" t="e">
        <f t="shared" ref="G56:H59" ca="1" si="4">PutCtData("PKAMOUNT","AMOUNT",G$4:G$7,$A56:$C56,G$10:G$11,$E56)</f>
        <v>#NAME?</v>
      </c>
      <c r="H56" s="293" t="e">
        <f t="shared" ca="1" si="4"/>
        <v>#NAME?</v>
      </c>
    </row>
    <row r="57" spans="1:8" x14ac:dyDescent="0.25">
      <c r="A57" t="str">
        <f>IFERROR(VLOOKUP($D57,mapping_one!A:B,2,FALSE),"")</f>
        <v>AC=19000</v>
      </c>
      <c r="B57" t="str">
        <f>IFERROR(VLOOKUP($D57,mapping_one!A:D,4,FALSE),"")</f>
        <v>AU=0.INP</v>
      </c>
      <c r="C57" t="str">
        <f>IFERROR(VLOOKUP($D57,mapping_one!A:C,3,FALSE),"")</f>
        <v>ANALYSIS=DT</v>
      </c>
      <c r="D57" t="s">
        <v>527</v>
      </c>
      <c r="E57" s="288" t="e">
        <f>SUMIF(#REF!,'p&amp;l'!D57,#REF!)</f>
        <v>#REF!</v>
      </c>
      <c r="F57" s="288" t="e">
        <f>SUMIF(#REF!,'p&amp;l'!D57,#REF!)</f>
        <v>#REF!</v>
      </c>
      <c r="G57" s="293" t="e">
        <f t="shared" ca="1" si="4"/>
        <v>#NAME?</v>
      </c>
      <c r="H57" s="293" t="e">
        <f t="shared" ca="1" si="4"/>
        <v>#NAME?</v>
      </c>
    </row>
    <row r="58" spans="1:8" x14ac:dyDescent="0.25">
      <c r="A58" t="str">
        <f>IFERROR(VLOOKUP($D58,mapping_one!A:B,2,FALSE),"")</f>
        <v>AC=19400</v>
      </c>
      <c r="B58" t="str">
        <f>IFERROR(VLOOKUP($D58,mapping_one!A:D,4,FALSE),"")</f>
        <v>AU=0.INP</v>
      </c>
      <c r="C58">
        <f>IFERROR(VLOOKUP($D58,mapping_one!A:C,3,FALSE),"")</f>
        <v>0</v>
      </c>
      <c r="D58" t="s">
        <v>528</v>
      </c>
      <c r="E58" s="288" t="e">
        <f>SUMIF(#REF!,'p&amp;l'!D58,#REF!)</f>
        <v>#REF!</v>
      </c>
      <c r="F58" s="288" t="e">
        <f>SUMIF(#REF!,'p&amp;l'!D58,#REF!)</f>
        <v>#REF!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tr">
        <f>IFERROR(VLOOKUP($D59,mapping_one!A:B,2,FALSE),"")</f>
        <v>AC=19350</v>
      </c>
      <c r="B59" t="str">
        <f>IFERROR(VLOOKUP($D59,mapping_one!A:D,4,FALSE),"")</f>
        <v>AU=0.INP</v>
      </c>
      <c r="C59">
        <f>IFERROR(VLOOKUP($D59,mapping_one!A:C,3,FALSE),"")</f>
        <v>0</v>
      </c>
      <c r="D59" t="s">
        <v>529</v>
      </c>
      <c r="E59" s="288" t="e">
        <f>SUMIF(#REF!,'p&amp;l'!D59,#REF!)</f>
        <v>#REF!</v>
      </c>
      <c r="F59" s="288" t="e">
        <f>SUMIF(#REF!,'p&amp;l'!D59,#REF!)</f>
        <v>#REF!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tr">
        <f ca="1">IFERROR(VLOOKUP($D60,mapping_one!A:B,2,FALSE),"")</f>
        <v/>
      </c>
      <c r="B60" t="str">
        <f ca="1">IFERROR(VLOOKUP($D60,mapping_one!A:D,4,FALSE),"")</f>
        <v/>
      </c>
      <c r="C60" t="str">
        <f ca="1">IFERROR(VLOOKUP($D60,mapping_one!A:C,3,FALSE),"")</f>
        <v/>
      </c>
      <c r="D60" s="147" t="e">
        <f ca="1">GetCtLabel(#REF!,"CURINIT(AC)!LDESC","#TOTAL FINANCE &amp; GENERAL COSTS")</f>
        <v>#NAME?</v>
      </c>
      <c r="E60" s="290"/>
      <c r="F60" s="290"/>
      <c r="G60" s="294"/>
      <c r="H60" s="294"/>
    </row>
    <row r="61" spans="1:8" x14ac:dyDescent="0.25">
      <c r="A61" t="str">
        <f>IFERROR(VLOOKUP($D61,mapping_one!A:B,2,FALSE),"")</f>
        <v/>
      </c>
      <c r="B61" t="str">
        <f>IFERROR(VLOOKUP($D61,mapping_one!A:D,4,FALSE),"")</f>
        <v/>
      </c>
      <c r="C61" t="str">
        <f>IFERROR(VLOOKUP($D61,mapping_one!A:C,3,FALSE),"")</f>
        <v/>
      </c>
      <c r="D61" s="127"/>
      <c r="G61" s="286"/>
      <c r="H61" s="286"/>
    </row>
    <row r="62" spans="1:8" x14ac:dyDescent="0.25">
      <c r="A62" t="str">
        <f>IFERROR(VLOOKUP($D62,mapping_one!A:B,2,FALSE),"")</f>
        <v>AC=19740</v>
      </c>
      <c r="B62" t="str">
        <f>IFERROR(VLOOKUP($D62,mapping_one!A:D,4,FALSE),"")</f>
        <v>AU=0.INP</v>
      </c>
      <c r="C62" t="str">
        <f>IFERROR(VLOOKUP($D62,mapping_one!A:C,3,FALSE),"")</f>
        <v>CTPY=ODFRMO</v>
      </c>
      <c r="D62" t="s">
        <v>530</v>
      </c>
      <c r="E62" s="288" t="e">
        <f>SUMIF(#REF!,'p&amp;l'!D62,#REF!)</f>
        <v>#REF!</v>
      </c>
      <c r="F62" s="288" t="e">
        <f>SUMIF(#REF!,'p&amp;l'!D62,#REF!)</f>
        <v>#REF!</v>
      </c>
      <c r="G62" s="293" t="e">
        <f ca="1">PutCtData("PKAMOUNT","AMOUNT",G$4:G$7,$A62:$C62,G$10:G$11,$E62)</f>
        <v>#NAME?</v>
      </c>
      <c r="H62" s="293" t="e">
        <f ca="1">PutCtData("PKAMOUNT","AMOUNT",H$4:H$7,$A62:$C62,H$10:H$11,$E62)</f>
        <v>#NAME?</v>
      </c>
    </row>
    <row r="63" spans="1:8" x14ac:dyDescent="0.25">
      <c r="A63" t="str">
        <f ca="1">IFERROR(VLOOKUP($D63,mapping_one!A:B,2,FALSE),"")</f>
        <v/>
      </c>
      <c r="B63" t="str">
        <f ca="1">IFERROR(VLOOKUP($D63,mapping_one!A:D,4,FALSE),"")</f>
        <v/>
      </c>
      <c r="C63" t="str">
        <f ca="1">IFERROR(VLOOKUP($D63,mapping_one!A:C,3,FALSE),"")</f>
        <v/>
      </c>
      <c r="D63" s="147" t="e">
        <f ca="1">GetCtLabel(#REF!,"CURINIT(AC)!LDESC","#OVERHEAD ALLOCATION")</f>
        <v>#NAME?</v>
      </c>
      <c r="E63" s="290"/>
      <c r="F63" s="290"/>
      <c r="G63" s="294"/>
      <c r="H63" s="294"/>
    </row>
  </sheetData>
  <dataValidations disablePrompts="1"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38"/>
  <sheetViews>
    <sheetView showZeros="0" workbookViewId="0">
      <selection activeCell="K25" sqref="K25"/>
    </sheetView>
  </sheetViews>
  <sheetFormatPr baseColWidth="10" defaultColWidth="11.42578125" defaultRowHeight="15" outlineLevelRow="1" outlineLevelCol="1" x14ac:dyDescent="0.25"/>
  <cols>
    <col min="1" max="1" width="34.7109375" style="6" customWidth="1"/>
    <col min="2" max="2" width="59.140625" style="7" customWidth="1"/>
    <col min="3" max="3" width="22.7109375" style="35" customWidth="1"/>
    <col min="4" max="4" width="14.28515625" style="3" bestFit="1" customWidth="1"/>
    <col min="5" max="5" width="11.42578125" style="4"/>
    <col min="6" max="6" width="12.85546875" style="4" bestFit="1" customWidth="1"/>
    <col min="7" max="7" width="13.85546875" style="298" bestFit="1" customWidth="1"/>
    <col min="8" max="8" width="13.85546875" style="5" hidden="1" customWidth="1" outlineLevel="1"/>
    <col min="9" max="9" width="0.140625" style="5" hidden="1" customWidth="1" outlineLevel="1"/>
    <col min="10" max="10" width="11.42578125" style="6" collapsed="1"/>
    <col min="11" max="16384" width="11.42578125" style="6"/>
  </cols>
  <sheetData>
    <row r="1" spans="1:9" x14ac:dyDescent="0.25">
      <c r="A1" s="296" t="s">
        <v>711</v>
      </c>
      <c r="B1" s="2" t="s">
        <v>0</v>
      </c>
      <c r="C1" s="34"/>
      <c r="F1" s="4" t="s">
        <v>134</v>
      </c>
    </row>
    <row r="2" spans="1:9" ht="15.75" thickBot="1" x14ac:dyDescent="0.3"/>
    <row r="3" spans="1:9" x14ac:dyDescent="0.25">
      <c r="D3" s="47"/>
      <c r="E3" s="8"/>
      <c r="F3" s="8"/>
      <c r="G3" s="299"/>
      <c r="H3" s="9"/>
      <c r="I3" s="9"/>
    </row>
    <row r="4" spans="1:9" ht="25.5" x14ac:dyDescent="0.25">
      <c r="C4" s="35" t="s">
        <v>142</v>
      </c>
      <c r="D4" s="48" t="s">
        <v>719</v>
      </c>
      <c r="E4" s="10" t="s">
        <v>720</v>
      </c>
      <c r="F4" s="10" t="s">
        <v>717</v>
      </c>
      <c r="G4" s="300" t="s">
        <v>139</v>
      </c>
      <c r="H4" s="11"/>
      <c r="I4" s="11"/>
    </row>
    <row r="5" spans="1:9" x14ac:dyDescent="0.25">
      <c r="D5" s="49"/>
      <c r="E5" s="12"/>
      <c r="F5" s="12"/>
      <c r="G5" s="301"/>
      <c r="H5" s="13"/>
      <c r="I5" s="13"/>
    </row>
    <row r="6" spans="1:9" x14ac:dyDescent="0.25">
      <c r="A6" s="6" t="str">
        <f>IFERROR(VLOOKUP(B6,mapping_one_neo!A:B,2,FALSE),"")</f>
        <v>Billings - Non-Media</v>
      </c>
      <c r="B6" s="42" t="s">
        <v>1</v>
      </c>
      <c r="C6" s="43"/>
      <c r="D6" s="50"/>
      <c r="E6" s="44"/>
      <c r="F6" s="44"/>
      <c r="G6" s="302"/>
      <c r="H6" s="15"/>
      <c r="I6" s="15"/>
    </row>
    <row r="7" spans="1:9" x14ac:dyDescent="0.25">
      <c r="A7" s="6" t="str">
        <f>IFERROR(VLOOKUP(B7,mapping_one_neo!A:B,2,FALSE),"")</f>
        <v/>
      </c>
      <c r="D7" s="49"/>
      <c r="E7" s="12"/>
      <c r="F7" s="12"/>
      <c r="G7" s="301"/>
      <c r="H7" s="13"/>
      <c r="I7" s="13"/>
    </row>
    <row r="8" spans="1:9" x14ac:dyDescent="0.25">
      <c r="A8" s="6">
        <f>IFERROR(VLOOKUP(B8,mapping_one_neo!A:B,2,FALSE),"")</f>
        <v>0</v>
      </c>
      <c r="B8" s="2" t="s">
        <v>2</v>
      </c>
      <c r="C8" s="34"/>
      <c r="D8" s="49"/>
      <c r="E8" s="12"/>
      <c r="F8" s="12"/>
      <c r="G8" s="301"/>
      <c r="H8" s="16"/>
      <c r="I8" s="16"/>
    </row>
    <row r="9" spans="1:9" x14ac:dyDescent="0.25">
      <c r="A9" s="6" t="str">
        <f>IFERROR(VLOOKUP(B9,mapping_one_neo!A:B,2,FALSE),"")</f>
        <v>Staff salaries</v>
      </c>
      <c r="B9" s="14" t="s">
        <v>3</v>
      </c>
      <c r="C9" s="36"/>
      <c r="D9" s="49">
        <v>-165.12180000000001</v>
      </c>
      <c r="E9" s="12">
        <v>-165.36456666666666</v>
      </c>
      <c r="F9" s="303">
        <v>-164.33084433333332</v>
      </c>
      <c r="G9" s="304">
        <f>+D9+E9++F9</f>
        <v>-494.81721099999993</v>
      </c>
      <c r="H9" s="19"/>
      <c r="I9" s="19"/>
    </row>
    <row r="10" spans="1:9" x14ac:dyDescent="0.25">
      <c r="A10" s="6" t="str">
        <f>IFERROR(VLOOKUP(B10,mapping_one_neo!A:B,2,FALSE),"")</f>
        <v>Employers Social Taxes</v>
      </c>
      <c r="B10" s="14" t="s">
        <v>4</v>
      </c>
      <c r="C10" s="36"/>
      <c r="D10" s="49">
        <v>-75.539076000000009</v>
      </c>
      <c r="E10" s="12">
        <v>-75.599046000000001</v>
      </c>
      <c r="F10" s="12">
        <v>-94.724122571621635</v>
      </c>
      <c r="G10" s="304">
        <f t="shared" ref="G10:G18" si="0">+D10+E10++F10</f>
        <v>-245.86224457162166</v>
      </c>
      <c r="H10" s="19"/>
      <c r="I10" s="19"/>
    </row>
    <row r="11" spans="1:9" outlineLevel="1" x14ac:dyDescent="0.25">
      <c r="A11" s="6" t="str">
        <f>IFERROR(VLOOKUP(B11,mapping_one_neo!A:B,2,FALSE),"")</f>
        <v/>
      </c>
      <c r="B11" s="14" t="s">
        <v>718</v>
      </c>
      <c r="C11" s="36">
        <v>613218</v>
      </c>
      <c r="D11" s="49">
        <v>-16.386716666666661</v>
      </c>
      <c r="E11" s="12">
        <v>-16.386716666666661</v>
      </c>
      <c r="F11" s="12">
        <v>-16.386716666666661</v>
      </c>
      <c r="G11" s="304">
        <f t="shared" si="0"/>
        <v>-49.160149999999987</v>
      </c>
      <c r="H11" s="19"/>
      <c r="I11" s="19"/>
    </row>
    <row r="12" spans="1:9" x14ac:dyDescent="0.25">
      <c r="A12" s="6" t="str">
        <f>IFERROR(VLOOKUP(B12,mapping_one_neo!A:B,2,FALSE),"")</f>
        <v>Recruitment costs</v>
      </c>
      <c r="B12" s="14" t="s">
        <v>17</v>
      </c>
      <c r="C12" s="36" t="s">
        <v>144</v>
      </c>
      <c r="D12" s="49"/>
      <c r="E12" s="12"/>
      <c r="F12" s="12">
        <v>-17</v>
      </c>
      <c r="G12" s="304">
        <f t="shared" si="0"/>
        <v>-17</v>
      </c>
      <c r="H12" s="19"/>
      <c r="I12" s="19"/>
    </row>
    <row r="13" spans="1:9" x14ac:dyDescent="0.25">
      <c r="A13" s="6" t="str">
        <f>IFERROR(VLOOKUP(B13,mapping_one_neo!A:B,2,FALSE),"")</f>
        <v>Consultants/freelances/temps</v>
      </c>
      <c r="B13" s="14" t="s">
        <v>18</v>
      </c>
      <c r="C13" s="36">
        <v>648212</v>
      </c>
      <c r="D13" s="49"/>
      <c r="E13" s="12"/>
      <c r="F13" s="12"/>
      <c r="G13" s="304">
        <f t="shared" si="0"/>
        <v>0</v>
      </c>
      <c r="H13" s="19"/>
      <c r="I13" s="19"/>
    </row>
    <row r="14" spans="1:9" x14ac:dyDescent="0.25">
      <c r="A14" s="6">
        <f>IFERROR(VLOOKUP(B14,mapping_one_neo!A:B,2,FALSE),"")</f>
        <v>0</v>
      </c>
      <c r="B14" s="14" t="s">
        <v>24</v>
      </c>
      <c r="C14" s="36"/>
      <c r="D14" s="49"/>
      <c r="E14" s="12"/>
      <c r="F14" s="12"/>
      <c r="G14" s="304">
        <f t="shared" si="0"/>
        <v>0</v>
      </c>
      <c r="H14" s="19"/>
      <c r="I14" s="19"/>
    </row>
    <row r="15" spans="1:9" x14ac:dyDescent="0.25">
      <c r="A15" s="6" t="str">
        <f>IFERROR(VLOOKUP(B15,mapping_one_neo!A:B,2,FALSE),"")</f>
        <v>Car costs/leases</v>
      </c>
      <c r="B15" s="2" t="s">
        <v>26</v>
      </c>
      <c r="C15" s="34"/>
      <c r="D15" s="49">
        <v>-4.0546800708893729</v>
      </c>
      <c r="E15" s="12">
        <v>-4.0546800708893729</v>
      </c>
      <c r="F15" s="12">
        <v>-4.0546800708893729</v>
      </c>
      <c r="G15" s="304">
        <f t="shared" si="0"/>
        <v>-12.16404021266812</v>
      </c>
      <c r="H15" s="19"/>
      <c r="I15" s="19"/>
    </row>
    <row r="16" spans="1:9" x14ac:dyDescent="0.25">
      <c r="A16" s="6" t="str">
        <f>IFERROR(VLOOKUP(B16,mapping_one_neo!A:B,2,FALSE),"")</f>
        <v>Pensions - defined benefit schemes</v>
      </c>
      <c r="B16" s="14" t="s">
        <v>31</v>
      </c>
      <c r="C16" s="36"/>
      <c r="D16" s="49">
        <v>-0.98216666666666663</v>
      </c>
      <c r="E16" s="12">
        <v>-0.98216666666666663</v>
      </c>
      <c r="F16" s="12">
        <v>-0.98216666666666663</v>
      </c>
      <c r="G16" s="304">
        <f t="shared" si="0"/>
        <v>-2.9464999999999999</v>
      </c>
      <c r="H16" s="19"/>
      <c r="I16" s="19"/>
    </row>
    <row r="17" spans="1:9" x14ac:dyDescent="0.25">
      <c r="A17" s="6">
        <f>IFERROR(VLOOKUP(B17,mapping_one_neo!A:B,2,FALSE),"")</f>
        <v>0</v>
      </c>
      <c r="B17" s="20" t="s">
        <v>32</v>
      </c>
      <c r="C17" s="37"/>
      <c r="D17" s="49"/>
      <c r="E17" s="12"/>
      <c r="F17" s="12">
        <v>-31.229690878378403</v>
      </c>
      <c r="G17" s="304">
        <f t="shared" si="0"/>
        <v>-31.229690878378403</v>
      </c>
      <c r="H17" s="19"/>
      <c r="I17" s="19"/>
    </row>
    <row r="18" spans="1:9" x14ac:dyDescent="0.25">
      <c r="A18" s="6" t="str">
        <f>IFERROR(VLOOKUP(B18,mapping_one_neo!A:B,2,FALSE),"")</f>
        <v/>
      </c>
      <c r="B18" s="14" t="s">
        <v>569</v>
      </c>
      <c r="C18" s="21"/>
      <c r="D18" s="312"/>
      <c r="E18" s="313"/>
      <c r="F18" s="314">
        <v>-23</v>
      </c>
      <c r="G18" s="304">
        <f t="shared" si="0"/>
        <v>-23</v>
      </c>
      <c r="H18" s="23"/>
      <c r="I18" s="23"/>
    </row>
    <row r="19" spans="1:9" x14ac:dyDescent="0.25">
      <c r="A19" s="41">
        <f>IFERROR(VLOOKUP(B19,mapping_one_neo!A:B,2,FALSE),"")</f>
        <v>0</v>
      </c>
      <c r="B19" s="45" t="s">
        <v>35</v>
      </c>
      <c r="C19" s="46"/>
      <c r="D19" s="50">
        <f>D9+D10+D11+D12+D13+D14+D15+D16+D17</f>
        <v>-262.08443940422273</v>
      </c>
      <c r="E19" s="44">
        <f t="shared" ref="E19" si="1">E9+E10+E11+E12+E13+E14+E15+E16+E17</f>
        <v>-262.38717607088938</v>
      </c>
      <c r="F19" s="44">
        <f>F9+F10+F11+F12+F13+F14+F15+F16+F17+F18</f>
        <v>-351.70822118755603</v>
      </c>
      <c r="G19" s="297">
        <f>G9+G10+G11+G12+G13+G14+G15+G16+G17+G18</f>
        <v>-876.17983666266821</v>
      </c>
      <c r="H19" s="24"/>
      <c r="I19" s="24"/>
    </row>
    <row r="20" spans="1:9" x14ac:dyDescent="0.25">
      <c r="A20" s="6" t="str">
        <f>IFERROR(VLOOKUP(B20,mapping_one_neo!A:B,2,FALSE),"")</f>
        <v/>
      </c>
      <c r="B20" s="21"/>
      <c r="C20" s="21"/>
      <c r="D20" s="51"/>
      <c r="E20" s="22"/>
      <c r="F20" s="22"/>
      <c r="G20" s="305"/>
      <c r="H20" s="22"/>
      <c r="I20" s="22"/>
    </row>
    <row r="21" spans="1:9" x14ac:dyDescent="0.25">
      <c r="A21" s="6">
        <f>IFERROR(VLOOKUP(B21,mapping_one_neo!A:B,2,FALSE),"")</f>
        <v>0</v>
      </c>
      <c r="B21" s="14" t="s">
        <v>36</v>
      </c>
      <c r="C21" s="36"/>
      <c r="D21" s="49"/>
      <c r="E21" s="12"/>
      <c r="F21" s="12"/>
      <c r="G21" s="301"/>
      <c r="H21" s="13"/>
      <c r="I21" s="13"/>
    </row>
    <row r="22" spans="1:9" x14ac:dyDescent="0.25">
      <c r="A22" s="6" t="str">
        <f>IFERROR(VLOOKUP(B22,mapping_one_neo!A:B,2,FALSE),"")</f>
        <v>Inter-company facilities AU=0.INP Neo</v>
      </c>
      <c r="B22" s="14" t="s">
        <v>161</v>
      </c>
      <c r="C22" s="36"/>
      <c r="D22" s="49">
        <f>+D23+D24+D25</f>
        <v>-13.25</v>
      </c>
      <c r="E22" s="1">
        <f t="shared" ref="E22:F22" si="2">+E23+E24+E25</f>
        <v>-13.25</v>
      </c>
      <c r="F22" s="12">
        <f t="shared" si="2"/>
        <v>-13.25</v>
      </c>
      <c r="G22" s="304">
        <f>+D22+E22+F22</f>
        <v>-39.75</v>
      </c>
      <c r="H22" s="13"/>
      <c r="I22" s="13"/>
    </row>
    <row r="23" spans="1:9" hidden="1" outlineLevel="1" x14ac:dyDescent="0.25">
      <c r="A23" s="6" t="str">
        <f>IFERROR(VLOOKUP(B23,mapping_one_neo!A:B,2,FALSE),"")</f>
        <v/>
      </c>
      <c r="B23" s="14" t="s">
        <v>713</v>
      </c>
      <c r="C23" s="36" t="s">
        <v>147</v>
      </c>
      <c r="D23" s="49">
        <v>-8.75</v>
      </c>
      <c r="E23" s="1">
        <v>-8.0833333333333339</v>
      </c>
      <c r="F23" s="12">
        <v>-8.0833333333333339</v>
      </c>
      <c r="G23" s="304">
        <f t="shared" ref="G23:G26" si="3">+D23+E23+F23</f>
        <v>-24.916666666666671</v>
      </c>
      <c r="H23" s="18"/>
      <c r="I23" s="18"/>
    </row>
    <row r="24" spans="1:9" hidden="1" outlineLevel="1" x14ac:dyDescent="0.25">
      <c r="A24" s="6" t="str">
        <f>IFERROR(VLOOKUP(B24,mapping_one_neo!A:B,2,FALSE),"")</f>
        <v/>
      </c>
      <c r="B24" s="14" t="s">
        <v>714</v>
      </c>
      <c r="C24" s="36" t="s">
        <v>147</v>
      </c>
      <c r="D24" s="49">
        <v>-2.5</v>
      </c>
      <c r="E24" s="12">
        <v>-3.1666666666666665</v>
      </c>
      <c r="F24" s="12">
        <v>-3.1666666666666665</v>
      </c>
      <c r="G24" s="304">
        <f t="shared" si="3"/>
        <v>-8.8333333333333321</v>
      </c>
      <c r="H24" s="18"/>
      <c r="I24" s="18"/>
    </row>
    <row r="25" spans="1:9" hidden="1" outlineLevel="1" x14ac:dyDescent="0.25">
      <c r="A25" s="6" t="str">
        <f>IFERROR(VLOOKUP(B25,mapping_one_neo!A:B,2,FALSE),"")</f>
        <v/>
      </c>
      <c r="B25" s="14" t="s">
        <v>715</v>
      </c>
      <c r="C25" s="36">
        <v>658200</v>
      </c>
      <c r="D25" s="49">
        <v>-2</v>
      </c>
      <c r="E25" s="12">
        <v>-2</v>
      </c>
      <c r="F25" s="12">
        <v>-2</v>
      </c>
      <c r="G25" s="304">
        <f t="shared" si="3"/>
        <v>-6</v>
      </c>
      <c r="H25" s="18"/>
      <c r="I25" s="18"/>
    </row>
    <row r="26" spans="1:9" collapsed="1" x14ac:dyDescent="0.25">
      <c r="A26" s="6" t="str">
        <f>IFERROR(VLOOKUP(B26,mapping_one_neo!A:B,2,FALSE),"")</f>
        <v>Other establishment costs</v>
      </c>
      <c r="B26" s="14" t="s">
        <v>39</v>
      </c>
      <c r="C26" s="36">
        <v>613212</v>
      </c>
      <c r="D26" s="49">
        <v>-0.42205000000000004</v>
      </c>
      <c r="E26" s="12">
        <v>-0.42205000000000004</v>
      </c>
      <c r="F26" s="12">
        <v>-0.40798000000000001</v>
      </c>
      <c r="G26" s="304">
        <f t="shared" si="3"/>
        <v>-1.2520800000000001</v>
      </c>
      <c r="H26" s="18"/>
      <c r="I26" s="18"/>
    </row>
    <row r="27" spans="1:9" x14ac:dyDescent="0.25">
      <c r="A27" s="6" t="str">
        <f>IFERROR(VLOOKUP(B27,mapping_one_neo!A:B,2,FALSE),"")</f>
        <v>Other establishment costs</v>
      </c>
      <c r="B27" s="14" t="s">
        <v>40</v>
      </c>
      <c r="C27" s="36">
        <v>624211</v>
      </c>
      <c r="D27" s="49"/>
      <c r="E27" s="17"/>
      <c r="F27" s="17"/>
      <c r="G27" s="304">
        <v>0</v>
      </c>
      <c r="H27" s="18"/>
      <c r="I27" s="18"/>
    </row>
    <row r="28" spans="1:9" x14ac:dyDescent="0.25">
      <c r="A28" s="6" t="str">
        <f>IFERROR(VLOOKUP(B28,mapping_one_neo!A:B,2,FALSE),"")</f>
        <v>Inter-company facilities AU=0.INP Neo</v>
      </c>
      <c r="B28" s="14" t="s">
        <v>41</v>
      </c>
      <c r="C28" s="36" t="s">
        <v>147</v>
      </c>
      <c r="D28" s="49"/>
      <c r="E28" s="17"/>
      <c r="F28" s="17"/>
      <c r="G28" s="304">
        <v>0</v>
      </c>
      <c r="H28" s="18"/>
      <c r="I28" s="18"/>
    </row>
    <row r="29" spans="1:9" x14ac:dyDescent="0.25">
      <c r="A29" s="6" t="str">
        <f>IFERROR(VLOOKUP(B29,mapping_one_neo!A:B,2,FALSE),"")</f>
        <v/>
      </c>
      <c r="B29" s="42" t="s">
        <v>42</v>
      </c>
      <c r="C29" s="43"/>
      <c r="D29" s="50">
        <f>+D26+D22</f>
        <v>-13.67205</v>
      </c>
      <c r="E29" s="44">
        <f t="shared" ref="E29:F29" si="4">+E26+E22</f>
        <v>-13.67205</v>
      </c>
      <c r="F29" s="44">
        <f t="shared" si="4"/>
        <v>-13.65798</v>
      </c>
      <c r="G29" s="297">
        <f>+G22+G26</f>
        <v>-41.002079999999999</v>
      </c>
      <c r="H29" s="15"/>
      <c r="I29" s="15"/>
    </row>
    <row r="30" spans="1:9" x14ac:dyDescent="0.25">
      <c r="A30" s="6" t="str">
        <f>IFERROR(VLOOKUP(B30,mapping_one_neo!A:B,2,FALSE),"")</f>
        <v/>
      </c>
      <c r="D30" s="49"/>
      <c r="E30" s="12"/>
      <c r="F30" s="12"/>
      <c r="G30" s="301"/>
      <c r="H30" s="13"/>
      <c r="I30" s="13"/>
    </row>
    <row r="31" spans="1:9" x14ac:dyDescent="0.25">
      <c r="A31" s="6">
        <f>IFERROR(VLOOKUP(B31,mapping_one_neo!A:B,2,FALSE),"")</f>
        <v>0</v>
      </c>
      <c r="B31" s="14" t="s">
        <v>43</v>
      </c>
      <c r="C31" s="36"/>
      <c r="D31" s="49"/>
      <c r="E31" s="12"/>
      <c r="F31" s="12"/>
      <c r="G31" s="301"/>
      <c r="H31" s="13"/>
      <c r="I31" s="13"/>
    </row>
    <row r="32" spans="1:9" x14ac:dyDescent="0.25">
      <c r="A32" s="6">
        <f>IFERROR(VLOOKUP(B32,mapping_one_neo!A:B,2,FALSE),"")</f>
        <v>0</v>
      </c>
      <c r="B32" s="25" t="s">
        <v>44</v>
      </c>
      <c r="C32" s="38"/>
      <c r="D32" s="49"/>
      <c r="E32" s="12"/>
      <c r="F32" s="12"/>
      <c r="G32" s="301"/>
      <c r="H32" s="13"/>
      <c r="I32" s="13"/>
    </row>
    <row r="33" spans="1:9" x14ac:dyDescent="0.25">
      <c r="A33" s="6" t="str">
        <f>IFERROR(VLOOKUP(B33,mapping_one_neo!A:B,2,FALSE),"")</f>
        <v>Staff training course fees</v>
      </c>
      <c r="B33" s="26" t="s">
        <v>45</v>
      </c>
      <c r="C33" s="39" t="s">
        <v>148</v>
      </c>
      <c r="D33" s="49">
        <v>-2.6144791400000003</v>
      </c>
      <c r="E33" s="12">
        <v>-2.6279791399999999</v>
      </c>
      <c r="F33" s="12">
        <v>-5.2315150560000001</v>
      </c>
      <c r="G33" s="304">
        <f>+D33+E33+F33</f>
        <v>-10.473973336</v>
      </c>
      <c r="H33" s="18"/>
      <c r="I33" s="18"/>
    </row>
    <row r="34" spans="1:9" x14ac:dyDescent="0.25">
      <c r="A34" s="6" t="str">
        <f>IFERROR(VLOOKUP(B34,mapping_one_neo!A:B,2,FALSE),"")</f>
        <v>Staff Welfare</v>
      </c>
      <c r="B34" s="26" t="s">
        <v>46</v>
      </c>
      <c r="C34" s="39" t="s">
        <v>149</v>
      </c>
      <c r="D34" s="49">
        <v>-10.174298</v>
      </c>
      <c r="E34" s="12">
        <v>-10.255298</v>
      </c>
      <c r="F34" s="12">
        <v>-10.712421055</v>
      </c>
      <c r="G34" s="304">
        <f t="shared" ref="G34:G36" si="5">+D34+E34+F34</f>
        <v>-31.142017055</v>
      </c>
      <c r="H34" s="18"/>
      <c r="I34" s="18"/>
    </row>
    <row r="35" spans="1:9" x14ac:dyDescent="0.25">
      <c r="A35" s="6" t="str">
        <f>IFERROR(VLOOKUP(B35,mapping_one_neo!A:B,2,FALSE),"")</f>
        <v>Staff Welfare</v>
      </c>
      <c r="B35" s="26" t="s">
        <v>47</v>
      </c>
      <c r="C35" s="39" t="s">
        <v>150</v>
      </c>
      <c r="D35" s="49">
        <v>-0.75</v>
      </c>
      <c r="E35" s="12">
        <v>-0.75</v>
      </c>
      <c r="F35" s="12">
        <v>-0.75</v>
      </c>
      <c r="G35" s="304">
        <f t="shared" si="5"/>
        <v>-2.25</v>
      </c>
      <c r="H35" s="18"/>
      <c r="I35" s="18"/>
    </row>
    <row r="36" spans="1:9" x14ac:dyDescent="0.25">
      <c r="A36" s="6" t="str">
        <f>IFERROR(VLOOKUP(B36,mapping_one_neo!A:B,2,FALSE),"")</f>
        <v>Staff Welfare</v>
      </c>
      <c r="B36" s="26" t="s">
        <v>48</v>
      </c>
      <c r="C36" s="39" t="s">
        <v>151</v>
      </c>
      <c r="D36" s="49">
        <v>-0.41666666666666669</v>
      </c>
      <c r="E36" s="12">
        <v>-0.41666666666666669</v>
      </c>
      <c r="F36" s="12">
        <v>-0.41666666666666669</v>
      </c>
      <c r="G36" s="304">
        <f t="shared" si="5"/>
        <v>-1.25</v>
      </c>
      <c r="H36" s="18"/>
      <c r="I36" s="18"/>
    </row>
    <row r="37" spans="1:9" x14ac:dyDescent="0.25">
      <c r="A37" s="6" t="str">
        <f>IFERROR(VLOOKUP(B37,mapping_one_neo!A:B,2,FALSE),"")</f>
        <v>Staff Welfare</v>
      </c>
      <c r="B37" s="26" t="s">
        <v>49</v>
      </c>
      <c r="C37" s="39">
        <v>645100</v>
      </c>
      <c r="D37" s="49"/>
      <c r="E37" s="12"/>
      <c r="F37" s="12"/>
      <c r="G37" s="304"/>
      <c r="H37" s="18"/>
      <c r="I37" s="18"/>
    </row>
    <row r="38" spans="1:9" x14ac:dyDescent="0.25">
      <c r="A38" s="6" t="str">
        <f>IFERROR(VLOOKUP(B38,mapping_one_neo!A:B,2,FALSE),"")</f>
        <v>Staff Welfare</v>
      </c>
      <c r="B38" s="26" t="s">
        <v>50</v>
      </c>
      <c r="C38" s="39">
        <v>647500</v>
      </c>
      <c r="D38" s="49"/>
      <c r="E38" s="12"/>
      <c r="F38" s="12"/>
      <c r="G38" s="304"/>
      <c r="H38" s="18"/>
      <c r="I38" s="18"/>
    </row>
    <row r="39" spans="1:9" x14ac:dyDescent="0.25">
      <c r="A39" s="6" t="str">
        <f>IFERROR(VLOOKUP(B39,mapping_one_neo!A:B,2,FALSE),"")</f>
        <v/>
      </c>
      <c r="B39" s="26" t="s">
        <v>716</v>
      </c>
      <c r="C39" s="39" t="s">
        <v>152</v>
      </c>
      <c r="D39" s="49">
        <f>+D40+D41+D42</f>
        <v>-0.99140863109948907</v>
      </c>
      <c r="E39" s="12">
        <f t="shared" ref="E39:F39" si="6">+E40+E41+E42</f>
        <v>-1.1664086310994888</v>
      </c>
      <c r="F39" s="12">
        <f t="shared" si="6"/>
        <v>-5.991408631099489</v>
      </c>
      <c r="G39" s="304">
        <f>+D39+E39+F39</f>
        <v>-8.1492258932984676</v>
      </c>
      <c r="H39" s="18"/>
      <c r="I39" s="18"/>
    </row>
    <row r="40" spans="1:9" hidden="1" outlineLevel="1" x14ac:dyDescent="0.25">
      <c r="A40" s="6" t="str">
        <f>IFERROR(VLOOKUP(B40,mapping_one_neo!A:B,2,FALSE),"")</f>
        <v>Staff Welfare</v>
      </c>
      <c r="B40" s="26" t="s">
        <v>163</v>
      </c>
      <c r="C40" s="39" t="s">
        <v>152</v>
      </c>
      <c r="D40" s="49"/>
      <c r="E40" s="12"/>
      <c r="F40" s="12">
        <v>-5</v>
      </c>
      <c r="G40" s="304" t="e">
        <f>+D40+E40+F40+#REF!</f>
        <v>#REF!</v>
      </c>
      <c r="H40" s="18"/>
      <c r="I40" s="18"/>
    </row>
    <row r="41" spans="1:9" hidden="1" outlineLevel="1" x14ac:dyDescent="0.25">
      <c r="A41" s="6" t="str">
        <f>IFERROR(VLOOKUP(B41,mapping_one_neo!A:B,2,FALSE),"")</f>
        <v>Staff Welfare</v>
      </c>
      <c r="B41" s="26" t="s">
        <v>51</v>
      </c>
      <c r="C41" s="39" t="s">
        <v>152</v>
      </c>
      <c r="D41" s="49">
        <v>-0.18369000000000035</v>
      </c>
      <c r="E41" s="12">
        <v>-0.35868999999999995</v>
      </c>
      <c r="F41" s="12">
        <v>-0.18369000000000035</v>
      </c>
      <c r="G41" s="304" t="e">
        <f>+D41+E41+F41+#REF!</f>
        <v>#REF!</v>
      </c>
      <c r="H41" s="18"/>
      <c r="I41" s="18"/>
    </row>
    <row r="42" spans="1:9" hidden="1" outlineLevel="1" x14ac:dyDescent="0.25">
      <c r="A42" s="6" t="str">
        <f>IFERROR(VLOOKUP(B42,mapping_one_neo!A:B,2,FALSE),"")</f>
        <v>Staff Welfare</v>
      </c>
      <c r="B42" s="26" t="s">
        <v>52</v>
      </c>
      <c r="C42" s="39" t="s">
        <v>152</v>
      </c>
      <c r="D42" s="49">
        <v>-0.80771863109948872</v>
      </c>
      <c r="E42" s="12">
        <v>-0.80771863109948872</v>
      </c>
      <c r="F42" s="12">
        <v>-0.80771863109948872</v>
      </c>
      <c r="G42" s="304" t="e">
        <f>+D42+E42+F42+#REF!</f>
        <v>#REF!</v>
      </c>
      <c r="H42" s="18"/>
      <c r="I42" s="18"/>
    </row>
    <row r="43" spans="1:9" collapsed="1" x14ac:dyDescent="0.25">
      <c r="A43" s="6" t="str">
        <f>IFERROR(VLOOKUP(B43,mapping_one_neo!A:B,2,FALSE),"")</f>
        <v/>
      </c>
      <c r="B43" s="26"/>
      <c r="C43" s="39"/>
      <c r="D43" s="49"/>
      <c r="E43" s="12"/>
      <c r="F43" s="12"/>
      <c r="G43" s="304"/>
      <c r="H43" s="18"/>
      <c r="I43" s="18"/>
    </row>
    <row r="44" spans="1:9" x14ac:dyDescent="0.25">
      <c r="A44" s="6">
        <f>IFERROR(VLOOKUP(B44,mapping_one_neo!A:B,2,FALSE),"")</f>
        <v>0</v>
      </c>
      <c r="B44" s="25" t="s">
        <v>54</v>
      </c>
      <c r="C44" s="38"/>
      <c r="D44" s="52">
        <f>+D33+D34+D35+D36+D37+D38+D39</f>
        <v>-14.946852437766156</v>
      </c>
      <c r="E44" s="27">
        <f t="shared" ref="E44:G44" si="7">+E33+E34+E35+E36+E37+E38+E39</f>
        <v>-15.216352437766155</v>
      </c>
      <c r="F44" s="27">
        <f t="shared" si="7"/>
        <v>-23.102011408766156</v>
      </c>
      <c r="G44" s="308">
        <f t="shared" si="7"/>
        <v>-53.265216284298461</v>
      </c>
      <c r="H44" s="28"/>
      <c r="I44" s="28"/>
    </row>
    <row r="45" spans="1:9" x14ac:dyDescent="0.25">
      <c r="A45" s="6" t="str">
        <f>IFERROR(VLOOKUP(B45,mapping_one_neo!A:B,2,FALSE),"")</f>
        <v/>
      </c>
      <c r="D45" s="49"/>
      <c r="E45" s="12"/>
      <c r="F45" s="12"/>
      <c r="G45" s="301"/>
      <c r="H45" s="13"/>
      <c r="I45" s="13"/>
    </row>
    <row r="46" spans="1:9" x14ac:dyDescent="0.25">
      <c r="A46" s="6">
        <f>IFERROR(VLOOKUP(B46,mapping_one_neo!A:B,2,FALSE),"")</f>
        <v>0</v>
      </c>
      <c r="B46" s="25" t="s">
        <v>55</v>
      </c>
      <c r="C46" s="38"/>
      <c r="D46" s="49"/>
      <c r="E46" s="12"/>
      <c r="F46" s="12"/>
      <c r="G46" s="301"/>
      <c r="H46" s="13"/>
      <c r="I46" s="13"/>
    </row>
    <row r="47" spans="1:9" x14ac:dyDescent="0.25">
      <c r="A47" s="6" t="str">
        <f>IFERROR(VLOOKUP(B47,mapping_one_neo!A:B,2,FALSE),"")</f>
        <v/>
      </c>
      <c r="B47" s="26" t="s">
        <v>513</v>
      </c>
      <c r="C47" s="38"/>
      <c r="D47" s="52">
        <v>-5.5555555555555554</v>
      </c>
      <c r="E47" s="27">
        <v>-4.5555555555555554</v>
      </c>
      <c r="F47" s="27">
        <v>-2.9507322222222299</v>
      </c>
      <c r="G47" s="308">
        <f>D47+E47+F47</f>
        <v>-13.061843333333341</v>
      </c>
      <c r="H47" s="28"/>
      <c r="I47" s="28"/>
    </row>
    <row r="48" spans="1:9" x14ac:dyDescent="0.25">
      <c r="A48" s="6" t="str">
        <f>IFERROR(VLOOKUP(B48,mapping_one_neo!A:B,2,FALSE),"")</f>
        <v/>
      </c>
      <c r="D48" s="49"/>
      <c r="E48" s="12"/>
      <c r="F48" s="12"/>
      <c r="G48" s="301"/>
      <c r="H48" s="13"/>
      <c r="I48" s="13"/>
    </row>
    <row r="49" spans="1:9" x14ac:dyDescent="0.25">
      <c r="A49" s="6" t="str">
        <f>IFERROR(VLOOKUP(B49,mapping_one_neo!A:B,2,FALSE),"")</f>
        <v/>
      </c>
      <c r="D49" s="49"/>
      <c r="E49" s="12"/>
      <c r="F49" s="12"/>
      <c r="G49" s="301"/>
      <c r="H49" s="13"/>
      <c r="I49" s="13"/>
    </row>
    <row r="50" spans="1:9" x14ac:dyDescent="0.25">
      <c r="A50" s="6">
        <f>IFERROR(VLOOKUP(B50,mapping_one_neo!A:B,2,FALSE),"")</f>
        <v>0</v>
      </c>
      <c r="B50" s="14" t="s">
        <v>58</v>
      </c>
      <c r="C50" s="36"/>
      <c r="D50" s="49"/>
      <c r="E50" s="12"/>
      <c r="F50" s="12"/>
      <c r="G50" s="301"/>
      <c r="H50" s="13"/>
      <c r="I50" s="13"/>
    </row>
    <row r="51" spans="1:9" x14ac:dyDescent="0.25">
      <c r="A51" s="6">
        <f>IFERROR(VLOOKUP(B51,mapping_one_neo!A:B,2,FALSE),"")</f>
        <v>0</v>
      </c>
      <c r="B51" s="25" t="s">
        <v>59</v>
      </c>
      <c r="C51" s="38"/>
      <c r="D51" s="49"/>
      <c r="E51" s="12"/>
      <c r="F51" s="12"/>
      <c r="G51" s="301"/>
      <c r="H51" s="13"/>
      <c r="I51" s="13"/>
    </row>
    <row r="52" spans="1:9" x14ac:dyDescent="0.25">
      <c r="A52" s="6" t="str">
        <f>IFERROR(VLOOKUP(B52,mapping_one_neo!A:B,2,FALSE),"")</f>
        <v>New business/client presentation costs</v>
      </c>
      <c r="B52" s="26" t="s">
        <v>60</v>
      </c>
      <c r="C52" s="39" t="s">
        <v>153</v>
      </c>
      <c r="D52" s="49">
        <v>-0.5</v>
      </c>
      <c r="E52" s="12">
        <v>-1.5</v>
      </c>
      <c r="F52" s="12">
        <v>-3</v>
      </c>
      <c r="G52" s="304">
        <f>+D52+E52+F52</f>
        <v>-5</v>
      </c>
      <c r="H52" s="18"/>
      <c r="I52" s="18"/>
    </row>
    <row r="53" spans="1:9" x14ac:dyDescent="0.25">
      <c r="A53" s="6" t="str">
        <f>IFERROR(VLOOKUP(B53,mapping_one_neo!A:B,2,FALSE),"")</f>
        <v>New business/client presentation costs</v>
      </c>
      <c r="B53" s="26" t="s">
        <v>61</v>
      </c>
      <c r="C53" s="39">
        <v>625131</v>
      </c>
      <c r="D53" s="49">
        <v>-0.2</v>
      </c>
      <c r="E53" s="12">
        <v>-0.2</v>
      </c>
      <c r="F53" s="12">
        <v>-0.2</v>
      </c>
      <c r="G53" s="304">
        <f t="shared" ref="G53:G54" si="8">+D53+E53+F53</f>
        <v>-0.60000000000000009</v>
      </c>
      <c r="H53" s="18"/>
      <c r="I53" s="18"/>
    </row>
    <row r="54" spans="1:9" x14ac:dyDescent="0.25">
      <c r="A54" s="6" t="str">
        <f>IFERROR(VLOOKUP(B54,mapping_one_neo!A:B,2,FALSE),"")</f>
        <v/>
      </c>
      <c r="B54" s="26" t="s">
        <v>62</v>
      </c>
      <c r="C54" s="39">
        <v>625651</v>
      </c>
      <c r="D54" s="49">
        <v>-0.13530277777777783</v>
      </c>
      <c r="E54" s="12">
        <v>-0.13530277777777783</v>
      </c>
      <c r="F54" s="12">
        <v>-0.13530277777777783</v>
      </c>
      <c r="G54" s="304">
        <f t="shared" si="8"/>
        <v>-0.40590833333333348</v>
      </c>
      <c r="H54" s="18"/>
      <c r="I54" s="18"/>
    </row>
    <row r="55" spans="1:9" x14ac:dyDescent="0.25">
      <c r="A55" s="6">
        <f>IFERROR(VLOOKUP(B55,mapping_one_neo!A:B,2,FALSE),"")</f>
        <v>0</v>
      </c>
      <c r="B55" s="25" t="s">
        <v>63</v>
      </c>
      <c r="C55" s="38"/>
      <c r="D55" s="52">
        <f>+D52+D53+D54</f>
        <v>-0.83530277777777773</v>
      </c>
      <c r="E55" s="27">
        <f t="shared" ref="E55:F55" si="9">+E52+E53+E54</f>
        <v>-1.8353027777777777</v>
      </c>
      <c r="F55" s="27">
        <f t="shared" si="9"/>
        <v>-3.3353027777777782</v>
      </c>
      <c r="G55" s="308">
        <f>+G52+G53+G54</f>
        <v>-6.0059083333333332</v>
      </c>
      <c r="H55" s="28"/>
      <c r="I55" s="28"/>
    </row>
    <row r="56" spans="1:9" x14ac:dyDescent="0.25">
      <c r="A56" s="6" t="str">
        <f>IFERROR(VLOOKUP(B56,mapping_one_neo!A:B,2,FALSE),"")</f>
        <v/>
      </c>
      <c r="D56" s="49"/>
      <c r="E56" s="12"/>
      <c r="F56" s="12"/>
      <c r="G56" s="301"/>
      <c r="H56" s="13"/>
      <c r="I56" s="13"/>
    </row>
    <row r="57" spans="1:9" x14ac:dyDescent="0.25">
      <c r="A57" s="6">
        <f>IFERROR(VLOOKUP(B57,mapping_one_neo!A:B,2,FALSE),"")</f>
        <v>0</v>
      </c>
      <c r="B57" s="25" t="s">
        <v>64</v>
      </c>
      <c r="C57" s="38"/>
      <c r="D57" s="49"/>
      <c r="E57" s="12"/>
      <c r="F57" s="12"/>
      <c r="G57" s="301"/>
      <c r="H57" s="13"/>
      <c r="I57" s="13"/>
    </row>
    <row r="58" spans="1:9" x14ac:dyDescent="0.25">
      <c r="A58" s="6" t="str">
        <f>IFERROR(VLOOKUP(B58,mapping_one_neo!A:B,2,FALSE),"")</f>
        <v>Advert/promotion</v>
      </c>
      <c r="B58" s="26" t="s">
        <v>65</v>
      </c>
      <c r="C58" s="39">
        <v>623001</v>
      </c>
      <c r="D58" s="49">
        <v>-1</v>
      </c>
      <c r="E58" s="12">
        <v>-1</v>
      </c>
      <c r="F58" s="12">
        <v>-2.5</v>
      </c>
      <c r="G58" s="304">
        <f>+D58+E58+F58</f>
        <v>-4.5</v>
      </c>
      <c r="H58" s="18"/>
      <c r="I58" s="18"/>
    </row>
    <row r="59" spans="1:9" x14ac:dyDescent="0.25">
      <c r="A59" s="6" t="str">
        <f>IFERROR(VLOOKUP(B59,mapping_one_neo!A:B,2,FALSE),"")</f>
        <v>Advert/promotion</v>
      </c>
      <c r="B59" s="26" t="s">
        <v>66</v>
      </c>
      <c r="C59" s="39">
        <v>623400</v>
      </c>
      <c r="D59" s="49"/>
      <c r="E59" s="17"/>
      <c r="F59" s="12">
        <v>-4</v>
      </c>
      <c r="G59" s="304">
        <f>+D59+E59+F59</f>
        <v>-4</v>
      </c>
      <c r="H59" s="18"/>
      <c r="I59" s="18"/>
    </row>
    <row r="60" spans="1:9" x14ac:dyDescent="0.25">
      <c r="A60" s="6">
        <f>IFERROR(VLOOKUP(B60,mapping_one_neo!A:B,2,FALSE),"")</f>
        <v>0</v>
      </c>
      <c r="B60" s="25" t="s">
        <v>67</v>
      </c>
      <c r="C60" s="38"/>
      <c r="D60" s="52">
        <f>+D58+D59</f>
        <v>-1</v>
      </c>
      <c r="E60" s="27">
        <f t="shared" ref="E60:F60" si="10">+E58+E59</f>
        <v>-1</v>
      </c>
      <c r="F60" s="27">
        <f t="shared" si="10"/>
        <v>-6.5</v>
      </c>
      <c r="G60" s="308">
        <f>+G58+G59</f>
        <v>-8.5</v>
      </c>
      <c r="H60" s="28"/>
      <c r="I60" s="28"/>
    </row>
    <row r="61" spans="1:9" x14ac:dyDescent="0.25">
      <c r="A61" s="6" t="str">
        <f>IFERROR(VLOOKUP(B61,mapping_one_neo!A:B,2,FALSE),"")</f>
        <v/>
      </c>
      <c r="D61" s="49"/>
      <c r="E61" s="12"/>
      <c r="F61" s="12"/>
      <c r="G61" s="301"/>
      <c r="H61" s="13"/>
      <c r="I61" s="13"/>
    </row>
    <row r="62" spans="1:9" x14ac:dyDescent="0.25">
      <c r="A62" s="6">
        <f>IFERROR(VLOOKUP(B62,mapping_one_neo!A:B,2,FALSE),"")</f>
        <v>0</v>
      </c>
      <c r="B62" s="25" t="s">
        <v>68</v>
      </c>
      <c r="C62" s="38"/>
      <c r="D62" s="49"/>
      <c r="E62" s="12"/>
      <c r="F62" s="12"/>
      <c r="G62" s="301"/>
      <c r="H62" s="13"/>
      <c r="I62" s="13"/>
    </row>
    <row r="63" spans="1:9" x14ac:dyDescent="0.25">
      <c r="A63" s="6" t="str">
        <f>IFERROR(VLOOKUP(B63,mapping_one_neo!A:B,2,FALSE),"")</f>
        <v>Research costs</v>
      </c>
      <c r="B63" s="26" t="s">
        <v>164</v>
      </c>
      <c r="C63" s="39" t="s">
        <v>154</v>
      </c>
      <c r="D63" s="53">
        <v>-18.186455413466451</v>
      </c>
      <c r="E63" s="29">
        <v>-18.186455413466451</v>
      </c>
      <c r="F63" s="29">
        <v>-18.186455413466451</v>
      </c>
      <c r="G63" s="307">
        <f>+D63+F63+E63</f>
        <v>-54.559366240399356</v>
      </c>
      <c r="H63" s="18"/>
      <c r="I63" s="18"/>
    </row>
    <row r="64" spans="1:9" x14ac:dyDescent="0.25">
      <c r="A64" s="6" t="str">
        <f>IFERROR(VLOOKUP(B64,mapping_one_neo!A:B,2,FALSE),"")</f>
        <v>Other commercial costs</v>
      </c>
      <c r="B64" s="26" t="s">
        <v>165</v>
      </c>
      <c r="C64" s="39">
        <v>607178</v>
      </c>
      <c r="D64" s="53">
        <v>-1.9984999999999999</v>
      </c>
      <c r="E64" s="29">
        <v>-1.9984999999999999</v>
      </c>
      <c r="F64" s="29">
        <v>-1.9984999999999999</v>
      </c>
      <c r="G64" s="307">
        <f>+D64+F64+E64</f>
        <v>-5.9954999999999998</v>
      </c>
      <c r="H64" s="18"/>
      <c r="I64" s="18"/>
    </row>
    <row r="65" spans="1:9" x14ac:dyDescent="0.25">
      <c r="A65" s="6">
        <f>IFERROR(VLOOKUP(B65,mapping_one_neo!A:B,2,FALSE),"")</f>
        <v>0</v>
      </c>
      <c r="B65" s="25" t="s">
        <v>69</v>
      </c>
      <c r="C65" s="38"/>
      <c r="D65" s="52">
        <f>+D63+D64</f>
        <v>-20.184955413466451</v>
      </c>
      <c r="E65" s="27">
        <f t="shared" ref="E65:F65" si="11">+E63+E64</f>
        <v>-20.184955413466451</v>
      </c>
      <c r="F65" s="27">
        <f t="shared" si="11"/>
        <v>-20.184955413466451</v>
      </c>
      <c r="G65" s="308">
        <f>+G63+G64</f>
        <v>-60.554866240399356</v>
      </c>
      <c r="H65" s="28"/>
      <c r="I65" s="28"/>
    </row>
    <row r="66" spans="1:9" x14ac:dyDescent="0.25">
      <c r="A66" s="6" t="str">
        <f>IFERROR(VLOOKUP(B66,mapping_one_neo!A:B,2,FALSE),"")</f>
        <v/>
      </c>
      <c r="D66" s="49"/>
      <c r="E66" s="12"/>
      <c r="F66" s="12"/>
      <c r="G66" s="301"/>
      <c r="H66" s="13"/>
      <c r="I66" s="13"/>
    </row>
    <row r="67" spans="1:9" x14ac:dyDescent="0.25">
      <c r="A67" s="6">
        <f>IFERROR(VLOOKUP(B67,mapping_one_neo!A:B,2,FALSE),"")</f>
        <v>0</v>
      </c>
      <c r="B67" s="7" t="s">
        <v>70</v>
      </c>
      <c r="D67" s="49"/>
      <c r="E67" s="12"/>
      <c r="F67" s="12"/>
      <c r="G67" s="301">
        <v>0</v>
      </c>
      <c r="H67" s="13"/>
      <c r="I67" s="13"/>
    </row>
    <row r="68" spans="1:9" x14ac:dyDescent="0.25">
      <c r="A68" s="6" t="str">
        <f>IFERROR(VLOOKUP(B68,mapping_one_neo!A:B,2,FALSE),"")</f>
        <v/>
      </c>
      <c r="D68" s="49"/>
      <c r="E68" s="12"/>
      <c r="F68" s="12"/>
      <c r="G68" s="301"/>
      <c r="H68" s="13"/>
      <c r="I68" s="13"/>
    </row>
    <row r="69" spans="1:9" x14ac:dyDescent="0.25">
      <c r="A69" s="6">
        <f>IFERROR(VLOOKUP(B69,mapping_one_neo!A:B,2,FALSE),"")</f>
        <v>0</v>
      </c>
      <c r="B69" s="42" t="s">
        <v>71</v>
      </c>
      <c r="C69" s="43"/>
      <c r="D69" s="50">
        <f>+D55+D60+D65</f>
        <v>-22.020258191244228</v>
      </c>
      <c r="E69" s="44">
        <f t="shared" ref="E69:F69" si="12">+E55+E60+E65</f>
        <v>-23.020258191244228</v>
      </c>
      <c r="F69" s="44">
        <f t="shared" si="12"/>
        <v>-30.020258191244231</v>
      </c>
      <c r="G69" s="297">
        <f>+G65+G60+G55</f>
        <v>-75.060774573732687</v>
      </c>
      <c r="H69" s="15"/>
      <c r="I69" s="15"/>
    </row>
    <row r="70" spans="1:9" x14ac:dyDescent="0.25">
      <c r="A70" s="6" t="str">
        <f>IFERROR(VLOOKUP(B70,mapping_one_neo!A:B,2,FALSE),"")</f>
        <v/>
      </c>
      <c r="D70" s="49"/>
      <c r="E70" s="12"/>
      <c r="F70" s="12"/>
      <c r="G70" s="301"/>
      <c r="H70" s="13"/>
      <c r="I70" s="13"/>
    </row>
    <row r="71" spans="1:9" x14ac:dyDescent="0.25">
      <c r="A71" s="6">
        <f>IFERROR(VLOOKUP(B71,mapping_one_neo!A:B,2,FALSE),"")</f>
        <v>0</v>
      </c>
      <c r="B71" s="14" t="s">
        <v>72</v>
      </c>
      <c r="C71" s="36"/>
      <c r="D71" s="49"/>
      <c r="E71" s="12"/>
      <c r="F71" s="12"/>
      <c r="G71" s="301"/>
      <c r="H71" s="13"/>
      <c r="I71" s="13"/>
    </row>
    <row r="72" spans="1:9" x14ac:dyDescent="0.25">
      <c r="A72" s="6" t="str">
        <f>IFERROR(VLOOKUP(B72,mapping_one_neo!A:B,2,FALSE),"")</f>
        <v/>
      </c>
      <c r="D72" s="49"/>
      <c r="E72" s="12"/>
      <c r="F72" s="12"/>
      <c r="G72" s="301"/>
      <c r="H72" s="13"/>
      <c r="I72" s="13"/>
    </row>
    <row r="73" spans="1:9" x14ac:dyDescent="0.25">
      <c r="A73" s="6">
        <f>IFERROR(VLOOKUP(B73,mapping_one_neo!A:B,2,FALSE),"")</f>
        <v>0</v>
      </c>
      <c r="B73" s="25" t="s">
        <v>73</v>
      </c>
      <c r="C73" s="38"/>
      <c r="D73" s="49"/>
      <c r="E73" s="12"/>
      <c r="F73" s="12"/>
      <c r="G73" s="301"/>
      <c r="H73" s="13"/>
      <c r="I73" s="13"/>
    </row>
    <row r="74" spans="1:9" x14ac:dyDescent="0.25">
      <c r="A74" s="6" t="str">
        <f>IFERROR(VLOOKUP(B74,mapping_one_neo!A:B,2,FALSE),"")</f>
        <v>Stationery/art &amp; materials AU=0.INP</v>
      </c>
      <c r="B74" s="26" t="s">
        <v>74</v>
      </c>
      <c r="C74" s="282" t="s">
        <v>155</v>
      </c>
      <c r="D74" s="49">
        <v>-0.5</v>
      </c>
      <c r="E74" s="12">
        <v>-0.1</v>
      </c>
      <c r="F74" s="12">
        <v>-0.7</v>
      </c>
      <c r="G74" s="304">
        <f>+D74+E74+F74</f>
        <v>-1.2999999999999998</v>
      </c>
      <c r="H74" s="18"/>
      <c r="I74" s="18"/>
    </row>
    <row r="75" spans="1:9" x14ac:dyDescent="0.25">
      <c r="A75" s="6" t="str">
        <f>IFERROR(VLOOKUP(B75,mapping_one_neo!A:B,2,FALSE),"")</f>
        <v>Stationery/art &amp; materials AU=0.INP</v>
      </c>
      <c r="B75" s="26" t="s">
        <v>75</v>
      </c>
      <c r="C75" s="282" t="s">
        <v>155</v>
      </c>
      <c r="D75" s="49">
        <v>-0.10626997578715532</v>
      </c>
      <c r="E75" s="12">
        <v>-0.10626997578715532</v>
      </c>
      <c r="F75" s="12">
        <v>-0.10626997578715532</v>
      </c>
      <c r="G75" s="304">
        <f t="shared" ref="G75:G76" si="13">+D75+E75+F75</f>
        <v>-0.31880992736146596</v>
      </c>
      <c r="H75" s="18"/>
      <c r="I75" s="18"/>
    </row>
    <row r="76" spans="1:9" x14ac:dyDescent="0.25">
      <c r="A76" s="6" t="str">
        <f>IFERROR(VLOOKUP(B76,mapping_one_neo!A:B,2,FALSE),"")</f>
        <v>Stationery/art &amp; materials AU=0.INP</v>
      </c>
      <c r="B76" s="26" t="s">
        <v>76</v>
      </c>
      <c r="C76" s="282" t="s">
        <v>156</v>
      </c>
      <c r="D76" s="49"/>
      <c r="E76" s="12"/>
      <c r="F76" s="12"/>
      <c r="G76" s="304">
        <f t="shared" si="13"/>
        <v>0</v>
      </c>
      <c r="H76" s="18"/>
      <c r="I76" s="18"/>
    </row>
    <row r="77" spans="1:9" x14ac:dyDescent="0.25">
      <c r="A77" s="6">
        <f>IFERROR(VLOOKUP(B77,mapping_one_neo!A:B,2,FALSE),"")</f>
        <v>0</v>
      </c>
      <c r="B77" s="25" t="s">
        <v>77</v>
      </c>
      <c r="C77" s="38"/>
      <c r="D77" s="52">
        <f>+D74+D75+D76</f>
        <v>-0.60626997578715536</v>
      </c>
      <c r="E77" s="27">
        <f t="shared" ref="E77:G77" si="14">+E74+E75+E76</f>
        <v>-0.20626997578715534</v>
      </c>
      <c r="F77" s="27">
        <f t="shared" si="14"/>
        <v>-0.80626997578715531</v>
      </c>
      <c r="G77" s="308">
        <f t="shared" si="14"/>
        <v>-1.6188099273614658</v>
      </c>
      <c r="H77" s="28"/>
      <c r="I77" s="28"/>
    </row>
    <row r="78" spans="1:9" x14ac:dyDescent="0.25">
      <c r="A78" s="6" t="str">
        <f>IFERROR(VLOOKUP(B78,mapping_one_neo!A:B,2,FALSE),"")</f>
        <v/>
      </c>
      <c r="B78" s="25"/>
      <c r="C78" s="38"/>
      <c r="D78" s="53"/>
      <c r="E78" s="29"/>
      <c r="F78" s="29"/>
      <c r="G78" s="307"/>
      <c r="H78" s="30"/>
      <c r="I78" s="30"/>
    </row>
    <row r="79" spans="1:9" x14ac:dyDescent="0.25">
      <c r="A79" s="6">
        <f>IFERROR(VLOOKUP(B79,mapping_one_neo!A:B,2,FALSE),"")</f>
        <v>0</v>
      </c>
      <c r="B79" s="25" t="s">
        <v>78</v>
      </c>
      <c r="C79" s="38"/>
      <c r="D79" s="49"/>
      <c r="E79" s="12"/>
      <c r="F79" s="12"/>
      <c r="G79" s="301"/>
      <c r="H79" s="13"/>
      <c r="I79" s="13"/>
    </row>
    <row r="80" spans="1:9" x14ac:dyDescent="0.25">
      <c r="A80" s="6" t="str">
        <f>IFERROR(VLOOKUP(B80,mapping_one_neo!A:B,2,FALSE),"")</f>
        <v>Postage &amp; courier</v>
      </c>
      <c r="B80" s="26" t="s">
        <v>79</v>
      </c>
      <c r="C80" s="39">
        <v>624210</v>
      </c>
      <c r="D80" s="49">
        <v>-0.1</v>
      </c>
      <c r="E80" s="12">
        <v>-0.1</v>
      </c>
      <c r="F80" s="12">
        <v>-0.1</v>
      </c>
      <c r="G80" s="304">
        <f>+D80+E80+F80</f>
        <v>-0.30000000000000004</v>
      </c>
      <c r="H80" s="18"/>
      <c r="I80" s="18"/>
    </row>
    <row r="81" spans="1:9" x14ac:dyDescent="0.25">
      <c r="A81" s="6" t="str">
        <f>IFERROR(VLOOKUP(B81,mapping_one_neo!A:B,2,FALSE),"")</f>
        <v>Postage &amp; courier</v>
      </c>
      <c r="B81" s="26" t="s">
        <v>80</v>
      </c>
      <c r="C81" s="39">
        <v>626000</v>
      </c>
      <c r="D81" s="49">
        <v>-8.1818181818181818E-2</v>
      </c>
      <c r="E81" s="12">
        <v>-8.1818181818181818E-2</v>
      </c>
      <c r="F81" s="12">
        <v>-8.1818181818181818E-2</v>
      </c>
      <c r="G81" s="304">
        <f>+D81+E81+F81</f>
        <v>-0.24545454545454545</v>
      </c>
      <c r="H81" s="18"/>
      <c r="I81" s="18"/>
    </row>
    <row r="82" spans="1:9" x14ac:dyDescent="0.25">
      <c r="A82" s="6">
        <f>IFERROR(VLOOKUP(B82,mapping_one_neo!A:B,2,FALSE),"")</f>
        <v>0</v>
      </c>
      <c r="B82" s="25" t="s">
        <v>81</v>
      </c>
      <c r="C82" s="38"/>
      <c r="D82" s="52">
        <f>+D80+D81</f>
        <v>-0.18181818181818182</v>
      </c>
      <c r="E82" s="27">
        <f t="shared" ref="E82:G82" si="15">+E80+E81</f>
        <v>-0.18181818181818182</v>
      </c>
      <c r="F82" s="27">
        <f t="shared" si="15"/>
        <v>-0.18181818181818182</v>
      </c>
      <c r="G82" s="308">
        <f t="shared" si="15"/>
        <v>-0.54545454545454553</v>
      </c>
      <c r="H82" s="28"/>
      <c r="I82" s="28"/>
    </row>
    <row r="83" spans="1:9" x14ac:dyDescent="0.25">
      <c r="A83" s="6" t="str">
        <f>IFERROR(VLOOKUP(B83,mapping_one_neo!A:B,2,FALSE),"")</f>
        <v/>
      </c>
      <c r="B83" s="25"/>
      <c r="C83" s="38"/>
      <c r="D83" s="53"/>
      <c r="E83" s="29"/>
      <c r="F83" s="29"/>
      <c r="G83" s="307"/>
      <c r="H83" s="30"/>
      <c r="I83" s="30"/>
    </row>
    <row r="84" spans="1:9" x14ac:dyDescent="0.25">
      <c r="A84" s="6">
        <f>IFERROR(VLOOKUP(B84,mapping_one_neo!A:B,2,FALSE),"")</f>
        <v>0</v>
      </c>
      <c r="B84" s="25" t="s">
        <v>82</v>
      </c>
      <c r="C84" s="38"/>
      <c r="D84" s="49"/>
      <c r="E84" s="12"/>
      <c r="F84" s="12"/>
      <c r="G84" s="301"/>
      <c r="H84" s="13"/>
      <c r="I84" s="13"/>
    </row>
    <row r="85" spans="1:9" x14ac:dyDescent="0.25">
      <c r="A85" s="6" t="str">
        <f>IFERROR(VLOOKUP(B85,mapping_one_neo!A:B,2,FALSE),"")</f>
        <v>Other office costs AU=0.INP</v>
      </c>
      <c r="B85" s="26" t="s">
        <v>83</v>
      </c>
      <c r="C85" s="39">
        <v>618100</v>
      </c>
      <c r="D85" s="49">
        <v>-0.15406000000000009</v>
      </c>
      <c r="E85" s="12">
        <v>-0.15406000000000009</v>
      </c>
      <c r="F85" s="12">
        <v>-0.15406000000000009</v>
      </c>
      <c r="G85" s="304">
        <f>+D85+E85+F85</f>
        <v>-0.46218000000000026</v>
      </c>
      <c r="H85" s="18"/>
      <c r="I85" s="18"/>
    </row>
    <row r="86" spans="1:9" x14ac:dyDescent="0.25">
      <c r="A86" s="6" t="str">
        <f>IFERROR(VLOOKUP(B86,mapping_one_neo!A:B,2,FALSE),"")</f>
        <v>Other office costs AU=0.INP</v>
      </c>
      <c r="B86" s="26" t="s">
        <v>84</v>
      </c>
      <c r="C86" s="39">
        <v>635110</v>
      </c>
      <c r="D86" s="49">
        <v>-7.666666666666667</v>
      </c>
      <c r="E86" s="12">
        <v>-7.666666666666667</v>
      </c>
      <c r="F86" s="12">
        <v>-7.666666666666667</v>
      </c>
      <c r="G86" s="304">
        <f t="shared" ref="G86:G93" si="16">+D86+E86+F86</f>
        <v>-23</v>
      </c>
      <c r="H86" s="18"/>
      <c r="I86" s="18"/>
    </row>
    <row r="87" spans="1:9" x14ac:dyDescent="0.25">
      <c r="A87" s="6" t="str">
        <f>IFERROR(VLOOKUP(B87,mapping_one_neo!A:B,2,FALSE),"")</f>
        <v>Other office costs AU=0.INP</v>
      </c>
      <c r="B87" s="26" t="s">
        <v>85</v>
      </c>
      <c r="C87" s="39">
        <v>635140</v>
      </c>
      <c r="D87" s="54">
        <v>-0.88</v>
      </c>
      <c r="E87" s="12">
        <v>-0.88</v>
      </c>
      <c r="F87" s="12">
        <v>-0.88</v>
      </c>
      <c r="G87" s="304">
        <f t="shared" si="16"/>
        <v>-2.64</v>
      </c>
      <c r="H87" s="18"/>
      <c r="I87" s="18"/>
    </row>
    <row r="88" spans="1:9" x14ac:dyDescent="0.25">
      <c r="A88" s="6" t="str">
        <f>IFERROR(VLOOKUP(B88,mapping_one_neo!A:B,2,FALSE),"")</f>
        <v>Other office costs AU=0.INP</v>
      </c>
      <c r="B88" s="26" t="s">
        <v>86</v>
      </c>
      <c r="C88" s="39">
        <v>637100</v>
      </c>
      <c r="D88" s="49"/>
      <c r="E88" s="12"/>
      <c r="F88" s="12"/>
      <c r="G88" s="304">
        <f t="shared" si="16"/>
        <v>0</v>
      </c>
      <c r="H88" s="18"/>
      <c r="I88" s="18"/>
    </row>
    <row r="89" spans="1:9" x14ac:dyDescent="0.25">
      <c r="A89" s="6" t="str">
        <f>IFERROR(VLOOKUP(B89,mapping_one_neo!A:B,2,FALSE),"")</f>
        <v>Other office costs AU=0.INP</v>
      </c>
      <c r="B89" s="310" t="s">
        <v>712</v>
      </c>
      <c r="C89" s="39">
        <v>635800</v>
      </c>
      <c r="D89" s="49">
        <v>-0.97132323232323214</v>
      </c>
      <c r="E89" s="12">
        <v>-0.97132323232323214</v>
      </c>
      <c r="F89" s="12">
        <v>-1.2</v>
      </c>
      <c r="G89" s="304">
        <f t="shared" si="16"/>
        <v>-3.1426464646464645</v>
      </c>
      <c r="H89" s="18"/>
      <c r="I89" s="18"/>
    </row>
    <row r="90" spans="1:9" x14ac:dyDescent="0.25">
      <c r="A90" s="6" t="str">
        <f>IFERROR(VLOOKUP(B90,mapping_one_neo!A:B,2,FALSE),"")</f>
        <v>Other office costs AU=0.INP</v>
      </c>
      <c r="B90" s="26" t="s">
        <v>87</v>
      </c>
      <c r="C90" s="39">
        <v>658201</v>
      </c>
      <c r="D90" s="49">
        <v>-0.16666666666666699</v>
      </c>
      <c r="E90" s="12">
        <v>-0.16666666666666699</v>
      </c>
      <c r="F90" s="12">
        <v>-0.1661234</v>
      </c>
      <c r="G90" s="304">
        <f t="shared" si="16"/>
        <v>-0.49945673333333396</v>
      </c>
      <c r="H90" s="18"/>
      <c r="I90" s="18"/>
    </row>
    <row r="91" spans="1:9" x14ac:dyDescent="0.25">
      <c r="A91" s="6" t="str">
        <f>IFERROR(VLOOKUP(B91,mapping_one_neo!A:B,2,FALSE),"")</f>
        <v>Other office costs AU=0.INP</v>
      </c>
      <c r="B91" s="26" t="s">
        <v>88</v>
      </c>
      <c r="C91" s="39">
        <v>658000</v>
      </c>
      <c r="D91" s="49">
        <v>0</v>
      </c>
      <c r="E91" s="12">
        <v>0</v>
      </c>
      <c r="F91" s="12">
        <v>0</v>
      </c>
      <c r="G91" s="304">
        <f t="shared" si="16"/>
        <v>0</v>
      </c>
      <c r="H91" s="18"/>
      <c r="I91" s="18"/>
    </row>
    <row r="92" spans="1:9" x14ac:dyDescent="0.25">
      <c r="A92" s="6" t="str">
        <f>IFERROR(VLOOKUP(B92,mapping_one_neo!A:B,2,FALSE),"")</f>
        <v>Other office costs AU=0.INP</v>
      </c>
      <c r="B92" s="26" t="s">
        <v>89</v>
      </c>
      <c r="C92" s="39">
        <v>681124</v>
      </c>
      <c r="D92" s="49">
        <v>-0.15288000000000002</v>
      </c>
      <c r="E92" s="12">
        <v>-0.15288000000000002</v>
      </c>
      <c r="F92" s="12">
        <v>-0.15288000000000002</v>
      </c>
      <c r="G92" s="304">
        <f t="shared" si="16"/>
        <v>-0.45864000000000005</v>
      </c>
      <c r="H92" s="18"/>
      <c r="I92" s="18"/>
    </row>
    <row r="93" spans="1:9" x14ac:dyDescent="0.25">
      <c r="A93" s="6" t="str">
        <f>IFERROR(VLOOKUP(B93,mapping_one_neo!A:B,2,FALSE),"")</f>
        <v>Other office costs AU=0.INP</v>
      </c>
      <c r="B93" s="26" t="s">
        <v>90</v>
      </c>
      <c r="C93" s="39"/>
      <c r="D93" s="49"/>
      <c r="E93" s="12"/>
      <c r="F93" s="12"/>
      <c r="G93" s="304">
        <f t="shared" si="16"/>
        <v>0</v>
      </c>
      <c r="H93" s="18"/>
      <c r="I93" s="18"/>
    </row>
    <row r="94" spans="1:9" x14ac:dyDescent="0.25">
      <c r="A94" s="6" t="str">
        <f>IFERROR(VLOOKUP(B94,mapping_one_neo!A:B,2,FALSE),"")</f>
        <v>Staff Welfare</v>
      </c>
      <c r="B94" s="26" t="s">
        <v>53</v>
      </c>
      <c r="C94" s="39"/>
      <c r="D94" s="49"/>
      <c r="E94" s="12"/>
      <c r="F94" s="12"/>
      <c r="G94" s="304">
        <v>0</v>
      </c>
      <c r="H94" s="18"/>
      <c r="I94" s="18"/>
    </row>
    <row r="95" spans="1:9" x14ac:dyDescent="0.25">
      <c r="A95" s="6">
        <f>IFERROR(VLOOKUP(B95,mapping_one_neo!A:B,2,FALSE),"")</f>
        <v>0</v>
      </c>
      <c r="B95" s="25" t="s">
        <v>91</v>
      </c>
      <c r="C95" s="38"/>
      <c r="D95" s="52">
        <f>+D85+D86+D87+D88+D90+D92+D91+D89</f>
        <v>-9.9915965656565682</v>
      </c>
      <c r="E95" s="27">
        <f>+E85+E86+E87+E88+E91+E92+E90</f>
        <v>-9.0202733333333356</v>
      </c>
      <c r="F95" s="27">
        <f t="shared" ref="F95" si="17">+F85+F86+F87+F88+F91+F92+F90</f>
        <v>-9.0197300666666678</v>
      </c>
      <c r="G95" s="306">
        <f>+G85+G86+G87+G88+G90+G91+G92+G93+G89</f>
        <v>-30.2029231979798</v>
      </c>
      <c r="H95" s="28"/>
      <c r="I95" s="28"/>
    </row>
    <row r="96" spans="1:9" x14ac:dyDescent="0.25">
      <c r="A96" s="6" t="str">
        <f>IFERROR(VLOOKUP(B96,mapping_one_neo!A:B,2,FALSE),"")</f>
        <v/>
      </c>
      <c r="B96" s="25"/>
      <c r="C96" s="38"/>
      <c r="D96" s="53"/>
      <c r="E96" s="29"/>
      <c r="F96" s="29"/>
      <c r="G96" s="307"/>
      <c r="H96" s="30"/>
      <c r="I96" s="30"/>
    </row>
    <row r="97" spans="1:9" x14ac:dyDescent="0.25">
      <c r="A97" s="6">
        <f>IFERROR(VLOOKUP(B97,mapping_one_neo!A:B,2,FALSE),"")</f>
        <v>0</v>
      </c>
      <c r="B97" s="42" t="s">
        <v>92</v>
      </c>
      <c r="C97" s="43"/>
      <c r="D97" s="50">
        <f>+D77+D82+D95</f>
        <v>-10.779684723261905</v>
      </c>
      <c r="E97" s="44">
        <f>+E77+E82+E95</f>
        <v>-9.4083614909386721</v>
      </c>
      <c r="F97" s="44">
        <f>+F77+F82+F95</f>
        <v>-10.007818224272004</v>
      </c>
      <c r="G97" s="297">
        <f>+G77+G82+G95</f>
        <v>-32.367187670795815</v>
      </c>
      <c r="H97" s="15"/>
      <c r="I97" s="15"/>
    </row>
    <row r="98" spans="1:9" x14ac:dyDescent="0.25">
      <c r="A98" s="6" t="str">
        <f>IFERROR(VLOOKUP(B98,mapping_one_neo!A:B,2,FALSE),"")</f>
        <v/>
      </c>
      <c r="D98" s="49"/>
      <c r="E98" s="12"/>
      <c r="F98" s="12"/>
      <c r="G98" s="301"/>
      <c r="H98" s="13"/>
      <c r="I98" s="13"/>
    </row>
    <row r="99" spans="1:9" x14ac:dyDescent="0.25">
      <c r="A99" s="283" t="str">
        <f>IFERROR(VLOOKUP(B99,mapping_one_neo!A:B,2,FALSE),"")</f>
        <v>Voice/fax communication costs</v>
      </c>
      <c r="B99" s="31" t="s">
        <v>93</v>
      </c>
      <c r="C99" s="40">
        <v>626110</v>
      </c>
      <c r="D99" s="49">
        <v>-0.6</v>
      </c>
      <c r="E99" s="12">
        <v>-0.6</v>
      </c>
      <c r="F99" s="12">
        <v>-0.6</v>
      </c>
      <c r="G99" s="304">
        <f>+D99+E99+F99</f>
        <v>-1.7999999999999998</v>
      </c>
      <c r="H99" s="18"/>
      <c r="I99" s="18"/>
    </row>
    <row r="100" spans="1:9" outlineLevel="1" x14ac:dyDescent="0.25">
      <c r="A100" s="6" t="str">
        <f>IFERROR(VLOOKUP(B100,mapping_one_neo!A:B,2,FALSE),"")</f>
        <v>Voice/fax communication costs</v>
      </c>
      <c r="B100" s="31" t="s">
        <v>94</v>
      </c>
      <c r="C100" s="40">
        <v>626110</v>
      </c>
      <c r="D100" s="49">
        <v>-0.31527056726543012</v>
      </c>
      <c r="E100" s="12">
        <v>-0.31527056726543012</v>
      </c>
      <c r="F100" s="12">
        <v>-0.31527056726543012</v>
      </c>
      <c r="G100" s="304">
        <f>+D100+E100+F100</f>
        <v>-0.94581170179629037</v>
      </c>
      <c r="H100" s="18"/>
      <c r="I100" s="18"/>
    </row>
    <row r="101" spans="1:9" x14ac:dyDescent="0.25">
      <c r="A101" s="6" t="str">
        <f>IFERROR(VLOOKUP(B101,mapping_one_neo!A:B,2,FALSE),"")</f>
        <v/>
      </c>
      <c r="D101" s="49"/>
      <c r="E101" s="12"/>
      <c r="F101" s="12"/>
      <c r="G101" s="301"/>
      <c r="H101" s="13"/>
      <c r="I101" s="13"/>
    </row>
    <row r="102" spans="1:9" outlineLevel="1" x14ac:dyDescent="0.25">
      <c r="A102" s="6" t="str">
        <f>IFERROR(VLOOKUP(B102,mapping_one_neo!A:B,2,FALSE),"")</f>
        <v>Data communication costs AU=0ADJ16</v>
      </c>
      <c r="B102" s="31" t="s">
        <v>95</v>
      </c>
      <c r="C102" s="40">
        <v>626400</v>
      </c>
      <c r="D102" s="49">
        <v>0</v>
      </c>
      <c r="E102" s="12">
        <v>0</v>
      </c>
      <c r="F102" s="12">
        <v>0</v>
      </c>
      <c r="G102" s="304"/>
      <c r="H102" s="18"/>
      <c r="I102" s="18"/>
    </row>
    <row r="103" spans="1:9" outlineLevel="1" x14ac:dyDescent="0.25">
      <c r="A103" s="283" t="str">
        <f>IFERROR(VLOOKUP(B103,mapping_one_neo!A:B,2,FALSE),"")</f>
        <v>Data communication costs AU=0ADJ16</v>
      </c>
      <c r="B103" s="31" t="s">
        <v>96</v>
      </c>
      <c r="C103" s="40">
        <v>626400</v>
      </c>
      <c r="D103" s="49">
        <v>-8.3363636363636362E-2</v>
      </c>
      <c r="E103" s="12">
        <v>-8.3363636363636362E-2</v>
      </c>
      <c r="F103" s="12">
        <v>-8.3363636363636362E-2</v>
      </c>
      <c r="G103" s="304">
        <f>+D103</f>
        <v>-8.3363636363636362E-2</v>
      </c>
      <c r="H103" s="18"/>
      <c r="I103" s="18"/>
    </row>
    <row r="104" spans="1:9" x14ac:dyDescent="0.25">
      <c r="A104" s="6" t="str">
        <f>IFERROR(VLOOKUP(B104,mapping_one_neo!A:B,2,FALSE),"")</f>
        <v/>
      </c>
      <c r="D104" s="49"/>
      <c r="E104" s="12"/>
      <c r="F104" s="12"/>
      <c r="G104" s="301"/>
      <c r="H104" s="13"/>
      <c r="I104" s="13"/>
    </row>
    <row r="105" spans="1:9" x14ac:dyDescent="0.25">
      <c r="A105" s="6">
        <f>IFERROR(VLOOKUP(B105,mapping_one_neo!A:B,2,FALSE),"")</f>
        <v>0</v>
      </c>
      <c r="B105" s="25" t="s">
        <v>97</v>
      </c>
      <c r="C105" s="38"/>
      <c r="D105" s="49"/>
      <c r="E105" s="12"/>
      <c r="F105" s="12"/>
      <c r="G105" s="301"/>
      <c r="H105" s="13"/>
      <c r="I105" s="13"/>
    </row>
    <row r="106" spans="1:9" x14ac:dyDescent="0.25">
      <c r="A106" s="6">
        <f>IFERROR(VLOOKUP(B106,mapping_one_neo!A:B,2,FALSE),"")</f>
        <v>0</v>
      </c>
      <c r="B106" s="26" t="s">
        <v>167</v>
      </c>
      <c r="C106" s="39" t="s">
        <v>157</v>
      </c>
      <c r="D106" s="49">
        <v>-1.25</v>
      </c>
      <c r="E106" s="12">
        <v>-1.25</v>
      </c>
      <c r="F106" s="12">
        <v>-1.25</v>
      </c>
      <c r="G106" s="301">
        <f>+D106+E106+F106</f>
        <v>-3.75</v>
      </c>
      <c r="H106" s="18"/>
      <c r="I106" s="18"/>
    </row>
    <row r="107" spans="1:9" outlineLevel="1" x14ac:dyDescent="0.25">
      <c r="A107" s="6" t="str">
        <f>IFERROR(VLOOKUP(B107,mapping_one_neo!A:B,2,FALSE),"")</f>
        <v>Outsourced business systems AU=0ADJ16</v>
      </c>
      <c r="B107" s="26" t="s">
        <v>98</v>
      </c>
      <c r="C107" s="39" t="s">
        <v>157</v>
      </c>
      <c r="D107" s="49">
        <v>-5.6289999999999993E-2</v>
      </c>
      <c r="E107" s="12">
        <v>-5.6289999999999993E-2</v>
      </c>
      <c r="F107" s="12">
        <v>-5.8099999999999798E-2</v>
      </c>
      <c r="G107" s="301">
        <f t="shared" ref="G107:G114" si="18">+D107+E107+F107</f>
        <v>-0.17067999999999978</v>
      </c>
      <c r="H107" s="18"/>
      <c r="I107" s="18"/>
    </row>
    <row r="108" spans="1:9" outlineLevel="1" x14ac:dyDescent="0.25">
      <c r="A108" s="6" t="str">
        <f>IFERROR(VLOOKUP(B108,mapping_one_neo!A:B,2,FALSE),"")</f>
        <v>Computer equipment maintenance/service AU=0ADJ16</v>
      </c>
      <c r="B108" s="26" t="s">
        <v>99</v>
      </c>
      <c r="C108" s="39">
        <v>615620</v>
      </c>
      <c r="D108" s="49">
        <v>-0.35056333333333478</v>
      </c>
      <c r="E108" s="12">
        <v>-0.38774999999999982</v>
      </c>
      <c r="F108" s="12">
        <v>-0.32588666666667099</v>
      </c>
      <c r="G108" s="301">
        <f t="shared" si="18"/>
        <v>-1.0642000000000056</v>
      </c>
      <c r="H108" s="18"/>
      <c r="I108" s="18"/>
    </row>
    <row r="109" spans="1:9" outlineLevel="1" x14ac:dyDescent="0.25">
      <c r="A109" s="6" t="str">
        <f>IFERROR(VLOOKUP(B109,mapping_one_neo!A:B,2,FALSE),"")</f>
        <v>Outsourced business systems AU=0ADJ16</v>
      </c>
      <c r="B109" s="26" t="s">
        <v>100</v>
      </c>
      <c r="C109" s="39" t="s">
        <v>157</v>
      </c>
      <c r="D109" s="49">
        <v>-2.379999999999999</v>
      </c>
      <c r="E109" s="12">
        <v>-2.379999999999999</v>
      </c>
      <c r="F109" s="12">
        <v>-2.379999999999999</v>
      </c>
      <c r="G109" s="301">
        <f t="shared" si="18"/>
        <v>-7.139999999999997</v>
      </c>
      <c r="H109" s="18"/>
      <c r="I109" s="18"/>
    </row>
    <row r="110" spans="1:9" outlineLevel="1" x14ac:dyDescent="0.25">
      <c r="A110" s="6" t="str">
        <f>IFERROR(VLOOKUP(B110,mapping_one_neo!A:B,2,FALSE),"")</f>
        <v>Outsourced business systems AU=0ADJ16</v>
      </c>
      <c r="B110" s="26" t="s">
        <v>101</v>
      </c>
      <c r="C110" s="39" t="s">
        <v>157</v>
      </c>
      <c r="D110" s="49">
        <v>-0.53836456427608803</v>
      </c>
      <c r="E110" s="12">
        <v>-0.53836456427608803</v>
      </c>
      <c r="F110" s="12">
        <v>-0.53836456427608803</v>
      </c>
      <c r="G110" s="301">
        <f t="shared" si="18"/>
        <v>-1.615093692828264</v>
      </c>
      <c r="H110" s="18"/>
      <c r="I110" s="18"/>
    </row>
    <row r="111" spans="1:9" outlineLevel="1" x14ac:dyDescent="0.25">
      <c r="A111" s="6" t="str">
        <f>IFERROR(VLOOKUP(B111,mapping_one_neo!A:B,2,FALSE),"")</f>
        <v>Outsourced business systems AU=0ADJ16</v>
      </c>
      <c r="B111" s="26" t="s">
        <v>102</v>
      </c>
      <c r="C111" s="39" t="s">
        <v>157</v>
      </c>
      <c r="D111" s="49">
        <v>0</v>
      </c>
      <c r="E111" s="12">
        <v>0</v>
      </c>
      <c r="F111" s="12">
        <v>0</v>
      </c>
      <c r="G111" s="301">
        <f t="shared" si="18"/>
        <v>0</v>
      </c>
      <c r="H111" s="18"/>
      <c r="I111" s="18"/>
    </row>
    <row r="112" spans="1:9" outlineLevel="1" x14ac:dyDescent="0.25">
      <c r="A112" s="6" t="str">
        <f>IFERROR(VLOOKUP(B112,mapping_one_neo!A:B,2,FALSE),"")</f>
        <v>Outsourced business systems AU=0ADJ16</v>
      </c>
      <c r="B112" s="26" t="s">
        <v>103</v>
      </c>
      <c r="C112" s="39">
        <v>681202</v>
      </c>
      <c r="D112" s="49">
        <v>-0.25</v>
      </c>
      <c r="E112" s="12">
        <v>-0.25</v>
      </c>
      <c r="F112" s="12">
        <v>-0.25</v>
      </c>
      <c r="G112" s="301">
        <f t="shared" si="18"/>
        <v>-0.75</v>
      </c>
      <c r="H112" s="18"/>
      <c r="I112" s="18"/>
    </row>
    <row r="113" spans="1:9" outlineLevel="1" x14ac:dyDescent="0.25">
      <c r="A113" s="6" t="str">
        <f>IFERROR(VLOOKUP(B113,mapping_one_neo!A:B,2,FALSE),"")</f>
        <v>Outsourced business systems AU=0ADJ16</v>
      </c>
      <c r="B113" s="26" t="s">
        <v>104</v>
      </c>
      <c r="C113" s="39">
        <v>615625</v>
      </c>
      <c r="D113" s="49">
        <v>-1.9</v>
      </c>
      <c r="E113" s="12">
        <v>-1.9</v>
      </c>
      <c r="F113" s="12">
        <v>-1.9</v>
      </c>
      <c r="G113" s="301">
        <f t="shared" si="18"/>
        <v>-5.6999999999999993</v>
      </c>
      <c r="H113" s="18"/>
      <c r="I113" s="18"/>
    </row>
    <row r="114" spans="1:9" x14ac:dyDescent="0.25">
      <c r="A114" s="6" t="str">
        <f>IFERROR(VLOOKUP(B114,mapping_one_neo!A:B,2,FALSE),"")</f>
        <v>WPP Business Services/IBM cost allocation</v>
      </c>
      <c r="B114" s="26" t="s">
        <v>105</v>
      </c>
      <c r="C114" s="39"/>
      <c r="D114" s="49"/>
      <c r="E114" s="12"/>
      <c r="F114" s="12"/>
      <c r="G114" s="301">
        <f t="shared" si="18"/>
        <v>0</v>
      </c>
      <c r="H114" s="18"/>
      <c r="I114" s="18"/>
    </row>
    <row r="115" spans="1:9" x14ac:dyDescent="0.25">
      <c r="A115" s="6">
        <f>IFERROR(VLOOKUP(B115,mapping_one_neo!A:B,2,FALSE),"")</f>
        <v>0</v>
      </c>
      <c r="B115" s="25" t="s">
        <v>106</v>
      </c>
      <c r="C115" s="38"/>
      <c r="D115" s="52">
        <f>+D106+D114</f>
        <v>-1.25</v>
      </c>
      <c r="E115" s="27">
        <f>+E114+E106</f>
        <v>-1.25</v>
      </c>
      <c r="F115" s="27">
        <f>+F106+F114</f>
        <v>-1.25</v>
      </c>
      <c r="G115" s="308">
        <f>+G106+G114</f>
        <v>-3.75</v>
      </c>
      <c r="H115" s="28"/>
      <c r="I115" s="28"/>
    </row>
    <row r="116" spans="1:9" x14ac:dyDescent="0.25">
      <c r="A116" s="6" t="str">
        <f>IFERROR(VLOOKUP(B116,mapping_one_neo!A:B,2,FALSE),"")</f>
        <v/>
      </c>
      <c r="B116" s="25"/>
      <c r="C116" s="38"/>
      <c r="D116" s="53"/>
      <c r="E116" s="29"/>
      <c r="F116" s="29"/>
      <c r="G116" s="307"/>
      <c r="H116" s="29"/>
      <c r="I116" s="29"/>
    </row>
    <row r="117" spans="1:9" x14ac:dyDescent="0.25">
      <c r="A117" s="6" t="str">
        <f>IFERROR(VLOOKUP(B117,mapping_one_neo!A:B,2,FALSE),"")</f>
        <v>Stationery/art &amp; materials AU=0.INP</v>
      </c>
      <c r="B117" s="26" t="s">
        <v>107</v>
      </c>
      <c r="C117" s="282" t="s">
        <v>158</v>
      </c>
      <c r="D117" s="49">
        <v>-0.11785000427105841</v>
      </c>
      <c r="E117" s="12">
        <v>-0.11785000427105841</v>
      </c>
      <c r="F117" s="12">
        <v>-0.11785000427105841</v>
      </c>
      <c r="G117" s="304">
        <f>+D117+F117+E117</f>
        <v>-0.35355001281317522</v>
      </c>
      <c r="H117" s="18"/>
      <c r="I117" s="18"/>
    </row>
    <row r="118" spans="1:9" x14ac:dyDescent="0.25">
      <c r="A118" s="6" t="str">
        <f>IFERROR(VLOOKUP(B118,mapping_one_neo!A:B,2,FALSE),"")</f>
        <v>Software/hardware expenses</v>
      </c>
      <c r="B118" s="26" t="s">
        <v>108</v>
      </c>
      <c r="C118" s="39">
        <v>606420</v>
      </c>
      <c r="D118" s="49">
        <v>-0.5</v>
      </c>
      <c r="E118" s="12">
        <v>-0.5</v>
      </c>
      <c r="F118" s="12">
        <v>-0.35</v>
      </c>
      <c r="G118" s="304">
        <f t="shared" ref="G118:G121" si="19">+D118+F118+E118</f>
        <v>-1.35</v>
      </c>
      <c r="H118" s="18"/>
      <c r="I118" s="18"/>
    </row>
    <row r="119" spans="1:9" x14ac:dyDescent="0.25">
      <c r="A119" s="6" t="str">
        <f>IFERROR(VLOOKUP(B119,mapping_one_neo!A:B,2,FALSE),"")</f>
        <v>Stationery/art &amp; materials AU=0.INP</v>
      </c>
      <c r="B119" s="26" t="s">
        <v>109</v>
      </c>
      <c r="C119" s="282" t="s">
        <v>159</v>
      </c>
      <c r="D119" s="49">
        <v>-0.59112462605882488</v>
      </c>
      <c r="E119" s="12">
        <v>-0.59112462605882488</v>
      </c>
      <c r="F119" s="12">
        <v>-0.59112462605882488</v>
      </c>
      <c r="G119" s="304">
        <f t="shared" si="19"/>
        <v>-1.7733738781764745</v>
      </c>
      <c r="H119" s="18"/>
      <c r="I119" s="18"/>
    </row>
    <row r="120" spans="1:9" x14ac:dyDescent="0.25">
      <c r="A120" s="6" t="str">
        <f>IFERROR(VLOOKUP(B120,mapping_one_neo!A:B,2,FALSE),"")</f>
        <v>Other office costs AU=0.INP</v>
      </c>
      <c r="B120" s="26" t="s">
        <v>110</v>
      </c>
      <c r="C120" s="39">
        <v>658201</v>
      </c>
      <c r="D120" s="49">
        <v>-0.29166666666666669</v>
      </c>
      <c r="E120" s="12">
        <v>-0.29166666666666669</v>
      </c>
      <c r="F120" s="12">
        <v>-0.291271633333333</v>
      </c>
      <c r="G120" s="304">
        <f t="shared" si="19"/>
        <v>-0.87460496666666643</v>
      </c>
      <c r="H120" s="18"/>
      <c r="I120" s="18"/>
    </row>
    <row r="121" spans="1:9" x14ac:dyDescent="0.25">
      <c r="A121" s="6" t="str">
        <f>IFERROR(VLOOKUP(B121,mapping_one_neo!A:B,2,FALSE),"")</f>
        <v>Other office costs AU=0.INP</v>
      </c>
      <c r="B121" s="26" t="s">
        <v>111</v>
      </c>
      <c r="C121" s="39">
        <v>681122</v>
      </c>
      <c r="D121" s="49">
        <v>-0.49420999999999993</v>
      </c>
      <c r="E121" s="12">
        <v>-0.54715999999999998</v>
      </c>
      <c r="F121" s="12">
        <v>-0.49420999999999993</v>
      </c>
      <c r="G121" s="304">
        <f t="shared" si="19"/>
        <v>-1.5355799999999999</v>
      </c>
      <c r="H121" s="18"/>
      <c r="I121" s="18"/>
    </row>
    <row r="122" spans="1:9" x14ac:dyDescent="0.25">
      <c r="A122" s="6">
        <f>IFERROR(VLOOKUP(B122,mapping_one_neo!A:B,2,FALSE),"")</f>
        <v>0</v>
      </c>
      <c r="B122" s="25" t="s">
        <v>112</v>
      </c>
      <c r="C122" s="38"/>
      <c r="D122" s="52">
        <f>+D117+D118:E118+D119+D120+D121</f>
        <v>-1.9948512969965502</v>
      </c>
      <c r="E122" s="27">
        <v>0</v>
      </c>
      <c r="F122" s="27">
        <v>0</v>
      </c>
      <c r="G122" s="308">
        <f>+G117+G118+G119+G120+G121</f>
        <v>-5.8871088576563153</v>
      </c>
      <c r="H122" s="28"/>
      <c r="I122" s="28"/>
    </row>
    <row r="123" spans="1:9" x14ac:dyDescent="0.25">
      <c r="A123" s="6" t="str">
        <f>IFERROR(VLOOKUP(B123,mapping_one_neo!A:B,2,FALSE),"")</f>
        <v/>
      </c>
      <c r="B123" s="25"/>
      <c r="C123" s="38"/>
      <c r="D123" s="53"/>
      <c r="E123" s="29"/>
      <c r="F123" s="29"/>
      <c r="G123" s="307"/>
      <c r="H123" s="29"/>
      <c r="I123" s="29"/>
    </row>
    <row r="124" spans="1:9" x14ac:dyDescent="0.25">
      <c r="A124" s="6" t="str">
        <f>IFERROR(VLOOKUP(B124,mapping_one_neo!A:B,2,FALSE),"")</f>
        <v/>
      </c>
      <c r="B124" s="25"/>
      <c r="C124" s="38"/>
      <c r="D124" s="53"/>
      <c r="E124" s="29"/>
      <c r="F124" s="29"/>
      <c r="G124" s="307"/>
      <c r="H124" s="29"/>
      <c r="I124" s="29"/>
    </row>
    <row r="125" spans="1:9" x14ac:dyDescent="0.25">
      <c r="A125" s="6" t="str">
        <f>IFERROR(VLOOKUP(B125,mapping_one_neo!A:B,2,FALSE),"")</f>
        <v>vide</v>
      </c>
      <c r="B125" s="31" t="s">
        <v>113</v>
      </c>
      <c r="C125" s="40"/>
      <c r="D125" s="55">
        <v>-0.73016666666666641</v>
      </c>
      <c r="E125" s="32">
        <v>-0.73016666666666641</v>
      </c>
      <c r="F125" s="32">
        <v>-0.73016666666666641</v>
      </c>
      <c r="G125" s="309">
        <f>D125+E125+F125</f>
        <v>-2.1904999999999992</v>
      </c>
      <c r="H125" s="33"/>
      <c r="I125" s="33"/>
    </row>
    <row r="126" spans="1:9" x14ac:dyDescent="0.25">
      <c r="A126" s="6" t="str">
        <f>IFERROR(VLOOKUP(B126,mapping_one_neo!A:B,2,FALSE),"")</f>
        <v/>
      </c>
      <c r="D126" s="49"/>
      <c r="E126" s="12"/>
      <c r="F126" s="12"/>
      <c r="G126" s="301"/>
      <c r="H126" s="13"/>
      <c r="I126" s="13"/>
    </row>
    <row r="127" spans="1:9" x14ac:dyDescent="0.25">
      <c r="A127" s="6">
        <f>IFERROR(VLOOKUP(B127,mapping_one_neo!A:B,2,FALSE),"")</f>
        <v>0</v>
      </c>
      <c r="B127" s="42" t="s">
        <v>114</v>
      </c>
      <c r="C127" s="43"/>
      <c r="D127" s="50">
        <f>D99+D100+D103+D115+D122</f>
        <v>-4.2434855006256171</v>
      </c>
      <c r="E127" s="44">
        <f t="shared" ref="E127:F127" si="20">E99+E100+E103+E115+E122</f>
        <v>-2.2486342036290665</v>
      </c>
      <c r="F127" s="44">
        <f t="shared" si="20"/>
        <v>-2.2486342036290665</v>
      </c>
      <c r="G127" s="297">
        <f>G99+G100+G103+G115+G122+G125</f>
        <v>-14.65678419581624</v>
      </c>
      <c r="H127" s="15"/>
      <c r="I127" s="15"/>
    </row>
    <row r="128" spans="1:9" x14ac:dyDescent="0.25">
      <c r="A128" s="6" t="str">
        <f>IFERROR(VLOOKUP(B128,mapping_one_neo!A:B,2,FALSE),"")</f>
        <v/>
      </c>
      <c r="D128" s="49"/>
      <c r="E128" s="12"/>
      <c r="F128" s="12"/>
      <c r="G128" s="301"/>
      <c r="H128" s="13"/>
      <c r="I128" s="13"/>
    </row>
    <row r="129" spans="1:9" x14ac:dyDescent="0.25">
      <c r="A129" s="6" t="str">
        <f>IFERROR(VLOOKUP(B129,mapping_one_neo!A:B,2,FALSE),"")</f>
        <v/>
      </c>
      <c r="D129" s="49"/>
      <c r="E129" s="12"/>
      <c r="F129" s="12"/>
      <c r="G129" s="301"/>
      <c r="H129" s="13"/>
      <c r="I129" s="13"/>
    </row>
    <row r="130" spans="1:9" x14ac:dyDescent="0.25">
      <c r="A130" s="6">
        <f>IFERROR(VLOOKUP(B130,mapping_one_neo!A:B,2,FALSE),"")</f>
        <v>0</v>
      </c>
      <c r="B130" s="14" t="s">
        <v>115</v>
      </c>
      <c r="C130" s="36"/>
      <c r="D130" s="49"/>
      <c r="E130" s="12"/>
      <c r="F130" s="12"/>
      <c r="G130" s="301"/>
      <c r="H130" s="13"/>
      <c r="I130" s="13"/>
    </row>
    <row r="131" spans="1:9" x14ac:dyDescent="0.25">
      <c r="A131" s="6" t="str">
        <f>IFERROR(VLOOKUP(B131,mapping_one_neo!A:B,2,FALSE),"")</f>
        <v>Insurance</v>
      </c>
      <c r="B131" s="14" t="s">
        <v>116</v>
      </c>
      <c r="C131" s="36" t="s">
        <v>160</v>
      </c>
      <c r="D131" s="49">
        <v>0</v>
      </c>
      <c r="E131" s="17">
        <v>0</v>
      </c>
      <c r="F131" s="17">
        <v>0</v>
      </c>
      <c r="G131" s="304">
        <f>+D131+E131+F131</f>
        <v>0</v>
      </c>
      <c r="H131" s="18"/>
      <c r="I131" s="18"/>
    </row>
    <row r="132" spans="1:9" x14ac:dyDescent="0.25">
      <c r="A132" s="6" t="str">
        <f>IFERROR(VLOOKUP(B132,mapping_one_neo!A:B,2,FALSE),"")</f>
        <v>Insurance</v>
      </c>
      <c r="B132" s="14" t="s">
        <v>117</v>
      </c>
      <c r="C132" s="36">
        <v>616021</v>
      </c>
      <c r="D132" s="49">
        <v>-0.26663636363636362</v>
      </c>
      <c r="E132" s="12">
        <v>-0.26663636363636362</v>
      </c>
      <c r="F132" s="12">
        <v>-0.26554545454545497</v>
      </c>
      <c r="G132" s="304">
        <f>+D132+E132+F132</f>
        <v>-0.7988181818181822</v>
      </c>
      <c r="H132" s="18"/>
      <c r="I132" s="18"/>
    </row>
    <row r="133" spans="1:9" x14ac:dyDescent="0.25">
      <c r="A133" s="6" t="str">
        <f>IFERROR(VLOOKUP(B133,mapping_one_neo!A:B,2,FALSE),"")</f>
        <v>Audit fees</v>
      </c>
      <c r="B133" s="14" t="s">
        <v>118</v>
      </c>
      <c r="C133" s="36">
        <v>622600</v>
      </c>
      <c r="D133" s="49">
        <v>-0.33333333333333331</v>
      </c>
      <c r="E133" s="12">
        <v>-0.33333333333333331</v>
      </c>
      <c r="F133" s="12">
        <v>-0.33333333333333331</v>
      </c>
      <c r="G133" s="304">
        <f t="shared" ref="G133:G136" si="21">+D133+E133+F133</f>
        <v>-1</v>
      </c>
      <c r="H133" s="18"/>
      <c r="I133" s="18"/>
    </row>
    <row r="134" spans="1:9" x14ac:dyDescent="0.25">
      <c r="A134" s="6">
        <f>IFERROR(VLOOKUP(B134,mapping_one_neo!A:B,2,FALSE),"")</f>
        <v>0</v>
      </c>
      <c r="B134" s="14" t="s">
        <v>127</v>
      </c>
      <c r="C134" s="36">
        <v>618200</v>
      </c>
      <c r="D134" s="49">
        <v>-0.625</v>
      </c>
      <c r="E134" s="12">
        <v>-0.625</v>
      </c>
      <c r="F134" s="12">
        <v>-2.1456</v>
      </c>
      <c r="G134" s="304">
        <f t="shared" si="21"/>
        <v>-3.3956</v>
      </c>
      <c r="H134" s="18"/>
      <c r="I134" s="18"/>
    </row>
    <row r="135" spans="1:9" x14ac:dyDescent="0.25">
      <c r="A135" s="6" t="str">
        <f>IFERROR(VLOOKUP(B135,mapping_one_neo!A:B,2,FALSE),"")</f>
        <v>Bank charges</v>
      </c>
      <c r="B135" s="14" t="s">
        <v>120</v>
      </c>
      <c r="C135" s="36">
        <v>627800</v>
      </c>
      <c r="D135" s="49">
        <v>-0.96273714285714285</v>
      </c>
      <c r="E135" s="12">
        <v>-0.96273714285714285</v>
      </c>
      <c r="F135" s="12">
        <v>-0.96273714285714285</v>
      </c>
      <c r="G135" s="304">
        <f t="shared" si="21"/>
        <v>-2.8882114285714287</v>
      </c>
      <c r="H135" s="18"/>
      <c r="I135" s="18"/>
    </row>
    <row r="136" spans="1:9" x14ac:dyDescent="0.25">
      <c r="A136" s="6" t="str">
        <f>IFERROR(VLOOKUP(B136,mapping_one_neo!A:B,2,FALSE),"")</f>
        <v>Other finance &amp; general costs</v>
      </c>
      <c r="B136" s="14" t="s">
        <v>121</v>
      </c>
      <c r="C136" s="36">
        <v>622605</v>
      </c>
      <c r="D136" s="49"/>
      <c r="E136" s="12"/>
      <c r="F136" s="12">
        <v>-2.4</v>
      </c>
      <c r="G136" s="304">
        <f t="shared" si="21"/>
        <v>-2.4</v>
      </c>
      <c r="H136" s="18"/>
      <c r="I136" s="18"/>
    </row>
    <row r="137" spans="1:9" x14ac:dyDescent="0.25">
      <c r="A137" s="6">
        <f>IFERROR(VLOOKUP(B137,mapping_one_neo!A:B,2,FALSE),"")</f>
        <v>0</v>
      </c>
      <c r="B137" s="42" t="s">
        <v>122</v>
      </c>
      <c r="C137" s="43"/>
      <c r="D137" s="50">
        <f>+D131+D132+D133+D134+D135</f>
        <v>-2.1877068398268396</v>
      </c>
      <c r="E137" s="44">
        <f>+E131+E132+E133+E134+E135</f>
        <v>-2.1877068398268396</v>
      </c>
      <c r="F137" s="44">
        <f t="shared" ref="F137" si="22">+F131+F132+F133+F134+F135</f>
        <v>-3.7072159307359307</v>
      </c>
      <c r="G137" s="311">
        <f>+G131+G132+G133+G134+G135</f>
        <v>-8.0826296103896116</v>
      </c>
      <c r="H137" s="15"/>
      <c r="I137" s="15"/>
    </row>
    <row r="138" spans="1:9" x14ac:dyDescent="0.25">
      <c r="A138" s="6" t="str">
        <f>IFERROR(VLOOKUP(B138,mapping_one_neo!A:B,2,FALSE),"")</f>
        <v/>
      </c>
      <c r="D138" s="49"/>
      <c r="E138" s="12"/>
      <c r="F138" s="12"/>
      <c r="G138" s="301"/>
      <c r="H138" s="13"/>
      <c r="I138" s="13"/>
    </row>
  </sheetData>
  <pageMargins left="0.7" right="0.7" top="0.75" bottom="0.75" header="0.3" footer="0.3"/>
  <pageSetup paperSize="8" scale="4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215"/>
  <sheetViews>
    <sheetView showGridLines="0" workbookViewId="0">
      <selection activeCell="W27" sqref="W27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7" width="13.85546875" style="420" hidden="1" customWidth="1" outlineLevel="1"/>
    <col min="28" max="28" width="13.42578125" style="420" hidden="1" customWidth="1" outlineLevel="1"/>
    <col min="29" max="29" width="13.85546875" style="420" customWidth="1" collapsed="1"/>
    <col min="30" max="30" width="1.7109375" style="334" customWidth="1"/>
    <col min="31" max="31" width="38.140625" style="334" customWidth="1" outlineLevel="1"/>
    <col min="32" max="16384" width="11.42578125" style="334"/>
  </cols>
  <sheetData>
    <row r="1" spans="1:31" x14ac:dyDescent="0.2">
      <c r="A1" s="320" t="s">
        <v>760</v>
      </c>
      <c r="B1" s="332" t="s">
        <v>798</v>
      </c>
      <c r="C1" s="333"/>
      <c r="F1" s="335"/>
      <c r="X1" s="335" t="s">
        <v>134</v>
      </c>
    </row>
    <row r="2" spans="1:31" ht="13.5" thickBot="1" x14ac:dyDescent="0.25">
      <c r="J2" s="335" t="s">
        <v>134</v>
      </c>
      <c r="V2" s="335" t="s">
        <v>134</v>
      </c>
    </row>
    <row r="3" spans="1:31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421"/>
      <c r="AD3" s="339"/>
    </row>
    <row r="4" spans="1:31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743</v>
      </c>
      <c r="AA4" s="423" t="s">
        <v>765</v>
      </c>
      <c r="AB4" s="423" t="s">
        <v>744</v>
      </c>
      <c r="AC4" s="423" t="s">
        <v>139</v>
      </c>
      <c r="AD4" s="347"/>
    </row>
    <row r="5" spans="1:31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8"/>
      <c r="AD5" s="350"/>
    </row>
    <row r="6" spans="1:31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38">
        <f>354925.1/1000</f>
        <v>354.92509999999999</v>
      </c>
      <c r="V6" s="438"/>
      <c r="W6" s="438"/>
      <c r="X6" s="438"/>
      <c r="Y6" s="438">
        <f>354925.1/1000</f>
        <v>354.92509999999999</v>
      </c>
      <c r="Z6" s="438"/>
      <c r="AA6" s="438"/>
      <c r="AB6" s="438"/>
      <c r="AC6" s="438">
        <f>354925.1/1000</f>
        <v>354.92509999999999</v>
      </c>
      <c r="AD6" s="355"/>
      <c r="AE6" s="334"/>
    </row>
    <row r="7" spans="1:31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8"/>
      <c r="AD7" s="350"/>
      <c r="AE7" s="334" t="s">
        <v>134</v>
      </c>
    </row>
    <row r="8" spans="1:31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8"/>
      <c r="AD8" s="350"/>
    </row>
    <row r="9" spans="1:31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-201.40528999999989</v>
      </c>
      <c r="V9" s="362">
        <v>1.2404999999999999</v>
      </c>
      <c r="W9" s="362"/>
      <c r="X9" s="351">
        <v>-2.1096499999999998</v>
      </c>
      <c r="Y9" s="363">
        <v>-202.27443999999988</v>
      </c>
      <c r="Z9" s="363"/>
      <c r="AA9" s="363"/>
      <c r="AB9" s="363"/>
      <c r="AC9" s="363">
        <v>-202.27443999999988</v>
      </c>
      <c r="AD9" s="355"/>
      <c r="AE9" s="485" t="s">
        <v>782</v>
      </c>
    </row>
    <row r="10" spans="1:31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-85.572559999999996</v>
      </c>
      <c r="V10" s="362">
        <v>0.59854999999999992</v>
      </c>
      <c r="W10" s="362"/>
      <c r="X10" s="351">
        <v>-0.94934249999999998</v>
      </c>
      <c r="Y10" s="363">
        <v>-85.923352499999993</v>
      </c>
      <c r="Z10" s="363"/>
      <c r="AA10" s="363"/>
      <c r="AB10" s="363"/>
      <c r="AC10" s="363">
        <v>-85.923352499999993</v>
      </c>
      <c r="AD10" s="355"/>
      <c r="AE10" s="485"/>
    </row>
    <row r="11" spans="1:31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3.125</v>
      </c>
      <c r="W11" s="362"/>
      <c r="X11" s="351"/>
      <c r="Y11" s="363">
        <v>3.125</v>
      </c>
      <c r="Z11" s="363"/>
      <c r="AA11" s="363"/>
      <c r="AB11" s="363"/>
      <c r="AC11" s="363">
        <v>3.125</v>
      </c>
      <c r="AD11" s="355"/>
      <c r="AE11" s="366" t="s">
        <v>783</v>
      </c>
    </row>
    <row r="12" spans="1:31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1.40625</v>
      </c>
      <c r="W12" s="362"/>
      <c r="X12" s="351"/>
      <c r="Y12" s="363">
        <v>1.40625</v>
      </c>
      <c r="Z12" s="363"/>
      <c r="AA12" s="363"/>
      <c r="AB12" s="363"/>
      <c r="AC12" s="363">
        <v>1.40625</v>
      </c>
      <c r="AD12" s="355"/>
      <c r="AE12" s="366" t="s">
        <v>783</v>
      </c>
    </row>
    <row r="13" spans="1:31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/>
      <c r="Z13" s="363"/>
      <c r="AA13" s="363"/>
      <c r="AB13" s="363"/>
      <c r="AC13" s="363"/>
      <c r="AD13" s="355"/>
      <c r="AE13" s="334"/>
    </row>
    <row r="14" spans="1:31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/>
      <c r="AC14" s="363">
        <v>0</v>
      </c>
      <c r="AD14" s="355"/>
      <c r="AE14" s="334"/>
    </row>
    <row r="15" spans="1:31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/>
      <c r="W15" s="362"/>
      <c r="X15" s="362">
        <v>6.2080000000000002</v>
      </c>
      <c r="Y15" s="363">
        <v>6.2080000000000002</v>
      </c>
      <c r="Z15" s="363"/>
      <c r="AA15" s="363"/>
      <c r="AB15" s="363"/>
      <c r="AC15" s="363">
        <v>6.2080000000000002</v>
      </c>
      <c r="AD15" s="355"/>
      <c r="AE15" s="334"/>
    </row>
    <row r="16" spans="1:31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/>
      <c r="W16" s="362"/>
      <c r="X16" s="362">
        <v>2.9798399999999998</v>
      </c>
      <c r="Y16" s="363">
        <v>2.9798399999999998</v>
      </c>
      <c r="Z16" s="363"/>
      <c r="AA16" s="363"/>
      <c r="AB16" s="363"/>
      <c r="AC16" s="363">
        <v>2.9798399999999998</v>
      </c>
      <c r="AD16" s="355"/>
      <c r="AE16" s="334"/>
    </row>
    <row r="17" spans="1:31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/>
      <c r="W17" s="362"/>
      <c r="X17" s="362">
        <v>1.0620000000000001</v>
      </c>
      <c r="Y17" s="363">
        <v>1.0620000000000001</v>
      </c>
      <c r="Z17" s="363"/>
      <c r="AA17" s="363"/>
      <c r="AB17" s="363"/>
      <c r="AC17" s="363">
        <v>1.0620000000000001</v>
      </c>
      <c r="AD17" s="355"/>
      <c r="AE17" s="334"/>
    </row>
    <row r="18" spans="1:31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/>
      <c r="V18" s="362"/>
      <c r="W18" s="362"/>
      <c r="X18" s="362">
        <v>0.50975999999999999</v>
      </c>
      <c r="Y18" s="363">
        <v>0.50975999999999999</v>
      </c>
      <c r="Z18" s="363"/>
      <c r="AA18" s="363"/>
      <c r="AB18" s="363"/>
      <c r="AC18" s="363">
        <v>0.50975999999999999</v>
      </c>
      <c r="AD18" s="355"/>
      <c r="AE18" s="334"/>
    </row>
    <row r="19" spans="1:31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/>
      <c r="V19" s="362"/>
      <c r="W19" s="362"/>
      <c r="X19" s="362"/>
      <c r="Y19" s="363"/>
      <c r="Z19" s="363"/>
      <c r="AA19" s="363"/>
      <c r="AB19" s="363"/>
      <c r="AC19" s="363"/>
      <c r="AD19" s="355"/>
      <c r="AE19" s="334"/>
    </row>
    <row r="20" spans="1:31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/>
      <c r="V20" s="362"/>
      <c r="W20" s="362"/>
      <c r="X20" s="362"/>
      <c r="Y20" s="363"/>
      <c r="Z20" s="363"/>
      <c r="AA20" s="363"/>
      <c r="AB20" s="363"/>
      <c r="AC20" s="363"/>
      <c r="AD20" s="355"/>
      <c r="AE20" s="334" t="s">
        <v>134</v>
      </c>
    </row>
    <row r="21" spans="1:31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/>
      <c r="Z21" s="363"/>
      <c r="AA21" s="363"/>
      <c r="AB21" s="363"/>
      <c r="AC21" s="363"/>
      <c r="AD21" s="355"/>
      <c r="AE21" s="334"/>
    </row>
    <row r="22" spans="1:31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/>
      <c r="V22" s="362"/>
      <c r="W22" s="362"/>
      <c r="X22" s="362"/>
      <c r="Y22" s="363"/>
      <c r="Z22" s="363"/>
      <c r="AA22" s="363"/>
      <c r="AB22" s="363"/>
      <c r="AC22" s="363"/>
      <c r="AD22" s="355"/>
      <c r="AE22" s="334"/>
    </row>
    <row r="23" spans="1:31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/>
      <c r="Z23" s="363"/>
      <c r="AA23" s="363"/>
      <c r="AB23" s="363"/>
      <c r="AC23" s="363"/>
      <c r="AD23" s="355"/>
      <c r="AE23" s="334"/>
    </row>
    <row r="24" spans="1:31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-5.4539999999999997</v>
      </c>
      <c r="V24" s="362"/>
      <c r="W24" s="362"/>
      <c r="X24" s="362">
        <v>0</v>
      </c>
      <c r="Y24" s="363">
        <v>-5.4539999999999997</v>
      </c>
      <c r="Z24" s="363"/>
      <c r="AA24" s="363"/>
      <c r="AB24" s="363"/>
      <c r="AC24" s="363">
        <v>-5.4539999999999997</v>
      </c>
      <c r="AD24" s="355"/>
      <c r="AE24" s="369" t="s">
        <v>134</v>
      </c>
    </row>
    <row r="25" spans="1:31" s="352" customFormat="1" x14ac:dyDescent="0.2">
      <c r="A25" s="320" t="str">
        <f>IFERROR(VLOOKUP(B25,mapping_one_neo!A:B,2,FALSE),"")</f>
        <v/>
      </c>
      <c r="B25" s="352" t="s">
        <v>14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/>
      <c r="V25" s="362"/>
      <c r="W25" s="362"/>
      <c r="X25" s="362">
        <v>0</v>
      </c>
      <c r="Y25" s="363">
        <v>0</v>
      </c>
      <c r="Z25" s="363"/>
      <c r="AA25" s="363"/>
      <c r="AB25" s="363"/>
      <c r="AC25" s="363">
        <v>0</v>
      </c>
      <c r="AD25" s="355"/>
      <c r="AE25" s="334"/>
    </row>
    <row r="26" spans="1:31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-2.9129999999999998</v>
      </c>
      <c r="V26" s="362"/>
      <c r="W26" s="362"/>
      <c r="X26" s="362">
        <v>0</v>
      </c>
      <c r="Y26" s="363">
        <v>-2.9129999999999998</v>
      </c>
      <c r="Z26" s="363"/>
      <c r="AA26" s="363"/>
      <c r="AB26" s="363"/>
      <c r="AC26" s="363">
        <v>-2.9129999999999998</v>
      </c>
      <c r="AD26" s="355"/>
      <c r="AE26" s="334"/>
    </row>
    <row r="27" spans="1:31" s="352" customFormat="1" x14ac:dyDescent="0.2">
      <c r="A27" s="320" t="str">
        <f>IFERROR(VLOOKUP(B27,mapping_one_neo!A:B,2,FALSE),"")</f>
        <v/>
      </c>
      <c r="B27" s="352" t="s">
        <v>16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0</v>
      </c>
      <c r="V27" s="362"/>
      <c r="W27" s="362"/>
      <c r="X27" s="362"/>
      <c r="Y27" s="363">
        <v>0</v>
      </c>
      <c r="Z27" s="363"/>
      <c r="AA27" s="363"/>
      <c r="AB27" s="363"/>
      <c r="AC27" s="363">
        <v>0</v>
      </c>
      <c r="AD27" s="355"/>
      <c r="AE27" s="334"/>
    </row>
    <row r="28" spans="1:31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/>
      <c r="V28" s="362"/>
      <c r="W28" s="362"/>
      <c r="X28" s="362"/>
      <c r="Y28" s="363"/>
      <c r="Z28" s="363"/>
      <c r="AA28" s="363"/>
      <c r="AB28" s="363"/>
      <c r="AC28" s="363"/>
      <c r="AD28" s="355"/>
      <c r="AE28" s="334"/>
    </row>
    <row r="29" spans="1:31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/>
      <c r="V29" s="362"/>
      <c r="W29" s="362"/>
      <c r="X29" s="362"/>
      <c r="Y29" s="363"/>
      <c r="Z29" s="363"/>
      <c r="AA29" s="363"/>
      <c r="AB29" s="363"/>
      <c r="AC29" s="363"/>
      <c r="AD29" s="355"/>
      <c r="AE29" s="334"/>
    </row>
    <row r="30" spans="1:31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-4.4800000000000004</v>
      </c>
      <c r="V30" s="362"/>
      <c r="W30" s="362"/>
      <c r="X30" s="363"/>
      <c r="Y30" s="363">
        <v>-4.4800000000000004</v>
      </c>
      <c r="Z30" s="363"/>
      <c r="AA30" s="363"/>
      <c r="AB30" s="363"/>
      <c r="AC30" s="363">
        <v>-4.4800000000000004</v>
      </c>
      <c r="AD30" s="355">
        <v>-4.4800000000000004</v>
      </c>
      <c r="AE30" s="334"/>
    </row>
    <row r="31" spans="1:31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-9.4339999999999993</v>
      </c>
      <c r="V31" s="362"/>
      <c r="W31" s="362"/>
      <c r="X31" s="362"/>
      <c r="Y31" s="363">
        <v>-9.4339999999999993</v>
      </c>
      <c r="Z31" s="363"/>
      <c r="AA31" s="363"/>
      <c r="AB31" s="363"/>
      <c r="AC31" s="363">
        <v>-9.4339999999999993</v>
      </c>
      <c r="AD31" s="355"/>
      <c r="AE31" s="334"/>
    </row>
    <row r="32" spans="1:31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/>
      <c r="AC32" s="363"/>
      <c r="AD32" s="355"/>
      <c r="AE32" s="334"/>
    </row>
    <row r="33" spans="1:31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/>
      <c r="AC33" s="363"/>
      <c r="AD33" s="355"/>
      <c r="AE33" s="334"/>
    </row>
    <row r="34" spans="1:31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/>
      <c r="Y34" s="363"/>
      <c r="Z34" s="363"/>
      <c r="AA34" s="363"/>
      <c r="AB34" s="363"/>
      <c r="AC34" s="363"/>
      <c r="AD34" s="355"/>
      <c r="AE34" s="334"/>
    </row>
    <row r="35" spans="1:31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/>
      <c r="AC35" s="363"/>
      <c r="AD35" s="355"/>
      <c r="AE35" s="334"/>
    </row>
    <row r="36" spans="1:31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/>
      <c r="AC36" s="363"/>
      <c r="AD36" s="355"/>
      <c r="AE36" s="334"/>
    </row>
    <row r="37" spans="1:31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62">
        <v>-3.07639</v>
      </c>
      <c r="V37" s="362"/>
      <c r="W37" s="362"/>
      <c r="X37" s="362">
        <v>0</v>
      </c>
      <c r="Y37" s="363">
        <v>-3.07639</v>
      </c>
      <c r="Z37" s="363"/>
      <c r="AA37" s="363"/>
      <c r="AB37" s="363"/>
      <c r="AC37" s="363">
        <v>-3.07639</v>
      </c>
      <c r="AD37" s="355"/>
      <c r="AE37" s="334" t="s">
        <v>134</v>
      </c>
    </row>
    <row r="38" spans="1:31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-2.55064</v>
      </c>
      <c r="V38" s="351"/>
      <c r="W38" s="351"/>
      <c r="X38" s="351"/>
      <c r="Y38" s="363"/>
      <c r="Z38" s="363"/>
      <c r="AA38" s="363"/>
      <c r="AB38" s="363"/>
      <c r="AC38" s="363">
        <v>0</v>
      </c>
      <c r="AD38" s="350"/>
      <c r="AE38" s="334" t="s">
        <v>134</v>
      </c>
    </row>
    <row r="39" spans="1:31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-0.36499999999999999</v>
      </c>
      <c r="V39" s="351"/>
      <c r="W39" s="351"/>
      <c r="X39" s="351"/>
      <c r="Y39" s="363"/>
      <c r="Z39" s="363"/>
      <c r="AA39" s="363"/>
      <c r="AB39" s="363"/>
      <c r="AC39" s="363">
        <v>0</v>
      </c>
      <c r="AD39" s="350"/>
      <c r="AE39" s="334" t="s">
        <v>134</v>
      </c>
    </row>
    <row r="40" spans="1:31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-9.9750000000000005E-2</v>
      </c>
      <c r="V40" s="351"/>
      <c r="W40" s="351"/>
      <c r="X40" s="351"/>
      <c r="Y40" s="363"/>
      <c r="Z40" s="363"/>
      <c r="AA40" s="363"/>
      <c r="AB40" s="363"/>
      <c r="AC40" s="363">
        <v>0</v>
      </c>
      <c r="AD40" s="350"/>
      <c r="AE40" s="334" t="s">
        <v>134</v>
      </c>
    </row>
    <row r="41" spans="1:31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-6.0999999999999999E-2</v>
      </c>
      <c r="V41" s="362"/>
      <c r="W41" s="351"/>
      <c r="X41" s="351"/>
      <c r="Y41" s="363"/>
      <c r="Z41" s="363"/>
      <c r="AA41" s="363"/>
      <c r="AB41" s="363"/>
      <c r="AC41" s="363">
        <v>0</v>
      </c>
      <c r="AD41" s="350"/>
    </row>
    <row r="42" spans="1:31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51">
        <v>-1.02</v>
      </c>
      <c r="V42" s="362"/>
      <c r="W42" s="362"/>
      <c r="X42" s="351"/>
      <c r="Y42" s="363">
        <v>-1.02</v>
      </c>
      <c r="Z42" s="363"/>
      <c r="AA42" s="363"/>
      <c r="AB42" s="363"/>
      <c r="AC42" s="363">
        <v>-1.02</v>
      </c>
      <c r="AD42" s="355"/>
      <c r="AE42" s="334"/>
    </row>
    <row r="43" spans="1:31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U43" s="362"/>
      <c r="V43" s="362"/>
      <c r="W43" s="362"/>
      <c r="X43" s="351"/>
      <c r="Y43" s="363"/>
      <c r="Z43" s="363"/>
      <c r="AA43" s="363"/>
      <c r="AB43" s="363"/>
      <c r="AC43" s="363"/>
      <c r="AD43" s="355"/>
      <c r="AE43" s="334"/>
    </row>
    <row r="44" spans="1:31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/>
      <c r="V44" s="351"/>
      <c r="W44" s="351"/>
      <c r="X44" s="351"/>
      <c r="Y44" s="363"/>
      <c r="Z44" s="363"/>
      <c r="AA44" s="363"/>
      <c r="AB44" s="363"/>
      <c r="AC44" s="363"/>
      <c r="AD44" s="350"/>
    </row>
    <row r="45" spans="1:31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/>
      <c r="V45" s="351"/>
      <c r="W45" s="351"/>
      <c r="X45" s="351"/>
      <c r="Y45" s="363"/>
      <c r="Z45" s="363"/>
      <c r="AA45" s="363"/>
      <c r="AB45" s="363"/>
      <c r="AC45" s="363"/>
      <c r="AD45" s="350"/>
      <c r="AE45" s="334" t="s">
        <v>134</v>
      </c>
    </row>
    <row r="46" spans="1:31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78"/>
      <c r="AC46" s="378"/>
      <c r="AD46" s="377"/>
      <c r="AE46" s="334"/>
    </row>
    <row r="47" spans="1:31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/>
      <c r="AA47" s="378"/>
      <c r="AB47" s="363"/>
      <c r="AC47" s="378">
        <v>0</v>
      </c>
      <c r="AD47" s="377"/>
      <c r="AE47" s="334"/>
    </row>
    <row r="48" spans="1:31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8"/>
      <c r="AD48" s="377"/>
      <c r="AE48" s="334"/>
    </row>
    <row r="49" spans="1:31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U9+U10+U24+U26+U30+U31+U37+U42</f>
        <v>-313.35523999999992</v>
      </c>
      <c r="V49" s="383">
        <f>SUM(V8:V12)</f>
        <v>6.3703000000000003</v>
      </c>
      <c r="W49" s="383">
        <v>0</v>
      </c>
      <c r="X49" s="383">
        <f>SUM(X9:X18)</f>
        <v>7.7006075000000012</v>
      </c>
      <c r="Y49" s="383">
        <f>SUM(Y9:Y42)</f>
        <v>-299.28433249999983</v>
      </c>
      <c r="Z49" s="383">
        <v>0</v>
      </c>
      <c r="AA49" s="383"/>
      <c r="AB49" s="383">
        <v>0</v>
      </c>
      <c r="AC49" s="383">
        <f>SUM(AC9:AC42)</f>
        <v>-299.28433249999983</v>
      </c>
      <c r="AD49" s="377"/>
      <c r="AE49" s="382" t="s">
        <v>134</v>
      </c>
    </row>
    <row r="50" spans="1:31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8"/>
      <c r="AD50" s="377"/>
      <c r="AE50" s="334"/>
    </row>
    <row r="51" spans="1:31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8"/>
      <c r="AD51" s="350"/>
    </row>
    <row r="52" spans="1:31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-16.667000000000002</v>
      </c>
      <c r="V52" s="362"/>
      <c r="W52" s="362"/>
      <c r="X52" s="362"/>
      <c r="Y52" s="363">
        <v>-16.667000000000002</v>
      </c>
      <c r="Z52" s="363"/>
      <c r="AA52" s="363"/>
      <c r="AB52" s="363"/>
      <c r="AC52" s="363">
        <v>-16.667000000000002</v>
      </c>
      <c r="AD52" s="355"/>
      <c r="AE52" s="334"/>
    </row>
    <row r="53" spans="1:31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-4</v>
      </c>
      <c r="V53" s="362"/>
      <c r="W53" s="362"/>
      <c r="X53" s="362"/>
      <c r="Y53" s="363">
        <v>-4</v>
      </c>
      <c r="Z53" s="363"/>
      <c r="AA53" s="363"/>
      <c r="AB53" s="363"/>
      <c r="AC53" s="363">
        <v>-4</v>
      </c>
      <c r="AD53" s="355"/>
      <c r="AE53" s="334"/>
    </row>
    <row r="54" spans="1:31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-2.4169999999999998</v>
      </c>
      <c r="V54" s="362"/>
      <c r="W54" s="362"/>
      <c r="X54" s="362"/>
      <c r="Y54" s="363">
        <v>-2.4169999999999998</v>
      </c>
      <c r="Z54" s="363"/>
      <c r="AA54" s="363"/>
      <c r="AB54" s="363"/>
      <c r="AC54" s="363">
        <v>-2.4169999999999998</v>
      </c>
      <c r="AD54" s="355"/>
      <c r="AE54" s="334"/>
    </row>
    <row r="55" spans="1:31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-0.44686999999999999</v>
      </c>
      <c r="V55" s="362"/>
      <c r="W55" s="362"/>
      <c r="X55" s="362"/>
      <c r="Y55" s="363">
        <v>-0.44686999999999999</v>
      </c>
      <c r="Z55" s="363"/>
      <c r="AA55" s="363"/>
      <c r="AB55" s="363"/>
      <c r="AC55" s="363">
        <v>-0.44686999999999999</v>
      </c>
      <c r="AD55" s="355"/>
      <c r="AE55" s="334" t="s">
        <v>134</v>
      </c>
    </row>
    <row r="56" spans="1:31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/>
      <c r="AA56" s="363"/>
      <c r="AB56" s="363"/>
      <c r="AC56" s="363">
        <v>0</v>
      </c>
      <c r="AD56" s="355"/>
      <c r="AE56" s="334"/>
    </row>
    <row r="57" spans="1:31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/>
      <c r="AC57" s="363">
        <v>0</v>
      </c>
      <c r="AD57" s="355"/>
      <c r="AE57" s="334"/>
    </row>
    <row r="58" spans="1:31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-23.530870000000004</v>
      </c>
      <c r="V58" s="354">
        <v>0</v>
      </c>
      <c r="W58" s="354">
        <v>0</v>
      </c>
      <c r="X58" s="354"/>
      <c r="Y58" s="357">
        <f>SUM(Y52:Y57)</f>
        <v>-23.530870000000004</v>
      </c>
      <c r="Z58" s="357">
        <v>0</v>
      </c>
      <c r="AA58" s="357"/>
      <c r="AB58" s="357">
        <v>0</v>
      </c>
      <c r="AC58" s="357">
        <f>SUM(AC52:AC57)</f>
        <v>-23.530870000000004</v>
      </c>
      <c r="AD58" s="355"/>
      <c r="AE58" s="334"/>
    </row>
    <row r="59" spans="1:31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8"/>
      <c r="AD59" s="350"/>
    </row>
    <row r="60" spans="1:31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8"/>
      <c r="AD60" s="350"/>
    </row>
    <row r="61" spans="1:31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8"/>
      <c r="AD61" s="350"/>
    </row>
    <row r="62" spans="1:31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-1.25</v>
      </c>
      <c r="V62" s="351">
        <v>-2.2084800000000002</v>
      </c>
      <c r="W62" s="351"/>
      <c r="X62" s="351"/>
      <c r="Y62" s="363">
        <v>-3.4584799999999998</v>
      </c>
      <c r="Z62" s="363"/>
      <c r="AA62" s="363"/>
      <c r="AB62" s="363"/>
      <c r="AC62" s="363">
        <v>-3.4584799999999998</v>
      </c>
      <c r="AD62" s="355"/>
      <c r="AE62" s="334"/>
    </row>
    <row r="63" spans="1:31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-12.30391</v>
      </c>
      <c r="W63" s="351"/>
      <c r="X63" s="351"/>
      <c r="Y63" s="363">
        <v>-12.30391</v>
      </c>
      <c r="Z63" s="363"/>
      <c r="AA63" s="363"/>
      <c r="AB63" s="363"/>
      <c r="AC63" s="363">
        <v>-12.30391</v>
      </c>
      <c r="AD63" s="355"/>
      <c r="AE63" s="334"/>
    </row>
    <row r="64" spans="1:31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-0.96699999999999997</v>
      </c>
      <c r="V64" s="351"/>
      <c r="W64" s="351"/>
      <c r="X64" s="351"/>
      <c r="Y64" s="363">
        <v>-0.96699999999999997</v>
      </c>
      <c r="Z64" s="363"/>
      <c r="AA64" s="363"/>
      <c r="AB64" s="363"/>
      <c r="AC64" s="363">
        <v>-0.96699999999999997</v>
      </c>
      <c r="AD64" s="355"/>
      <c r="AE64" s="334"/>
    </row>
    <row r="65" spans="1:31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-0.192</v>
      </c>
      <c r="V65" s="351"/>
      <c r="W65" s="351"/>
      <c r="X65" s="351"/>
      <c r="Y65" s="363">
        <v>-0.192</v>
      </c>
      <c r="Z65" s="363"/>
      <c r="AA65" s="363"/>
      <c r="AB65" s="363"/>
      <c r="AC65" s="363">
        <v>-0.192</v>
      </c>
      <c r="AD65" s="355"/>
      <c r="AE65" s="334"/>
    </row>
    <row r="66" spans="1:31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/>
      <c r="AC66" s="363">
        <v>0</v>
      </c>
      <c r="AD66" s="355"/>
      <c r="AE66" s="334"/>
    </row>
    <row r="67" spans="1:31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/>
      <c r="V67" s="351"/>
      <c r="W67" s="351"/>
      <c r="X67" s="351"/>
      <c r="Y67" s="363">
        <v>0</v>
      </c>
      <c r="Z67" s="363"/>
      <c r="AA67" s="363"/>
      <c r="AB67" s="363"/>
      <c r="AC67" s="363">
        <v>0</v>
      </c>
      <c r="AD67" s="355"/>
      <c r="AE67" s="334"/>
    </row>
    <row r="68" spans="1:31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0</v>
      </c>
      <c r="V68" s="351"/>
      <c r="W68" s="351"/>
      <c r="X68" s="351"/>
      <c r="Y68" s="363">
        <v>0</v>
      </c>
      <c r="Z68" s="363"/>
      <c r="AA68" s="363"/>
      <c r="AB68" s="363"/>
      <c r="AC68" s="363">
        <v>0</v>
      </c>
      <c r="AD68" s="355"/>
      <c r="AE68" s="334"/>
    </row>
    <row r="69" spans="1:31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-0.10705999999999993</v>
      </c>
      <c r="V69" s="351"/>
      <c r="W69" s="351"/>
      <c r="X69" s="351"/>
      <c r="Y69" s="363">
        <v>-0.10705999999999993</v>
      </c>
      <c r="Z69" s="363"/>
      <c r="AA69" s="363"/>
      <c r="AB69" s="363"/>
      <c r="AC69" s="363">
        <v>-0.10705999999999993</v>
      </c>
      <c r="AD69" s="355"/>
      <c r="AE69" s="334"/>
    </row>
    <row r="70" spans="1:31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-1.125</v>
      </c>
      <c r="V70" s="351"/>
      <c r="W70" s="351"/>
      <c r="X70" s="351"/>
      <c r="Y70" s="363">
        <v>-1.125</v>
      </c>
      <c r="Z70" s="363"/>
      <c r="AA70" s="363"/>
      <c r="AB70" s="363"/>
      <c r="AC70" s="363">
        <v>-1.125</v>
      </c>
      <c r="AD70" s="355"/>
      <c r="AE70" s="334"/>
    </row>
    <row r="71" spans="1:31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/>
      <c r="AC71" s="363">
        <v>0</v>
      </c>
      <c r="AD71" s="355"/>
      <c r="AE71" s="334"/>
    </row>
    <row r="72" spans="1:31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-3.6410600000000004</v>
      </c>
      <c r="V72" s="393">
        <f t="shared" ref="V72:AC72" si="0">SUM(V62:V71)</f>
        <v>-14.51239</v>
      </c>
      <c r="W72" s="393">
        <f t="shared" si="0"/>
        <v>0</v>
      </c>
      <c r="X72" s="393">
        <f t="shared" si="0"/>
        <v>0</v>
      </c>
      <c r="Y72" s="395">
        <f t="shared" si="0"/>
        <v>-18.153449999999999</v>
      </c>
      <c r="Z72" s="395">
        <f t="shared" si="0"/>
        <v>0</v>
      </c>
      <c r="AA72" s="395">
        <f t="shared" si="0"/>
        <v>0</v>
      </c>
      <c r="AB72" s="395">
        <f t="shared" si="0"/>
        <v>0</v>
      </c>
      <c r="AC72" s="395">
        <f t="shared" si="0"/>
        <v>-18.153449999999999</v>
      </c>
      <c r="AD72" s="394"/>
      <c r="AE72" s="334"/>
    </row>
    <row r="73" spans="1:31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8"/>
      <c r="AD73" s="350"/>
    </row>
    <row r="74" spans="1:31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8"/>
      <c r="AD74" s="350"/>
    </row>
    <row r="75" spans="1:31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-1.3</v>
      </c>
      <c r="V75" s="351"/>
      <c r="W75" s="351"/>
      <c r="X75" s="351"/>
      <c r="Y75" s="363">
        <v>-1.3</v>
      </c>
      <c r="Z75" s="363"/>
      <c r="AA75" s="363"/>
      <c r="AB75" s="363"/>
      <c r="AC75" s="363">
        <v>-1.3</v>
      </c>
      <c r="AD75" s="355" t="s">
        <v>134</v>
      </c>
      <c r="AE75" s="334"/>
    </row>
    <row r="76" spans="1:31" s="352" customFormat="1" x14ac:dyDescent="0.2">
      <c r="A76" s="320" t="str">
        <f>IFERROR(VLOOKUP(B76,mapping_one_neo!A:B,2,FALSE),"")</f>
        <v/>
      </c>
      <c r="B76" s="388" t="s">
        <v>780</v>
      </c>
      <c r="C76" s="396" t="s">
        <v>750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0</v>
      </c>
      <c r="V76" s="351"/>
      <c r="W76" s="351"/>
      <c r="X76" s="351"/>
      <c r="Y76" s="363">
        <v>0</v>
      </c>
      <c r="Z76" s="363"/>
      <c r="AA76" s="363"/>
      <c r="AB76" s="363"/>
      <c r="AC76" s="363">
        <v>0</v>
      </c>
      <c r="AD76" s="355"/>
      <c r="AE76" s="334"/>
    </row>
    <row r="77" spans="1:31" s="352" customFormat="1" x14ac:dyDescent="0.2">
      <c r="A77" s="320" t="str">
        <f>IFERROR(VLOOKUP(B77,mapping_one_neo!A:B,2,FALSE),"")</f>
        <v>Allowance &amp; subsistence</v>
      </c>
      <c r="B77" s="388" t="s">
        <v>751</v>
      </c>
      <c r="C77" s="353">
        <v>625700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-0.5</v>
      </c>
      <c r="V77" s="351"/>
      <c r="W77" s="351"/>
      <c r="X77" s="351"/>
      <c r="Y77" s="363">
        <v>-0.5</v>
      </c>
      <c r="Z77" s="363"/>
      <c r="AA77" s="363"/>
      <c r="AB77" s="363"/>
      <c r="AC77" s="363">
        <v>-0.5</v>
      </c>
      <c r="AD77" s="355"/>
      <c r="AE77" s="334"/>
    </row>
    <row r="78" spans="1:31" s="352" customFormat="1" x14ac:dyDescent="0.2">
      <c r="A78" s="320" t="str">
        <f>IFERROR(VLOOKUP(B78,mapping_one_neo!A:B,2,FALSE),"")</f>
        <v/>
      </c>
      <c r="B78" s="388" t="s">
        <v>787</v>
      </c>
      <c r="C78" s="353">
        <v>625650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-1.5</v>
      </c>
      <c r="V78" s="351"/>
      <c r="W78" s="351"/>
      <c r="X78" s="351"/>
      <c r="Y78" s="363">
        <v>-1.5</v>
      </c>
      <c r="Z78" s="363"/>
      <c r="AA78" s="363"/>
      <c r="AB78" s="363"/>
      <c r="AC78" s="363">
        <v>-1.5</v>
      </c>
      <c r="AD78" s="355"/>
      <c r="AE78" s="334"/>
    </row>
    <row r="79" spans="1:31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-3.3</v>
      </c>
      <c r="V79" s="393">
        <f t="shared" ref="V79:AC79" si="1">SUM(V75:V78)</f>
        <v>0</v>
      </c>
      <c r="W79" s="393">
        <f t="shared" si="1"/>
        <v>0</v>
      </c>
      <c r="X79" s="393">
        <f t="shared" si="1"/>
        <v>0</v>
      </c>
      <c r="Y79" s="393">
        <f t="shared" si="1"/>
        <v>-3.3</v>
      </c>
      <c r="Z79" s="393">
        <f t="shared" si="1"/>
        <v>0</v>
      </c>
      <c r="AA79" s="393">
        <f t="shared" si="1"/>
        <v>0</v>
      </c>
      <c r="AB79" s="393">
        <f t="shared" si="1"/>
        <v>0</v>
      </c>
      <c r="AC79" s="393">
        <f t="shared" si="1"/>
        <v>-3.3</v>
      </c>
      <c r="AD79" s="394"/>
      <c r="AE79" s="334"/>
    </row>
    <row r="80" spans="1:31" x14ac:dyDescent="0.2">
      <c r="A80" s="320" t="str">
        <f>IFERROR(VLOOKUP(B80,mapping_one_neo!A:B,2,FALSE),"")</f>
        <v/>
      </c>
      <c r="G80" s="336"/>
      <c r="H80" s="336"/>
      <c r="I80" s="336"/>
      <c r="J80" s="336">
        <v>0</v>
      </c>
      <c r="K80" s="336"/>
      <c r="L80" s="336"/>
      <c r="M80" s="336">
        <v>0</v>
      </c>
      <c r="N80" s="336"/>
      <c r="O80" s="336"/>
      <c r="P80" s="336"/>
      <c r="Q80" s="336"/>
      <c r="R80" s="336"/>
      <c r="S80" s="349"/>
      <c r="T80" s="346"/>
      <c r="U80" s="351"/>
      <c r="V80" s="351"/>
      <c r="W80" s="351"/>
      <c r="X80" s="351"/>
      <c r="Y80" s="358"/>
      <c r="Z80" s="358"/>
      <c r="AA80" s="358"/>
      <c r="AB80" s="358"/>
      <c r="AC80" s="358"/>
      <c r="AD80" s="350"/>
    </row>
    <row r="81" spans="1:31" x14ac:dyDescent="0.2">
      <c r="A81" s="320">
        <f>IFERROR(VLOOKUP(B81,mapping_one_neo!A:B,2,FALSE),"")</f>
        <v>0</v>
      </c>
      <c r="B81" s="352" t="s">
        <v>57</v>
      </c>
      <c r="C81" s="353"/>
      <c r="E81" s="354">
        <v>-260.00366843793921</v>
      </c>
      <c r="G81" s="354">
        <v>-14.901219999999999</v>
      </c>
      <c r="H81" s="354">
        <v>-24.423729999999995</v>
      </c>
      <c r="I81" s="354">
        <v>-23.112830000000002</v>
      </c>
      <c r="J81" s="354">
        <v>-19.212610000000002</v>
      </c>
      <c r="K81" s="354">
        <v>-16.32507</v>
      </c>
      <c r="L81" s="354">
        <v>-19.04739</v>
      </c>
      <c r="M81" s="354">
        <v>-24.760217295586671</v>
      </c>
      <c r="N81" s="354">
        <v>-21.925321462253336</v>
      </c>
      <c r="O81" s="354">
        <v>-22.242061045586674</v>
      </c>
      <c r="P81" s="354">
        <v>-24.338092295586669</v>
      </c>
      <c r="Q81" s="354">
        <v>-22.638092295586667</v>
      </c>
      <c r="R81" s="354">
        <v>-27.077034043339125</v>
      </c>
      <c r="S81" s="349"/>
      <c r="T81" s="346"/>
      <c r="U81" s="354">
        <f>U72+U79</f>
        <v>-6.9410600000000002</v>
      </c>
      <c r="V81" s="354">
        <f t="shared" ref="V81:AC81" si="2">V72+V79</f>
        <v>-14.51239</v>
      </c>
      <c r="W81" s="354">
        <f t="shared" si="2"/>
        <v>0</v>
      </c>
      <c r="X81" s="354">
        <f t="shared" si="2"/>
        <v>0</v>
      </c>
      <c r="Y81" s="354">
        <f t="shared" si="2"/>
        <v>-21.45345</v>
      </c>
      <c r="Z81" s="354">
        <f t="shared" si="2"/>
        <v>0</v>
      </c>
      <c r="AA81" s="354">
        <f t="shared" si="2"/>
        <v>0</v>
      </c>
      <c r="AB81" s="354">
        <f t="shared" si="2"/>
        <v>0</v>
      </c>
      <c r="AC81" s="354">
        <f t="shared" si="2"/>
        <v>-21.45345</v>
      </c>
      <c r="AD81" s="350"/>
    </row>
    <row r="82" spans="1:31" x14ac:dyDescent="0.2">
      <c r="A82" s="320" t="str">
        <f>IFERROR(VLOOKUP(B82,mapping_one_neo!A:B,2,FALSE),"")</f>
        <v/>
      </c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8"/>
      <c r="AD82" s="350"/>
    </row>
    <row r="83" spans="1:31" x14ac:dyDescent="0.2">
      <c r="A83" s="320">
        <f>IFERROR(VLOOKUP(B83,mapping_one_neo!A:B,2,FALSE),"")</f>
        <v>0</v>
      </c>
      <c r="B83" s="352" t="s">
        <v>58</v>
      </c>
      <c r="C83" s="353"/>
      <c r="S83" s="349"/>
      <c r="T83" s="346"/>
      <c r="U83" s="351"/>
      <c r="V83" s="351"/>
      <c r="W83" s="351"/>
      <c r="X83" s="351"/>
      <c r="Y83" s="358"/>
      <c r="Z83" s="358"/>
      <c r="AA83" s="358"/>
      <c r="AB83" s="358"/>
      <c r="AC83" s="358"/>
      <c r="AD83" s="350"/>
    </row>
    <row r="84" spans="1:31" x14ac:dyDescent="0.2">
      <c r="A84" s="320">
        <f>IFERROR(VLOOKUP(B84,mapping_one_neo!A:B,2,FALSE),"")</f>
        <v>0</v>
      </c>
      <c r="B84" s="387" t="s">
        <v>59</v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8"/>
      <c r="AD84" s="350"/>
    </row>
    <row r="85" spans="1:31" s="352" customFormat="1" x14ac:dyDescent="0.2">
      <c r="A85" s="320" t="str">
        <f>IFERROR(VLOOKUP(B85,mapping_one_neo!A:B,2,FALSE),"")</f>
        <v>New business/client presentation costs</v>
      </c>
      <c r="B85" s="388" t="s">
        <v>60</v>
      </c>
      <c r="C85" s="353" t="s">
        <v>153</v>
      </c>
      <c r="E85" s="356">
        <v>-9.3027399999999982</v>
      </c>
      <c r="G85" s="419">
        <v>-0.41615999999999997</v>
      </c>
      <c r="H85" s="419">
        <v>-0.42371000000000003</v>
      </c>
      <c r="I85" s="419">
        <v>-0.41617000000000004</v>
      </c>
      <c r="J85" s="419">
        <v>-0.45894999999999997</v>
      </c>
      <c r="K85" s="419">
        <v>-0.41615999999999986</v>
      </c>
      <c r="L85" s="419">
        <v>-0.4027400000000001</v>
      </c>
      <c r="M85" s="419">
        <v>-1.0356262499999989</v>
      </c>
      <c r="N85" s="419">
        <v>-0.5</v>
      </c>
      <c r="O85" s="419">
        <v>-1.3083059374999999</v>
      </c>
      <c r="P85" s="419">
        <v>-1.3083059374999999</v>
      </c>
      <c r="Q85" s="419">
        <v>-1.3083059374999999</v>
      </c>
      <c r="R85" s="419">
        <v>-1.3083059374999999</v>
      </c>
      <c r="S85" s="345"/>
      <c r="T85" s="361"/>
      <c r="U85" s="351"/>
      <c r="V85" s="351"/>
      <c r="W85" s="351"/>
      <c r="X85" s="351"/>
      <c r="Y85" s="363"/>
      <c r="Z85" s="363"/>
      <c r="AA85" s="363"/>
      <c r="AB85" s="363"/>
      <c r="AC85" s="363"/>
      <c r="AD85" s="355"/>
      <c r="AE85" s="334"/>
    </row>
    <row r="86" spans="1:31" s="352" customFormat="1" x14ac:dyDescent="0.2">
      <c r="A86" s="320" t="str">
        <f>IFERROR(VLOOKUP(B86,mapping_one_neo!A:B,2,FALSE),"")</f>
        <v>New business/client presentation costs</v>
      </c>
      <c r="B86" s="388" t="s">
        <v>61</v>
      </c>
      <c r="C86" s="342">
        <v>625131</v>
      </c>
      <c r="E86" s="356">
        <v>-2.3610500000000005</v>
      </c>
      <c r="G86" s="419">
        <v>-0.4224</v>
      </c>
      <c r="H86" s="419">
        <v>0</v>
      </c>
      <c r="I86" s="419">
        <v>0</v>
      </c>
      <c r="J86" s="419">
        <v>0</v>
      </c>
      <c r="K86" s="419">
        <v>0</v>
      </c>
      <c r="L86" s="419">
        <v>-0.16105000000000003</v>
      </c>
      <c r="M86" s="419">
        <v>-0.29626666666666668</v>
      </c>
      <c r="N86" s="419">
        <v>-0.29626666666666668</v>
      </c>
      <c r="O86" s="419">
        <v>-0.29626666666666668</v>
      </c>
      <c r="P86" s="419">
        <v>-0.29626666666666668</v>
      </c>
      <c r="Q86" s="419">
        <v>-0.29626666666666668</v>
      </c>
      <c r="R86" s="419">
        <v>-0.29626666666666668</v>
      </c>
      <c r="S86" s="345"/>
      <c r="T86" s="361"/>
      <c r="U86" s="351"/>
      <c r="V86" s="351"/>
      <c r="W86" s="351"/>
      <c r="X86" s="351"/>
      <c r="Y86" s="363"/>
      <c r="Z86" s="363"/>
      <c r="AA86" s="363"/>
      <c r="AB86" s="363"/>
      <c r="AC86" s="363"/>
      <c r="AD86" s="355"/>
      <c r="AE86" s="334"/>
    </row>
    <row r="87" spans="1:31" s="352" customFormat="1" x14ac:dyDescent="0.2">
      <c r="A87" s="320" t="str">
        <f>IFERROR(VLOOKUP(B87,mapping_one_neo!A:B,2,FALSE),"")</f>
        <v>New business/client presentation costs</v>
      </c>
      <c r="B87" s="388" t="s">
        <v>788</v>
      </c>
      <c r="C87" s="353" t="s">
        <v>789</v>
      </c>
      <c r="E87" s="356">
        <v>-1.7195299999999998</v>
      </c>
      <c r="G87" s="419">
        <v>0</v>
      </c>
      <c r="H87" s="419">
        <v>-0.21934999999999999</v>
      </c>
      <c r="I87" s="419">
        <v>0</v>
      </c>
      <c r="J87" s="419">
        <v>-0.21328000000000003</v>
      </c>
      <c r="K87" s="419">
        <v>-4.2419999999999958E-2</v>
      </c>
      <c r="L87" s="419">
        <v>-5.4440000000000044E-2</v>
      </c>
      <c r="M87" s="419">
        <v>-0.19833999999999999</v>
      </c>
      <c r="N87" s="419">
        <v>-0.19833999999999999</v>
      </c>
      <c r="O87" s="419">
        <v>-0.19833999999999999</v>
      </c>
      <c r="P87" s="419">
        <v>-0.19833999999999999</v>
      </c>
      <c r="Q87" s="419">
        <v>-0.19833999999999999</v>
      </c>
      <c r="R87" s="419">
        <v>-0.19833999999999999</v>
      </c>
      <c r="S87" s="345"/>
      <c r="T87" s="361"/>
      <c r="U87" s="351"/>
      <c r="V87" s="351"/>
      <c r="W87" s="351"/>
      <c r="X87" s="351"/>
      <c r="Y87" s="363"/>
      <c r="Z87" s="363"/>
      <c r="AA87" s="363"/>
      <c r="AB87" s="363"/>
      <c r="AC87" s="363"/>
      <c r="AD87" s="355"/>
      <c r="AE87" s="334"/>
    </row>
    <row r="88" spans="1:31" s="387" customFormat="1" x14ac:dyDescent="0.2">
      <c r="A88" s="320">
        <f>IFERROR(VLOOKUP(B88,mapping_one_neo!A:B,2,FALSE),"")</f>
        <v>0</v>
      </c>
      <c r="B88" s="387" t="s">
        <v>63</v>
      </c>
      <c r="C88" s="392"/>
      <c r="E88" s="393">
        <v>-13.383319999999998</v>
      </c>
      <c r="G88" s="393">
        <v>-0.83855999999999997</v>
      </c>
      <c r="H88" s="393">
        <v>-0.64305999999999996</v>
      </c>
      <c r="I88" s="393">
        <v>-0.41617000000000004</v>
      </c>
      <c r="J88" s="393">
        <v>-0.67222999999999999</v>
      </c>
      <c r="K88" s="393">
        <v>-0.45857999999999982</v>
      </c>
      <c r="L88" s="393">
        <v>-0.61823000000000017</v>
      </c>
      <c r="M88" s="393">
        <v>-1.5302329166666655</v>
      </c>
      <c r="N88" s="393">
        <v>-0.99460666666666664</v>
      </c>
      <c r="O88" s="393">
        <v>-1.8029126041666665</v>
      </c>
      <c r="P88" s="393">
        <v>-1.8029126041666665</v>
      </c>
      <c r="Q88" s="393">
        <v>-1.8029126041666665</v>
      </c>
      <c r="R88" s="393">
        <v>-1.8029126041666665</v>
      </c>
      <c r="S88" s="349"/>
      <c r="T88" s="346"/>
      <c r="U88" s="393"/>
      <c r="V88" s="393"/>
      <c r="W88" s="393"/>
      <c r="X88" s="393"/>
      <c r="Y88" s="395"/>
      <c r="Z88" s="395"/>
      <c r="AA88" s="395"/>
      <c r="AB88" s="395"/>
      <c r="AC88" s="395"/>
      <c r="AD88" s="394"/>
      <c r="AE88" s="334"/>
    </row>
    <row r="89" spans="1:31" x14ac:dyDescent="0.2">
      <c r="A89" s="320" t="str">
        <f>IFERROR(VLOOKUP(B89,mapping_one_neo!A:B,2,FALSE),"")</f>
        <v/>
      </c>
      <c r="J89" s="335">
        <v>0</v>
      </c>
      <c r="M89" s="335">
        <v>0</v>
      </c>
      <c r="S89" s="349"/>
      <c r="T89" s="346"/>
      <c r="U89" s="351"/>
      <c r="V89" s="351"/>
      <c r="W89" s="351"/>
      <c r="X89" s="351"/>
      <c r="Y89" s="358"/>
      <c r="Z89" s="358"/>
      <c r="AA89" s="358"/>
      <c r="AB89" s="358"/>
      <c r="AC89" s="358"/>
      <c r="AD89" s="350"/>
    </row>
    <row r="90" spans="1:31" x14ac:dyDescent="0.2">
      <c r="A90" s="320">
        <f>IFERROR(VLOOKUP(B90,mapping_one_neo!A:B,2,FALSE),"")</f>
        <v>0</v>
      </c>
      <c r="B90" s="387" t="s">
        <v>64</v>
      </c>
      <c r="J90" s="335">
        <v>0</v>
      </c>
      <c r="M90" s="335">
        <v>0</v>
      </c>
      <c r="S90" s="349"/>
      <c r="T90" s="346"/>
      <c r="U90" s="351"/>
      <c r="V90" s="351"/>
      <c r="W90" s="351"/>
      <c r="X90" s="351"/>
      <c r="Y90" s="358">
        <v>0</v>
      </c>
      <c r="Z90" s="358"/>
      <c r="AA90" s="358"/>
      <c r="AB90" s="358"/>
      <c r="AC90" s="358"/>
      <c r="AD90" s="350"/>
    </row>
    <row r="91" spans="1:31" s="352" customFormat="1" x14ac:dyDescent="0.2">
      <c r="A91" s="320" t="str">
        <f>IFERROR(VLOOKUP(B91,mapping_one_neo!A:B,2,FALSE),"")</f>
        <v>Advert/promotion</v>
      </c>
      <c r="B91" s="388" t="s">
        <v>65</v>
      </c>
      <c r="C91" s="396" t="s">
        <v>790</v>
      </c>
      <c r="E91" s="356">
        <v>-23.226660000000003</v>
      </c>
      <c r="G91" s="419">
        <v>-1</v>
      </c>
      <c r="H91" s="419">
        <v>-1</v>
      </c>
      <c r="I91" s="419">
        <v>-3.4225000000000003</v>
      </c>
      <c r="J91" s="419">
        <v>-1.3041599999999995</v>
      </c>
      <c r="K91" s="419">
        <v>-1</v>
      </c>
      <c r="L91" s="419">
        <v>-3.5000000000000009</v>
      </c>
      <c r="M91" s="419">
        <v>-5</v>
      </c>
      <c r="N91" s="419">
        <v>-2.5</v>
      </c>
      <c r="O91" s="419">
        <v>-1</v>
      </c>
      <c r="P91" s="419">
        <v>-1</v>
      </c>
      <c r="Q91" s="419">
        <v>-1</v>
      </c>
      <c r="R91" s="419">
        <v>-1.5</v>
      </c>
      <c r="S91" s="345"/>
      <c r="T91" s="361"/>
      <c r="U91" s="351">
        <v>-0.48812</v>
      </c>
      <c r="V91" s="351"/>
      <c r="W91" s="351"/>
      <c r="X91" s="351">
        <v>0</v>
      </c>
      <c r="Y91" s="363">
        <v>-0.48812</v>
      </c>
      <c r="Z91" s="363"/>
      <c r="AA91" s="363"/>
      <c r="AB91" s="363"/>
      <c r="AC91" s="363">
        <v>-0.48812</v>
      </c>
      <c r="AD91" s="355"/>
    </row>
    <row r="92" spans="1:31" s="352" customFormat="1" x14ac:dyDescent="0.2">
      <c r="A92" s="320" t="str">
        <f>IFERROR(VLOOKUP(B92,mapping_one_neo!A:B,2,FALSE),"")</f>
        <v>Advert/promotion</v>
      </c>
      <c r="B92" s="388" t="s">
        <v>66</v>
      </c>
      <c r="C92" s="353">
        <v>623400</v>
      </c>
      <c r="E92" s="356">
        <v>-3</v>
      </c>
      <c r="G92" s="419">
        <v>0</v>
      </c>
      <c r="H92" s="419">
        <v>0</v>
      </c>
      <c r="I92" s="419">
        <v>0</v>
      </c>
      <c r="J92" s="419">
        <v>0</v>
      </c>
      <c r="K92" s="419">
        <v>0</v>
      </c>
      <c r="L92" s="419">
        <v>0</v>
      </c>
      <c r="M92" s="419">
        <v>0</v>
      </c>
      <c r="N92" s="419">
        <v>0</v>
      </c>
      <c r="O92" s="419"/>
      <c r="P92" s="419"/>
      <c r="Q92" s="419"/>
      <c r="R92" s="419">
        <v>-3</v>
      </c>
      <c r="S92" s="345"/>
      <c r="T92" s="361"/>
      <c r="U92" s="351">
        <v>-4.9799999999999997E-2</v>
      </c>
      <c r="V92" s="362"/>
      <c r="W92" s="362"/>
      <c r="X92" s="362"/>
      <c r="Y92" s="363">
        <v>-4.9799999999999997E-2</v>
      </c>
      <c r="Z92" s="363"/>
      <c r="AA92" s="363"/>
      <c r="AB92" s="363"/>
      <c r="AC92" s="363">
        <v>-4.9799999999999997E-2</v>
      </c>
      <c r="AD92" s="355"/>
      <c r="AE92" s="334"/>
    </row>
    <row r="93" spans="1:31" s="387" customFormat="1" x14ac:dyDescent="0.2">
      <c r="A93" s="320">
        <f>IFERROR(VLOOKUP(B93,mapping_one_neo!A:B,2,FALSE),"")</f>
        <v>0</v>
      </c>
      <c r="B93" s="387" t="s">
        <v>67</v>
      </c>
      <c r="C93" s="392"/>
      <c r="E93" s="393">
        <v>-26.226660000000003</v>
      </c>
      <c r="G93" s="393">
        <v>-1</v>
      </c>
      <c r="H93" s="393">
        <v>-1</v>
      </c>
      <c r="I93" s="393">
        <v>-3.4225000000000003</v>
      </c>
      <c r="J93" s="393">
        <v>-1.3041599999999995</v>
      </c>
      <c r="K93" s="393">
        <v>-1</v>
      </c>
      <c r="L93" s="393">
        <v>-3.5000000000000009</v>
      </c>
      <c r="M93" s="393">
        <v>-5</v>
      </c>
      <c r="N93" s="393">
        <v>-2.5</v>
      </c>
      <c r="O93" s="393">
        <v>-1</v>
      </c>
      <c r="P93" s="393">
        <v>-1</v>
      </c>
      <c r="Q93" s="393">
        <v>-1</v>
      </c>
      <c r="R93" s="393">
        <v>-4.5</v>
      </c>
      <c r="S93" s="349"/>
      <c r="T93" s="346"/>
      <c r="U93" s="393">
        <f>SUM(U91:U92)</f>
        <v>-0.53791999999999995</v>
      </c>
      <c r="V93" s="393">
        <f t="shared" ref="V93:AC93" si="3">SUM(V91:V92)</f>
        <v>0</v>
      </c>
      <c r="W93" s="393">
        <f t="shared" si="3"/>
        <v>0</v>
      </c>
      <c r="X93" s="393">
        <f t="shared" si="3"/>
        <v>0</v>
      </c>
      <c r="Y93" s="393">
        <f t="shared" si="3"/>
        <v>-0.53791999999999995</v>
      </c>
      <c r="Z93" s="393">
        <f t="shared" si="3"/>
        <v>0</v>
      </c>
      <c r="AA93" s="393">
        <f t="shared" si="3"/>
        <v>0</v>
      </c>
      <c r="AB93" s="393">
        <f t="shared" si="3"/>
        <v>0</v>
      </c>
      <c r="AC93" s="393">
        <f t="shared" si="3"/>
        <v>-0.53791999999999995</v>
      </c>
      <c r="AD93" s="394"/>
      <c r="AE93" s="334"/>
    </row>
    <row r="94" spans="1:31" x14ac:dyDescent="0.2">
      <c r="A94" s="320" t="str">
        <f>IFERROR(VLOOKUP(B94,mapping_one_neo!A:B,2,FALSE),"")</f>
        <v/>
      </c>
      <c r="J94" s="335">
        <v>0</v>
      </c>
      <c r="M94" s="335">
        <v>0</v>
      </c>
      <c r="S94" s="349"/>
      <c r="T94" s="346"/>
      <c r="U94" s="351"/>
      <c r="V94" s="351"/>
      <c r="W94" s="351"/>
      <c r="X94" s="351"/>
      <c r="Y94" s="358"/>
      <c r="Z94" s="358"/>
      <c r="AA94" s="358"/>
      <c r="AB94" s="358"/>
      <c r="AC94" s="358"/>
      <c r="AD94" s="350"/>
    </row>
    <row r="95" spans="1:31" x14ac:dyDescent="0.2">
      <c r="A95" s="320">
        <f>IFERROR(VLOOKUP(B95,mapping_one_neo!A:B,2,FALSE),"")</f>
        <v>0</v>
      </c>
      <c r="B95" s="387" t="s">
        <v>68</v>
      </c>
      <c r="J95" s="335">
        <v>0</v>
      </c>
      <c r="M95" s="335">
        <v>0</v>
      </c>
      <c r="S95" s="349"/>
      <c r="T95" s="346"/>
      <c r="U95" s="351"/>
      <c r="V95" s="351"/>
      <c r="W95" s="351"/>
      <c r="X95" s="351"/>
      <c r="Y95" s="358"/>
      <c r="Z95" s="358"/>
      <c r="AA95" s="358"/>
      <c r="AB95" s="358"/>
      <c r="AC95" s="358"/>
      <c r="AD95" s="350"/>
    </row>
    <row r="96" spans="1:31" s="352" customFormat="1" x14ac:dyDescent="0.2">
      <c r="A96" s="320" t="str">
        <f>IFERROR(VLOOKUP(B96,mapping_one_neo!A:B,2,FALSE),"")</f>
        <v>Research costs</v>
      </c>
      <c r="B96" s="388" t="s">
        <v>753</v>
      </c>
      <c r="C96" s="353" t="s">
        <v>154</v>
      </c>
      <c r="E96" s="356">
        <v>-236.99979333333306</v>
      </c>
      <c r="G96" s="419">
        <v>-17.916666666666668</v>
      </c>
      <c r="H96" s="419">
        <v>-18.916780000000003</v>
      </c>
      <c r="I96" s="419">
        <v>-19.405189999999997</v>
      </c>
      <c r="J96" s="419">
        <v>-20.084492592592561</v>
      </c>
      <c r="K96" s="419">
        <v>-20.084492592592554</v>
      </c>
      <c r="L96" s="419">
        <v>-16.85770481481488</v>
      </c>
      <c r="M96" s="419">
        <v>-23.311487037036901</v>
      </c>
      <c r="N96" s="419">
        <v>-20.084595925925889</v>
      </c>
      <c r="O96" s="419">
        <v>-20.084595925925889</v>
      </c>
      <c r="P96" s="419">
        <v>-20.084595925925889</v>
      </c>
      <c r="Q96" s="419">
        <v>-20.084595925925889</v>
      </c>
      <c r="R96" s="419">
        <v>-20.084595925925889</v>
      </c>
      <c r="S96" s="345"/>
      <c r="T96" s="361"/>
      <c r="U96" s="397">
        <v>-22.91686</v>
      </c>
      <c r="V96" s="362"/>
      <c r="W96" s="362"/>
      <c r="X96" s="351">
        <v>1.9333333333193536E-4</v>
      </c>
      <c r="Y96" s="363">
        <v>-22.916666666666668</v>
      </c>
      <c r="Z96" s="363"/>
      <c r="AA96" s="363"/>
      <c r="AB96" s="363"/>
      <c r="AC96" s="363">
        <v>-22.916666666666668</v>
      </c>
      <c r="AD96" s="355"/>
      <c r="AE96" s="334"/>
    </row>
    <row r="97" spans="1:31" s="352" customFormat="1" x14ac:dyDescent="0.2">
      <c r="A97" s="320" t="str">
        <f>IFERROR(VLOOKUP(B97,mapping_one_neo!A:B,2,FALSE),"")</f>
        <v>Other commercial costs</v>
      </c>
      <c r="B97" s="388" t="s">
        <v>754</v>
      </c>
      <c r="C97" s="353">
        <v>607178</v>
      </c>
      <c r="E97" s="356">
        <v>-57</v>
      </c>
      <c r="G97" s="419">
        <v>-4.75</v>
      </c>
      <c r="H97" s="419">
        <v>-4.75</v>
      </c>
      <c r="I97" s="419">
        <v>-4.75</v>
      </c>
      <c r="J97" s="419">
        <v>-4.75</v>
      </c>
      <c r="K97" s="419">
        <v>-4.75</v>
      </c>
      <c r="L97" s="419">
        <v>-4.0189999999999984</v>
      </c>
      <c r="M97" s="419">
        <v>-4.75</v>
      </c>
      <c r="N97" s="419">
        <v>-4.75</v>
      </c>
      <c r="O97" s="419">
        <v>-4.75</v>
      </c>
      <c r="P97" s="419">
        <v>-4.75</v>
      </c>
      <c r="Q97" s="419">
        <v>-4.75</v>
      </c>
      <c r="R97" s="419">
        <v>-5.4809999999999999</v>
      </c>
      <c r="S97" s="345" t="s">
        <v>134</v>
      </c>
      <c r="T97" s="361"/>
      <c r="U97" s="397">
        <v>-5.1669999999999998</v>
      </c>
      <c r="V97" s="362"/>
      <c r="W97" s="362"/>
      <c r="X97" s="362"/>
      <c r="Y97" s="363">
        <v>-5.1669999999999998</v>
      </c>
      <c r="Z97" s="363"/>
      <c r="AA97" s="363"/>
      <c r="AB97" s="363"/>
      <c r="AC97" s="363">
        <v>-5.1669999999999998</v>
      </c>
      <c r="AD97" s="355"/>
      <c r="AE97" s="334"/>
    </row>
    <row r="98" spans="1:31" s="387" customFormat="1" x14ac:dyDescent="0.2">
      <c r="A98" s="320">
        <f>IFERROR(VLOOKUP(B98,mapping_one_neo!A:B,2,FALSE),"")</f>
        <v>0</v>
      </c>
      <c r="B98" s="387" t="s">
        <v>69</v>
      </c>
      <c r="C98" s="392"/>
      <c r="E98" s="393">
        <v>-293.99979333333306</v>
      </c>
      <c r="G98" s="393">
        <v>-22.666666666666668</v>
      </c>
      <c r="H98" s="393">
        <v>-23.666780000000003</v>
      </c>
      <c r="I98" s="393">
        <v>-24.155189999999997</v>
      </c>
      <c r="J98" s="393">
        <v>-24.834492592592561</v>
      </c>
      <c r="K98" s="393">
        <v>-24.834492592592554</v>
      </c>
      <c r="L98" s="393">
        <v>-20.876704814814879</v>
      </c>
      <c r="M98" s="393">
        <v>-28.061487037036901</v>
      </c>
      <c r="N98" s="393">
        <v>-24.834595925925889</v>
      </c>
      <c r="O98" s="393">
        <v>-24.834595925925889</v>
      </c>
      <c r="P98" s="393">
        <v>-24.834595925925889</v>
      </c>
      <c r="Q98" s="393">
        <v>-24.834595925925889</v>
      </c>
      <c r="R98" s="393">
        <v>-25.565595925925891</v>
      </c>
      <c r="S98" s="349"/>
      <c r="T98" s="346"/>
      <c r="U98" s="393">
        <f>SUM(U96:U97)</f>
        <v>-28.083860000000001</v>
      </c>
      <c r="V98" s="393">
        <f t="shared" ref="V98:AC98" si="4">SUM(V96:V97)</f>
        <v>0</v>
      </c>
      <c r="W98" s="393">
        <f t="shared" si="4"/>
        <v>0</v>
      </c>
      <c r="X98" s="393">
        <f t="shared" si="4"/>
        <v>1.9333333333193536E-4</v>
      </c>
      <c r="Y98" s="393">
        <f t="shared" si="4"/>
        <v>-28.083666666666666</v>
      </c>
      <c r="Z98" s="393">
        <f t="shared" si="4"/>
        <v>0</v>
      </c>
      <c r="AA98" s="393">
        <f t="shared" si="4"/>
        <v>0</v>
      </c>
      <c r="AB98" s="393">
        <f t="shared" si="4"/>
        <v>0</v>
      </c>
      <c r="AC98" s="393">
        <f t="shared" si="4"/>
        <v>-28.083666666666666</v>
      </c>
      <c r="AD98" s="394"/>
      <c r="AE98" s="334"/>
    </row>
    <row r="99" spans="1:31" x14ac:dyDescent="0.2">
      <c r="A99" s="320" t="str">
        <f>IFERROR(VLOOKUP(B99,mapping_one_neo!A:B,2,FALSE),"")</f>
        <v/>
      </c>
      <c r="G99" s="336"/>
      <c r="H99" s="336"/>
      <c r="I99" s="336"/>
      <c r="J99" s="336">
        <v>0</v>
      </c>
      <c r="K99" s="336"/>
      <c r="L99" s="336"/>
      <c r="M99" s="336">
        <v>0</v>
      </c>
      <c r="N99" s="336"/>
      <c r="O99" s="336"/>
      <c r="P99" s="336"/>
      <c r="Q99" s="336"/>
      <c r="R99" s="336"/>
      <c r="S99" s="349"/>
      <c r="T99" s="346"/>
      <c r="U99" s="351"/>
      <c r="V99" s="351"/>
      <c r="W99" s="351"/>
      <c r="X99" s="351"/>
      <c r="Y99" s="358"/>
      <c r="Z99" s="358"/>
      <c r="AA99" s="358"/>
      <c r="AB99" s="358"/>
      <c r="AC99" s="358"/>
      <c r="AD99" s="350"/>
    </row>
    <row r="100" spans="1:31" x14ac:dyDescent="0.2">
      <c r="A100" s="320">
        <f>IFERROR(VLOOKUP(B100,mapping_one_neo!A:B,2,FALSE),"")</f>
        <v>0</v>
      </c>
      <c r="B100" s="334" t="s">
        <v>70</v>
      </c>
      <c r="G100" s="336"/>
      <c r="H100" s="336"/>
      <c r="I100" s="336"/>
      <c r="J100" s="336"/>
      <c r="K100" s="336"/>
      <c r="L100" s="336"/>
      <c r="M100" s="336"/>
      <c r="N100" s="336"/>
      <c r="O100" s="336"/>
      <c r="P100" s="336"/>
      <c r="Q100" s="336"/>
      <c r="R100" s="336"/>
      <c r="S100" s="349"/>
      <c r="T100" s="346"/>
      <c r="U100" s="351"/>
      <c r="V100" s="351"/>
      <c r="W100" s="351"/>
      <c r="X100" s="351"/>
      <c r="Y100" s="358"/>
      <c r="Z100" s="358"/>
      <c r="AA100" s="358"/>
      <c r="AB100" s="358"/>
      <c r="AC100" s="363">
        <v>0</v>
      </c>
      <c r="AD100" s="350"/>
    </row>
    <row r="101" spans="1:31" x14ac:dyDescent="0.2">
      <c r="A101" s="320" t="str">
        <f>IFERROR(VLOOKUP(B101,mapping_one_neo!A:B,2,FALSE),"")</f>
        <v/>
      </c>
      <c r="G101" s="336"/>
      <c r="H101" s="336"/>
      <c r="I101" s="336"/>
      <c r="J101" s="336"/>
      <c r="K101" s="336"/>
      <c r="L101" s="336"/>
      <c r="M101" s="336"/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8"/>
      <c r="AD101" s="350"/>
    </row>
    <row r="102" spans="1:31" x14ac:dyDescent="0.2">
      <c r="A102" s="320">
        <f>IFERROR(VLOOKUP(B102,mapping_one_neo!A:B,2,FALSE),"")</f>
        <v>0</v>
      </c>
      <c r="B102" s="352" t="s">
        <v>71</v>
      </c>
      <c r="C102" s="353"/>
      <c r="E102" s="354">
        <v>-333.60977333333301</v>
      </c>
      <c r="G102" s="354">
        <v>-24.505226666666669</v>
      </c>
      <c r="H102" s="354">
        <v>-25.309840000000001</v>
      </c>
      <c r="I102" s="354">
        <v>-27.993859999999998</v>
      </c>
      <c r="J102" s="354">
        <v>-26.810882592592559</v>
      </c>
      <c r="K102" s="354">
        <v>-26.293072592592555</v>
      </c>
      <c r="L102" s="354">
        <v>-24.994934814814879</v>
      </c>
      <c r="M102" s="354">
        <v>-34.59171995370356</v>
      </c>
      <c r="N102" s="354">
        <v>-28.329202592592555</v>
      </c>
      <c r="O102" s="354">
        <v>-27.637508530092557</v>
      </c>
      <c r="P102" s="354">
        <v>-27.637508530092557</v>
      </c>
      <c r="Q102" s="354">
        <v>-27.637508530092557</v>
      </c>
      <c r="R102" s="354">
        <v>-31.868508530092559</v>
      </c>
      <c r="S102" s="349"/>
      <c r="T102" s="346"/>
      <c r="U102" s="354">
        <f>U93+U98</f>
        <v>-28.621780000000001</v>
      </c>
      <c r="V102" s="354">
        <f t="shared" ref="V102:AC102" si="5">V93+V98</f>
        <v>0</v>
      </c>
      <c r="W102" s="354">
        <f t="shared" si="5"/>
        <v>0</v>
      </c>
      <c r="X102" s="354">
        <f t="shared" si="5"/>
        <v>1.9333333333193536E-4</v>
      </c>
      <c r="Y102" s="354">
        <f t="shared" si="5"/>
        <v>-28.621586666666666</v>
      </c>
      <c r="Z102" s="354">
        <f t="shared" si="5"/>
        <v>0</v>
      </c>
      <c r="AA102" s="354">
        <f t="shared" si="5"/>
        <v>0</v>
      </c>
      <c r="AB102" s="354">
        <f t="shared" si="5"/>
        <v>0</v>
      </c>
      <c r="AC102" s="354">
        <f t="shared" si="5"/>
        <v>-28.621586666666666</v>
      </c>
      <c r="AD102" s="350"/>
    </row>
    <row r="103" spans="1:31" x14ac:dyDescent="0.2">
      <c r="A103" s="320" t="str">
        <f>IFERROR(VLOOKUP(B103,mapping_one_neo!A:B,2,FALSE),"")</f>
        <v/>
      </c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8"/>
      <c r="AD103" s="350"/>
    </row>
    <row r="104" spans="1:31" x14ac:dyDescent="0.2">
      <c r="A104" s="320">
        <f>IFERROR(VLOOKUP(B104,mapping_one_neo!A:B,2,FALSE),"")</f>
        <v>0</v>
      </c>
      <c r="B104" s="352" t="s">
        <v>72</v>
      </c>
      <c r="S104" s="349"/>
      <c r="T104" s="346"/>
      <c r="U104" s="351"/>
      <c r="V104" s="351"/>
      <c r="W104" s="351"/>
      <c r="X104" s="351"/>
      <c r="Y104" s="358"/>
      <c r="Z104" s="358"/>
      <c r="AA104" s="358"/>
      <c r="AB104" s="358"/>
      <c r="AC104" s="358"/>
      <c r="AD104" s="350"/>
    </row>
    <row r="105" spans="1:31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8"/>
      <c r="AD105" s="350"/>
    </row>
    <row r="106" spans="1:31" x14ac:dyDescent="0.2">
      <c r="A106" s="320">
        <f>IFERROR(VLOOKUP(B106,mapping_one_neo!A:B,2,FALSE),"")</f>
        <v>0</v>
      </c>
      <c r="B106" s="387" t="s">
        <v>73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8"/>
      <c r="AD106" s="350"/>
    </row>
    <row r="107" spans="1:31" s="352" customFormat="1" x14ac:dyDescent="0.2">
      <c r="A107" s="320" t="str">
        <f>IFERROR(VLOOKUP(B107,mapping_one_neo!A:B,2,FALSE),"")</f>
        <v>Stationery/art &amp; materials AU=0.INP</v>
      </c>
      <c r="B107" s="388" t="s">
        <v>74</v>
      </c>
      <c r="C107" s="342" t="s">
        <v>791</v>
      </c>
      <c r="E107" s="356">
        <v>-2.4363999999999999</v>
      </c>
      <c r="G107" s="419">
        <v>-5.7919999999999999E-2</v>
      </c>
      <c r="H107" s="419">
        <v>-7.1679999999999994E-2</v>
      </c>
      <c r="I107" s="419">
        <v>-6.5049999999999997E-2</v>
      </c>
      <c r="J107" s="419">
        <v>-0.6</v>
      </c>
      <c r="K107" s="419">
        <v>-5.8430000000000093E-2</v>
      </c>
      <c r="L107" s="419">
        <v>-8.3319999999999839E-2</v>
      </c>
      <c r="M107" s="419">
        <v>-0.5</v>
      </c>
      <c r="N107" s="419">
        <v>0</v>
      </c>
      <c r="O107" s="419">
        <v>-0.5</v>
      </c>
      <c r="P107" s="419">
        <v>0</v>
      </c>
      <c r="Q107" s="419">
        <v>0</v>
      </c>
      <c r="R107" s="419">
        <v>-0.5</v>
      </c>
      <c r="S107" s="345"/>
      <c r="T107" s="361"/>
      <c r="U107" s="351">
        <v>-1.2499999999999983E-2</v>
      </c>
      <c r="V107" s="351"/>
      <c r="W107" s="351"/>
      <c r="X107" s="351">
        <v>0</v>
      </c>
      <c r="Y107" s="363">
        <v>-1.2499999999999983E-2</v>
      </c>
      <c r="Z107" s="363"/>
      <c r="AA107" s="363"/>
      <c r="AB107" s="363"/>
      <c r="AC107" s="363">
        <v>-1.2499999999999983E-2</v>
      </c>
      <c r="AD107" s="355"/>
      <c r="AE107" s="334"/>
    </row>
    <row r="108" spans="1:31" s="352" customFormat="1" x14ac:dyDescent="0.2">
      <c r="A108" s="320" t="str">
        <f>IFERROR(VLOOKUP(B108,mapping_one_neo!A:B,2,FALSE),"")</f>
        <v>Stationery/art &amp; materials AU=0.INP</v>
      </c>
      <c r="B108" s="388" t="s">
        <v>75</v>
      </c>
      <c r="C108" s="342" t="s">
        <v>155</v>
      </c>
      <c r="E108" s="356">
        <v>-1.5</v>
      </c>
      <c r="G108" s="419">
        <v>-0.125</v>
      </c>
      <c r="H108" s="419">
        <v>-0.125</v>
      </c>
      <c r="I108" s="419">
        <v>-0.125</v>
      </c>
      <c r="J108" s="419">
        <v>-0.125</v>
      </c>
      <c r="K108" s="419">
        <v>-0.125</v>
      </c>
      <c r="L108" s="419">
        <v>-0.125</v>
      </c>
      <c r="M108" s="419">
        <v>-0.125</v>
      </c>
      <c r="N108" s="419">
        <v>-0.125</v>
      </c>
      <c r="O108" s="419">
        <v>-0.125</v>
      </c>
      <c r="P108" s="419">
        <v>-0.125</v>
      </c>
      <c r="Q108" s="419">
        <v>-0.125</v>
      </c>
      <c r="R108" s="419">
        <v>-0.125</v>
      </c>
      <c r="S108" s="389" t="s">
        <v>134</v>
      </c>
      <c r="T108" s="361"/>
      <c r="U108" s="351">
        <v>-0.16700000000000001</v>
      </c>
      <c r="V108" s="351"/>
      <c r="W108" s="351"/>
      <c r="X108" s="351"/>
      <c r="Y108" s="363">
        <v>-0.16700000000000001</v>
      </c>
      <c r="Z108" s="363"/>
      <c r="AA108" s="363"/>
      <c r="AB108" s="363"/>
      <c r="AC108" s="363">
        <v>-0.16700000000000001</v>
      </c>
      <c r="AD108" s="355"/>
      <c r="AE108" s="334"/>
    </row>
    <row r="109" spans="1:31" s="352" customFormat="1" x14ac:dyDescent="0.2">
      <c r="A109" s="320" t="str">
        <f>IFERROR(VLOOKUP(B109,mapping_one_neo!A:B,2,FALSE),"")</f>
        <v>Stationery/art &amp; materials AU=0.INP</v>
      </c>
      <c r="B109" s="388" t="s">
        <v>76</v>
      </c>
      <c r="C109" s="342" t="s">
        <v>156</v>
      </c>
      <c r="E109" s="356">
        <v>-1.0475000000000001</v>
      </c>
      <c r="G109" s="419">
        <v>0</v>
      </c>
      <c r="H109" s="419">
        <v>0</v>
      </c>
      <c r="I109" s="419">
        <v>0</v>
      </c>
      <c r="J109" s="419">
        <v>0</v>
      </c>
      <c r="K109" s="419">
        <v>0</v>
      </c>
      <c r="L109" s="419">
        <v>-4.7500000000000001E-2</v>
      </c>
      <c r="M109" s="419">
        <v>-1</v>
      </c>
      <c r="N109" s="419">
        <v>0</v>
      </c>
      <c r="O109" s="419">
        <v>0</v>
      </c>
      <c r="P109" s="419">
        <v>0</v>
      </c>
      <c r="Q109" s="419">
        <v>0</v>
      </c>
      <c r="R109" s="419">
        <v>0</v>
      </c>
      <c r="S109" s="345"/>
      <c r="T109" s="361"/>
      <c r="U109" s="351">
        <v>0</v>
      </c>
      <c r="V109" s="351"/>
      <c r="W109" s="351"/>
      <c r="X109" s="351"/>
      <c r="Y109" s="363">
        <v>0</v>
      </c>
      <c r="Z109" s="363"/>
      <c r="AA109" s="363"/>
      <c r="AB109" s="363"/>
      <c r="AC109" s="363">
        <v>0</v>
      </c>
      <c r="AD109" s="355"/>
      <c r="AE109" s="334"/>
    </row>
    <row r="110" spans="1:31" s="387" customFormat="1" x14ac:dyDescent="0.2">
      <c r="A110" s="320">
        <f>IFERROR(VLOOKUP(B110,mapping_one_neo!A:B,2,FALSE),"")</f>
        <v>0</v>
      </c>
      <c r="B110" s="387" t="s">
        <v>77</v>
      </c>
      <c r="C110" s="392"/>
      <c r="E110" s="393">
        <v>-4.9839000000000002</v>
      </c>
      <c r="G110" s="393">
        <v>-0.18292</v>
      </c>
      <c r="H110" s="393">
        <v>-0.19667999999999999</v>
      </c>
      <c r="I110" s="393">
        <v>-0.19005</v>
      </c>
      <c r="J110" s="393">
        <v>-0.72499999999999998</v>
      </c>
      <c r="K110" s="393">
        <v>-0.18343000000000009</v>
      </c>
      <c r="L110" s="393">
        <v>-0.25581999999999983</v>
      </c>
      <c r="M110" s="393">
        <v>-1.625</v>
      </c>
      <c r="N110" s="393">
        <v>-0.125</v>
      </c>
      <c r="O110" s="393">
        <v>-0.625</v>
      </c>
      <c r="P110" s="393">
        <v>-0.125</v>
      </c>
      <c r="Q110" s="393">
        <v>-0.125</v>
      </c>
      <c r="R110" s="393">
        <v>-0.625</v>
      </c>
      <c r="S110" s="349"/>
      <c r="T110" s="346"/>
      <c r="U110" s="393">
        <f>SUM(U107:U109)</f>
        <v>-0.17949999999999999</v>
      </c>
      <c r="V110" s="393">
        <f t="shared" ref="V110:AC110" si="6">SUM(V107:V109)</f>
        <v>0</v>
      </c>
      <c r="W110" s="393">
        <f t="shared" si="6"/>
        <v>0</v>
      </c>
      <c r="X110" s="393">
        <f t="shared" si="6"/>
        <v>0</v>
      </c>
      <c r="Y110" s="393">
        <f t="shared" si="6"/>
        <v>-0.17949999999999999</v>
      </c>
      <c r="Z110" s="393">
        <f t="shared" si="6"/>
        <v>0</v>
      </c>
      <c r="AA110" s="393">
        <f t="shared" si="6"/>
        <v>0</v>
      </c>
      <c r="AB110" s="393">
        <f t="shared" si="6"/>
        <v>0</v>
      </c>
      <c r="AC110" s="393">
        <f t="shared" si="6"/>
        <v>-0.17949999999999999</v>
      </c>
      <c r="AD110" s="394"/>
      <c r="AE110" s="334"/>
    </row>
    <row r="111" spans="1:31" s="387" customFormat="1" x14ac:dyDescent="0.2">
      <c r="A111" s="320" t="str">
        <f>IFERROR(VLOOKUP(B111,mapping_one_neo!A:B,2,FALSE),"")</f>
        <v/>
      </c>
      <c r="C111" s="392"/>
      <c r="E111" s="397"/>
      <c r="G111" s="397"/>
      <c r="H111" s="397"/>
      <c r="I111" s="397"/>
      <c r="J111" s="397"/>
      <c r="K111" s="397"/>
      <c r="L111" s="397"/>
      <c r="M111" s="397"/>
      <c r="N111" s="397"/>
      <c r="O111" s="397"/>
      <c r="P111" s="397"/>
      <c r="Q111" s="397"/>
      <c r="R111" s="397"/>
      <c r="S111" s="349"/>
      <c r="T111" s="346"/>
      <c r="U111" s="397"/>
      <c r="V111" s="397"/>
      <c r="W111" s="397"/>
      <c r="X111" s="397"/>
      <c r="Y111" s="399"/>
      <c r="Z111" s="399"/>
      <c r="AA111" s="399"/>
      <c r="AB111" s="399"/>
      <c r="AC111" s="399"/>
      <c r="AD111" s="394"/>
      <c r="AE111" s="334"/>
    </row>
    <row r="112" spans="1:31" x14ac:dyDescent="0.2">
      <c r="A112" s="320">
        <f>IFERROR(VLOOKUP(B112,mapping_one_neo!A:B,2,FALSE),"")</f>
        <v>0</v>
      </c>
      <c r="B112" s="387" t="s">
        <v>78</v>
      </c>
      <c r="G112" s="398"/>
      <c r="H112" s="398"/>
      <c r="I112" s="398"/>
      <c r="J112" s="398"/>
      <c r="K112" s="398"/>
      <c r="L112" s="398"/>
      <c r="M112" s="398"/>
      <c r="N112" s="398"/>
      <c r="O112" s="398"/>
      <c r="P112" s="398"/>
      <c r="Q112" s="398"/>
      <c r="R112" s="398"/>
      <c r="S112" s="349"/>
      <c r="T112" s="346"/>
      <c r="U112" s="351"/>
      <c r="V112" s="351"/>
      <c r="W112" s="351"/>
      <c r="X112" s="351"/>
      <c r="Y112" s="358"/>
      <c r="Z112" s="358"/>
      <c r="AA112" s="358"/>
      <c r="AB112" s="358"/>
      <c r="AC112" s="358"/>
      <c r="AD112" s="350"/>
    </row>
    <row r="113" spans="1:31" s="352" customFormat="1" x14ac:dyDescent="0.2">
      <c r="A113" s="320" t="str">
        <f>IFERROR(VLOOKUP(B113,mapping_one_neo!A:B,2,FALSE),"")</f>
        <v>Postage &amp; courier</v>
      </c>
      <c r="B113" s="388" t="s">
        <v>79</v>
      </c>
      <c r="C113" s="353">
        <v>624210</v>
      </c>
      <c r="E113" s="356">
        <v>-0.78059999999999996</v>
      </c>
      <c r="G113" s="419">
        <v>0</v>
      </c>
      <c r="H113" s="419">
        <v>-2.58E-2</v>
      </c>
      <c r="I113" s="419">
        <v>0</v>
      </c>
      <c r="J113" s="419">
        <v>0</v>
      </c>
      <c r="K113" s="419">
        <v>-0.15480000000000002</v>
      </c>
      <c r="L113" s="419">
        <v>0</v>
      </c>
      <c r="M113" s="419">
        <v>-0.2</v>
      </c>
      <c r="N113" s="419">
        <v>0</v>
      </c>
      <c r="O113" s="419">
        <v>-0.2</v>
      </c>
      <c r="P113" s="419">
        <v>0</v>
      </c>
      <c r="Q113" s="419">
        <v>0</v>
      </c>
      <c r="R113" s="419">
        <v>-0.2</v>
      </c>
      <c r="S113" s="345"/>
      <c r="T113" s="361"/>
      <c r="U113" s="351"/>
      <c r="V113" s="351"/>
      <c r="W113" s="351"/>
      <c r="X113" s="351"/>
      <c r="Y113" s="363"/>
      <c r="Z113" s="363"/>
      <c r="AA113" s="363"/>
      <c r="AB113" s="363"/>
      <c r="AC113" s="363"/>
      <c r="AD113" s="355"/>
      <c r="AE113" s="334"/>
    </row>
    <row r="114" spans="1:31" s="352" customFormat="1" x14ac:dyDescent="0.2">
      <c r="A114" s="320" t="str">
        <f>IFERROR(VLOOKUP(B114,mapping_one_neo!A:B,2,FALSE),"")</f>
        <v>Postage &amp; courier</v>
      </c>
      <c r="B114" s="388" t="s">
        <v>80</v>
      </c>
      <c r="C114" s="353">
        <v>626000</v>
      </c>
      <c r="E114" s="356">
        <v>-1.748021999999998</v>
      </c>
      <c r="G114" s="419">
        <v>-8.0930000000000002E-2</v>
      </c>
      <c r="H114" s="419">
        <v>-0.25918000000000002</v>
      </c>
      <c r="I114" s="419">
        <v>-0.13499999999999995</v>
      </c>
      <c r="J114" s="419">
        <v>-0.16423000000000004</v>
      </c>
      <c r="K114" s="419">
        <v>-6.9999999999999951E-2</v>
      </c>
      <c r="L114" s="419">
        <v>-9.4189999999999996E-2</v>
      </c>
      <c r="M114" s="419">
        <v>-0.15741533333333299</v>
      </c>
      <c r="N114" s="419">
        <v>-0.15741533333333299</v>
      </c>
      <c r="O114" s="419">
        <v>-0.15741533333333299</v>
      </c>
      <c r="P114" s="419">
        <v>-0.15741533333333299</v>
      </c>
      <c r="Q114" s="419">
        <v>-0.15741533333333299</v>
      </c>
      <c r="R114" s="419">
        <v>-0.15741533333333299</v>
      </c>
      <c r="S114" s="345"/>
      <c r="T114" s="361"/>
      <c r="U114" s="351">
        <v>-0.13</v>
      </c>
      <c r="V114" s="351"/>
      <c r="W114" s="351"/>
      <c r="X114" s="351"/>
      <c r="Y114" s="363">
        <v>-0.13</v>
      </c>
      <c r="Z114" s="363"/>
      <c r="AA114" s="363"/>
      <c r="AB114" s="363"/>
      <c r="AC114" s="363">
        <v>-0.13</v>
      </c>
      <c r="AD114" s="355"/>
      <c r="AE114" s="334"/>
    </row>
    <row r="115" spans="1:31" s="387" customFormat="1" x14ac:dyDescent="0.2">
      <c r="A115" s="320">
        <f>IFERROR(VLOOKUP(B115,mapping_one_neo!A:B,2,FALSE),"")</f>
        <v>0</v>
      </c>
      <c r="B115" s="387" t="s">
        <v>81</v>
      </c>
      <c r="C115" s="392"/>
      <c r="E115" s="393">
        <v>-2.5286219999999977</v>
      </c>
      <c r="G115" s="393">
        <v>-8.0930000000000002E-2</v>
      </c>
      <c r="H115" s="393">
        <v>-0.28498000000000001</v>
      </c>
      <c r="I115" s="393">
        <v>-0.13499999999999995</v>
      </c>
      <c r="J115" s="393">
        <v>-0.16423000000000004</v>
      </c>
      <c r="K115" s="393">
        <v>-0.22479999999999997</v>
      </c>
      <c r="L115" s="393">
        <v>-9.4189999999999996E-2</v>
      </c>
      <c r="M115" s="393">
        <v>-0.35741533333333297</v>
      </c>
      <c r="N115" s="393">
        <v>-0.15741533333333299</v>
      </c>
      <c r="O115" s="393">
        <v>-0.35741533333333297</v>
      </c>
      <c r="P115" s="393">
        <v>-0.15741533333333299</v>
      </c>
      <c r="Q115" s="393">
        <v>-0.15741533333333299</v>
      </c>
      <c r="R115" s="393">
        <v>-0.35741533333333297</v>
      </c>
      <c r="S115" s="345"/>
      <c r="T115" s="346"/>
      <c r="U115" s="424">
        <f>SUM(U114)</f>
        <v>-0.13</v>
      </c>
      <c r="V115" s="424">
        <f t="shared" ref="V115:AC115" si="7">SUM(V114)</f>
        <v>0</v>
      </c>
      <c r="W115" s="424">
        <f t="shared" si="7"/>
        <v>0</v>
      </c>
      <c r="X115" s="424">
        <f t="shared" si="7"/>
        <v>0</v>
      </c>
      <c r="Y115" s="424">
        <f t="shared" si="7"/>
        <v>-0.13</v>
      </c>
      <c r="Z115" s="424">
        <f t="shared" si="7"/>
        <v>0</v>
      </c>
      <c r="AA115" s="424">
        <f t="shared" si="7"/>
        <v>0</v>
      </c>
      <c r="AB115" s="424">
        <f t="shared" si="7"/>
        <v>0</v>
      </c>
      <c r="AC115" s="424">
        <f t="shared" si="7"/>
        <v>-0.13</v>
      </c>
      <c r="AD115" s="394"/>
      <c r="AE115" s="334"/>
    </row>
    <row r="116" spans="1:31" s="387" customFormat="1" x14ac:dyDescent="0.2">
      <c r="A116" s="320" t="str">
        <f>IFERROR(VLOOKUP(B116,mapping_one_neo!A:B,2,FALSE),"")</f>
        <v/>
      </c>
      <c r="C116" s="392"/>
      <c r="E116" s="397"/>
      <c r="G116" s="397"/>
      <c r="H116" s="397"/>
      <c r="I116" s="397"/>
      <c r="J116" s="397"/>
      <c r="K116" s="397"/>
      <c r="L116" s="397"/>
      <c r="M116" s="397"/>
      <c r="N116" s="397"/>
      <c r="O116" s="397"/>
      <c r="P116" s="397"/>
      <c r="Q116" s="397"/>
      <c r="R116" s="397"/>
      <c r="S116" s="349"/>
      <c r="T116" s="346"/>
      <c r="U116" s="397"/>
      <c r="V116" s="397"/>
      <c r="W116" s="397"/>
      <c r="X116" s="397"/>
      <c r="Y116" s="399"/>
      <c r="Z116" s="399"/>
      <c r="AA116" s="399"/>
      <c r="AB116" s="399"/>
      <c r="AC116" s="399"/>
      <c r="AD116" s="394"/>
      <c r="AE116" s="334"/>
    </row>
    <row r="117" spans="1:31" s="387" customFormat="1" x14ac:dyDescent="0.2">
      <c r="A117" s="320" t="str">
        <f>IFERROR(VLOOKUP(B117,mapping_one_neo!A:B,2,FALSE),"")</f>
        <v/>
      </c>
      <c r="B117" s="387" t="s">
        <v>777</v>
      </c>
      <c r="C117" s="392"/>
      <c r="E117" s="397"/>
      <c r="G117" s="397"/>
      <c r="H117" s="397"/>
      <c r="I117" s="397"/>
      <c r="J117" s="397"/>
      <c r="K117" s="397"/>
      <c r="L117" s="397"/>
      <c r="M117" s="397"/>
      <c r="N117" s="397"/>
      <c r="O117" s="397"/>
      <c r="P117" s="397"/>
      <c r="Q117" s="397"/>
      <c r="R117" s="397"/>
      <c r="S117" s="349"/>
      <c r="T117" s="346"/>
      <c r="U117" s="397"/>
      <c r="V117" s="397"/>
      <c r="W117" s="397"/>
      <c r="X117" s="397"/>
      <c r="Y117" s="399"/>
      <c r="Z117" s="399"/>
      <c r="AA117" s="399"/>
      <c r="AB117" s="399"/>
      <c r="AC117" s="399"/>
      <c r="AD117" s="394"/>
      <c r="AE117" s="334"/>
    </row>
    <row r="118" spans="1:31" s="387" customFormat="1" x14ac:dyDescent="0.2">
      <c r="A118" s="320" t="str">
        <f>IFERROR(VLOOKUP(B118,mapping_one_neo!A:B,2,FALSE),"")</f>
        <v>Other office costs AU=0.INP</v>
      </c>
      <c r="B118" s="352" t="s">
        <v>767</v>
      </c>
      <c r="C118" s="353">
        <v>615600</v>
      </c>
      <c r="E118" s="356">
        <v>-1.98</v>
      </c>
      <c r="G118" s="397"/>
      <c r="H118" s="397"/>
      <c r="I118" s="397"/>
      <c r="J118" s="397"/>
      <c r="K118" s="397">
        <v>-1.98</v>
      </c>
      <c r="L118" s="397"/>
      <c r="M118" s="397"/>
      <c r="N118" s="397"/>
      <c r="O118" s="397"/>
      <c r="P118" s="397"/>
      <c r="Q118" s="397"/>
      <c r="R118" s="397"/>
      <c r="S118" s="349"/>
      <c r="T118" s="346"/>
      <c r="U118" s="351">
        <v>-0.58299999999999996</v>
      </c>
      <c r="V118" s="397"/>
      <c r="W118" s="397"/>
      <c r="X118" s="397"/>
      <c r="Y118" s="363">
        <v>-0.58299999999999996</v>
      </c>
      <c r="Z118" s="399"/>
      <c r="AA118" s="399"/>
      <c r="AB118" s="399"/>
      <c r="AC118" s="363">
        <v>-0.58299999999999996</v>
      </c>
      <c r="AD118" s="394"/>
      <c r="AE118" s="334"/>
    </row>
    <row r="119" spans="1:31" s="387" customFormat="1" x14ac:dyDescent="0.2">
      <c r="A119" s="320" t="str">
        <f>IFERROR(VLOOKUP(B119,mapping_one_neo!A:B,2,FALSE),"")</f>
        <v>Other office costs AU=0.INP</v>
      </c>
      <c r="B119" s="352" t="s">
        <v>778</v>
      </c>
      <c r="C119" s="353">
        <v>624211</v>
      </c>
      <c r="E119" s="356">
        <v>-0.98099999999999998</v>
      </c>
      <c r="G119" s="397"/>
      <c r="H119" s="397"/>
      <c r="I119" s="397"/>
      <c r="J119" s="397"/>
      <c r="K119" s="397">
        <v>-0.98099999999999998</v>
      </c>
      <c r="L119" s="397"/>
      <c r="M119" s="397"/>
      <c r="N119" s="397"/>
      <c r="O119" s="397"/>
      <c r="P119" s="397"/>
      <c r="Q119" s="397"/>
      <c r="R119" s="397"/>
      <c r="S119" s="349"/>
      <c r="T119" s="346"/>
      <c r="U119" s="351">
        <v>0</v>
      </c>
      <c r="V119" s="397"/>
      <c r="W119" s="397"/>
      <c r="X119" s="397"/>
      <c r="Y119" s="363">
        <v>0</v>
      </c>
      <c r="Z119" s="399"/>
      <c r="AA119" s="399"/>
      <c r="AB119" s="399"/>
      <c r="AC119" s="363">
        <v>0</v>
      </c>
      <c r="AD119" s="394"/>
      <c r="AE119" s="334"/>
    </row>
    <row r="120" spans="1:31" s="387" customFormat="1" x14ac:dyDescent="0.2">
      <c r="A120" s="320" t="str">
        <f>IFERROR(VLOOKUP(B120,mapping_one_neo!A:B,2,FALSE),"")</f>
        <v/>
      </c>
      <c r="B120" s="387" t="s">
        <v>779</v>
      </c>
      <c r="C120" s="392"/>
      <c r="E120" s="393">
        <v>-2.9609999999999999</v>
      </c>
      <c r="G120" s="393">
        <v>0</v>
      </c>
      <c r="H120" s="393">
        <v>0</v>
      </c>
      <c r="I120" s="393">
        <v>0</v>
      </c>
      <c r="J120" s="393">
        <v>0</v>
      </c>
      <c r="K120" s="393">
        <v>-2.9609999999999999</v>
      </c>
      <c r="L120" s="393">
        <v>0</v>
      </c>
      <c r="M120" s="393">
        <v>0</v>
      </c>
      <c r="N120" s="393">
        <v>0</v>
      </c>
      <c r="O120" s="393">
        <v>0</v>
      </c>
      <c r="P120" s="393">
        <v>0</v>
      </c>
      <c r="Q120" s="393">
        <v>0</v>
      </c>
      <c r="R120" s="393">
        <v>0</v>
      </c>
      <c r="S120" s="349"/>
      <c r="T120" s="346"/>
      <c r="U120" s="393">
        <f>SUM(U118:U119)</f>
        <v>-0.58299999999999996</v>
      </c>
      <c r="V120" s="393">
        <f t="shared" ref="V120:AC120" si="8">SUM(V118:V119)</f>
        <v>0</v>
      </c>
      <c r="W120" s="393">
        <f t="shared" si="8"/>
        <v>0</v>
      </c>
      <c r="X120" s="393">
        <f t="shared" si="8"/>
        <v>0</v>
      </c>
      <c r="Y120" s="393">
        <f t="shared" si="8"/>
        <v>-0.58299999999999996</v>
      </c>
      <c r="Z120" s="393">
        <f t="shared" si="8"/>
        <v>0</v>
      </c>
      <c r="AA120" s="393">
        <f t="shared" si="8"/>
        <v>0</v>
      </c>
      <c r="AB120" s="393">
        <f t="shared" si="8"/>
        <v>0</v>
      </c>
      <c r="AC120" s="393">
        <f t="shared" si="8"/>
        <v>-0.58299999999999996</v>
      </c>
      <c r="AD120" s="394"/>
      <c r="AE120" s="334"/>
    </row>
    <row r="121" spans="1:31" s="387" customFormat="1" x14ac:dyDescent="0.2">
      <c r="A121" s="320" t="str">
        <f>IFERROR(VLOOKUP(B121,mapping_one_neo!A:B,2,FALSE),"")</f>
        <v/>
      </c>
      <c r="C121" s="392"/>
      <c r="E121" s="397"/>
      <c r="G121" s="397"/>
      <c r="H121" s="397"/>
      <c r="I121" s="397"/>
      <c r="J121" s="397"/>
      <c r="K121" s="397"/>
      <c r="L121" s="397"/>
      <c r="M121" s="397"/>
      <c r="N121" s="397"/>
      <c r="O121" s="397"/>
      <c r="P121" s="397"/>
      <c r="Q121" s="397"/>
      <c r="R121" s="397"/>
      <c r="S121" s="349"/>
      <c r="T121" s="346"/>
      <c r="U121" s="397"/>
      <c r="V121" s="397"/>
      <c r="W121" s="397"/>
      <c r="X121" s="397"/>
      <c r="Y121" s="399"/>
      <c r="Z121" s="399"/>
      <c r="AA121" s="399"/>
      <c r="AB121" s="399"/>
      <c r="AC121" s="399"/>
      <c r="AD121" s="394"/>
      <c r="AE121" s="334"/>
    </row>
    <row r="122" spans="1:31" x14ac:dyDescent="0.2">
      <c r="A122" s="320">
        <f>IFERROR(VLOOKUP(B122,mapping_one_neo!A:B,2,FALSE),"")</f>
        <v>0</v>
      </c>
      <c r="B122" s="387" t="s">
        <v>82</v>
      </c>
      <c r="J122" s="335">
        <v>0</v>
      </c>
      <c r="M122" s="335">
        <v>0</v>
      </c>
      <c r="S122" s="349"/>
      <c r="T122" s="346"/>
      <c r="U122" s="351"/>
      <c r="V122" s="351"/>
      <c r="W122" s="351"/>
      <c r="X122" s="351"/>
      <c r="Y122" s="358"/>
      <c r="Z122" s="358"/>
      <c r="AA122" s="358"/>
      <c r="AB122" s="358"/>
      <c r="AC122" s="358"/>
      <c r="AD122" s="350"/>
    </row>
    <row r="123" spans="1:31" s="352" customFormat="1" x14ac:dyDescent="0.2">
      <c r="A123" s="320" t="str">
        <f>IFERROR(VLOOKUP(B123,mapping_one_neo!A:B,2,FALSE),"")</f>
        <v>Other office costs AU=0.INP</v>
      </c>
      <c r="B123" s="388" t="s">
        <v>83</v>
      </c>
      <c r="C123" s="353">
        <v>618100</v>
      </c>
      <c r="E123" s="356">
        <v>-0.57225000000000004</v>
      </c>
      <c r="G123" s="419">
        <v>-4.9939999999999998E-2</v>
      </c>
      <c r="H123" s="419">
        <v>-4.6719999999999998E-2</v>
      </c>
      <c r="I123" s="419">
        <v>-4.9940000000000012E-2</v>
      </c>
      <c r="J123" s="419">
        <v>-4.8320000000000002E-2</v>
      </c>
      <c r="K123" s="419">
        <v>-4.9939999999999984E-2</v>
      </c>
      <c r="L123" s="419">
        <v>-2.7389999999999998E-2</v>
      </c>
      <c r="M123" s="419">
        <v>-0.05</v>
      </c>
      <c r="N123" s="419">
        <v>-0.05</v>
      </c>
      <c r="O123" s="419">
        <v>-0.05</v>
      </c>
      <c r="P123" s="419">
        <v>-0.05</v>
      </c>
      <c r="Q123" s="419">
        <v>-0.05</v>
      </c>
      <c r="R123" s="419">
        <v>-0.05</v>
      </c>
      <c r="S123" s="345"/>
      <c r="T123" s="361"/>
      <c r="U123" s="351">
        <v>-6.9409999999999999E-2</v>
      </c>
      <c r="V123" s="351"/>
      <c r="W123" s="351"/>
      <c r="X123" s="351"/>
      <c r="Y123" s="363">
        <v>-6.9409999999999999E-2</v>
      </c>
      <c r="Z123" s="363"/>
      <c r="AA123" s="363"/>
      <c r="AB123" s="363"/>
      <c r="AC123" s="363">
        <v>-6.9409999999999999E-2</v>
      </c>
      <c r="AD123" s="355"/>
      <c r="AE123" s="334" t="s">
        <v>134</v>
      </c>
    </row>
    <row r="124" spans="1:31" s="352" customFormat="1" x14ac:dyDescent="0.2">
      <c r="A124" s="320" t="str">
        <f>IFERROR(VLOOKUP(B124,mapping_one_neo!A:B,2,FALSE),"")</f>
        <v>Other office costs AU=0.INP</v>
      </c>
      <c r="B124" s="388" t="s">
        <v>84</v>
      </c>
      <c r="C124" s="353">
        <v>635110</v>
      </c>
      <c r="E124" s="356">
        <v>-99.999999999999986</v>
      </c>
      <c r="G124" s="419">
        <v>-8.3333333333333339</v>
      </c>
      <c r="H124" s="419">
        <v>-8.3333333333333339</v>
      </c>
      <c r="I124" s="419">
        <v>-8.3333333333333321</v>
      </c>
      <c r="J124" s="419">
        <v>-8.3333333333333357</v>
      </c>
      <c r="K124" s="419">
        <v>-8.3333333333333357</v>
      </c>
      <c r="L124" s="419">
        <v>-8.3333333333333357</v>
      </c>
      <c r="M124" s="419">
        <v>-8.3333333333333339</v>
      </c>
      <c r="N124" s="419">
        <v>-8.3333333333333339</v>
      </c>
      <c r="O124" s="419">
        <v>-8.3333333333333339</v>
      </c>
      <c r="P124" s="419">
        <v>-8.3333333333333339</v>
      </c>
      <c r="Q124" s="419">
        <v>-8.3333333333333339</v>
      </c>
      <c r="R124" s="419">
        <v>-8.3333333333333339</v>
      </c>
      <c r="S124" s="345"/>
      <c r="T124" s="361"/>
      <c r="U124" s="351"/>
      <c r="V124" s="351">
        <v>-9.1666666666666661</v>
      </c>
      <c r="W124" s="351"/>
      <c r="X124" s="351"/>
      <c r="Y124" s="363">
        <v>-9.1666666666666661</v>
      </c>
      <c r="Z124" s="363"/>
      <c r="AA124" s="363"/>
      <c r="AB124" s="363"/>
      <c r="AC124" s="363">
        <v>-9.1666666666666661</v>
      </c>
      <c r="AD124" s="355"/>
      <c r="AE124" s="334"/>
    </row>
    <row r="125" spans="1:31" s="352" customFormat="1" ht="14.25" customHeight="1" x14ac:dyDescent="0.2">
      <c r="A125" s="320" t="str">
        <f>IFERROR(VLOOKUP(B125,mapping_one_neo!A:B,2,FALSE),"")</f>
        <v>Other office costs AU=0.INP</v>
      </c>
      <c r="B125" s="388" t="s">
        <v>85</v>
      </c>
      <c r="C125" s="353">
        <v>635140</v>
      </c>
      <c r="E125" s="356">
        <v>-7.9999999999999991</v>
      </c>
      <c r="G125" s="419">
        <v>-0.57099999999999995</v>
      </c>
      <c r="H125" s="419">
        <v>-0.57099999999999995</v>
      </c>
      <c r="I125" s="419">
        <v>-0.57099999999999995</v>
      </c>
      <c r="J125" s="419">
        <v>-0.57099999999999995</v>
      </c>
      <c r="K125" s="419">
        <v>-0.57099999999999973</v>
      </c>
      <c r="L125" s="419">
        <v>-0.57100000000000017</v>
      </c>
      <c r="M125" s="419">
        <v>-0.57099999999999995</v>
      </c>
      <c r="N125" s="419">
        <v>-0.57099999999999995</v>
      </c>
      <c r="O125" s="419">
        <v>-0.57099999999999995</v>
      </c>
      <c r="P125" s="419">
        <v>-0.57099999999999995</v>
      </c>
      <c r="Q125" s="419">
        <v>-0.57099999999999995</v>
      </c>
      <c r="R125" s="419">
        <v>-1.7190000000000001</v>
      </c>
      <c r="S125" s="345"/>
      <c r="T125" s="361"/>
      <c r="U125" s="425">
        <v>-0.442</v>
      </c>
      <c r="V125" s="351"/>
      <c r="W125" s="351"/>
      <c r="X125" s="351"/>
      <c r="Y125" s="363">
        <v>-0.442</v>
      </c>
      <c r="Z125" s="363"/>
      <c r="AA125" s="363"/>
      <c r="AB125" s="363"/>
      <c r="AC125" s="363">
        <v>-0.442</v>
      </c>
      <c r="AD125" s="355"/>
      <c r="AE125" s="334"/>
    </row>
    <row r="126" spans="1:31" s="352" customFormat="1" ht="14.25" customHeight="1" x14ac:dyDescent="0.2">
      <c r="A126" s="320" t="str">
        <f>IFERROR(VLOOKUP(B126,mapping_one_neo!A:B,2,FALSE),"")</f>
        <v>Other office costs AU=0.INP</v>
      </c>
      <c r="B126" s="388" t="s">
        <v>712</v>
      </c>
      <c r="C126" s="353">
        <v>635800</v>
      </c>
      <c r="E126" s="356">
        <v>-1.76</v>
      </c>
      <c r="G126" s="419">
        <v>0</v>
      </c>
      <c r="H126" s="419">
        <v>0</v>
      </c>
      <c r="I126" s="419">
        <v>0</v>
      </c>
      <c r="J126" s="419">
        <v>0</v>
      </c>
      <c r="K126" s="419">
        <v>0</v>
      </c>
      <c r="L126" s="419">
        <v>0</v>
      </c>
      <c r="M126" s="419"/>
      <c r="N126" s="419">
        <v>-1.76</v>
      </c>
      <c r="O126" s="419"/>
      <c r="P126" s="419"/>
      <c r="Q126" s="419"/>
      <c r="R126" s="419"/>
      <c r="S126" s="345"/>
      <c r="T126" s="361"/>
      <c r="U126" s="425">
        <v>0</v>
      </c>
      <c r="V126" s="351"/>
      <c r="W126" s="351"/>
      <c r="X126" s="351"/>
      <c r="Y126" s="363">
        <v>0</v>
      </c>
      <c r="Z126" s="363"/>
      <c r="AA126" s="363"/>
      <c r="AB126" s="363"/>
      <c r="AC126" s="363">
        <v>0</v>
      </c>
      <c r="AD126" s="355"/>
      <c r="AE126" s="334"/>
    </row>
    <row r="127" spans="1:31" s="352" customFormat="1" x14ac:dyDescent="0.2">
      <c r="A127" s="320" t="str">
        <f>IFERROR(VLOOKUP(B127,mapping_one_neo!A:B,2,FALSE),"")</f>
        <v>Other office costs AU=0.INP</v>
      </c>
      <c r="B127" s="388" t="s">
        <v>86</v>
      </c>
      <c r="C127" s="353">
        <v>637100</v>
      </c>
      <c r="E127" s="356">
        <v>0</v>
      </c>
      <c r="G127" s="419">
        <v>-0.8</v>
      </c>
      <c r="H127" s="419">
        <v>0.8</v>
      </c>
      <c r="I127" s="419">
        <v>0</v>
      </c>
      <c r="J127" s="419">
        <v>0</v>
      </c>
      <c r="K127" s="419">
        <v>0</v>
      </c>
      <c r="L127" s="419">
        <v>0</v>
      </c>
      <c r="M127" s="419">
        <v>0</v>
      </c>
      <c r="N127" s="419">
        <v>0</v>
      </c>
      <c r="O127" s="419">
        <v>0</v>
      </c>
      <c r="P127" s="419">
        <v>0</v>
      </c>
      <c r="Q127" s="419">
        <v>0</v>
      </c>
      <c r="R127" s="419">
        <v>0</v>
      </c>
      <c r="S127" s="345"/>
      <c r="T127" s="361"/>
      <c r="U127" s="351">
        <v>0</v>
      </c>
      <c r="V127" s="351"/>
      <c r="W127" s="351"/>
      <c r="X127" s="351"/>
      <c r="Y127" s="363">
        <v>0</v>
      </c>
      <c r="Z127" s="363"/>
      <c r="AA127" s="363"/>
      <c r="AB127" s="363"/>
      <c r="AC127" s="363">
        <v>0</v>
      </c>
      <c r="AD127" s="355"/>
      <c r="AE127" s="334"/>
    </row>
    <row r="128" spans="1:31" s="352" customFormat="1" x14ac:dyDescent="0.2">
      <c r="A128" s="320" t="str">
        <f>IFERROR(VLOOKUP(B128,mapping_one_neo!A:B,2,FALSE),"")</f>
        <v>Other office costs AU=0.INP</v>
      </c>
      <c r="B128" s="388" t="s">
        <v>87</v>
      </c>
      <c r="C128" s="353">
        <v>658201</v>
      </c>
      <c r="E128" s="356">
        <v>-4.9999999999999982</v>
      </c>
      <c r="G128" s="419">
        <v>-0.21203709999999998</v>
      </c>
      <c r="H128" s="419">
        <v>-0.28796289999999991</v>
      </c>
      <c r="I128" s="419">
        <v>-0.25000000000000011</v>
      </c>
      <c r="J128" s="419">
        <v>-0.24999999999999978</v>
      </c>
      <c r="K128" s="419">
        <v>-0.25000000000000022</v>
      </c>
      <c r="L128" s="419">
        <v>-0.25</v>
      </c>
      <c r="M128" s="419">
        <v>-0.58333333333333326</v>
      </c>
      <c r="N128" s="419">
        <v>-0.58333333333333326</v>
      </c>
      <c r="O128" s="419">
        <v>-0.58333333333333326</v>
      </c>
      <c r="P128" s="419">
        <v>-0.58333333333333326</v>
      </c>
      <c r="Q128" s="419">
        <v>-0.58333333333333326</v>
      </c>
      <c r="R128" s="419">
        <v>-0.58333333333333326</v>
      </c>
      <c r="S128" s="345"/>
      <c r="T128" s="361"/>
      <c r="U128" s="351">
        <v>-0.33299999999999996</v>
      </c>
      <c r="V128" s="351"/>
      <c r="W128" s="351"/>
      <c r="X128" s="351"/>
      <c r="Y128" s="363">
        <v>-0.33299999999999996</v>
      </c>
      <c r="Z128" s="363"/>
      <c r="AA128" s="363"/>
      <c r="AB128" s="363"/>
      <c r="AC128" s="363">
        <v>-0.33299999999999996</v>
      </c>
      <c r="AD128" s="355"/>
      <c r="AE128" s="334"/>
    </row>
    <row r="129" spans="1:31" s="352" customFormat="1" x14ac:dyDescent="0.2">
      <c r="A129" s="320" t="str">
        <f>IFERROR(VLOOKUP(B129,mapping_one_neo!A:B,2,FALSE),"")</f>
        <v>Other office costs AU=0.INP</v>
      </c>
      <c r="B129" s="388" t="s">
        <v>88</v>
      </c>
      <c r="C129" s="353">
        <v>658000</v>
      </c>
      <c r="E129" s="356">
        <v>-1.7569999999999999E-2</v>
      </c>
      <c r="G129" s="419">
        <v>-3.13E-3</v>
      </c>
      <c r="H129" s="419">
        <v>-2.8000000000000004E-3</v>
      </c>
      <c r="I129" s="419">
        <v>-3.0199999999999992E-3</v>
      </c>
      <c r="J129" s="419">
        <v>-6.5999999999999913E-4</v>
      </c>
      <c r="K129" s="419">
        <v>-3.9600000000000017E-3</v>
      </c>
      <c r="L129" s="419">
        <v>-3.9999999999999983E-3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-1.2700000000000001E-3</v>
      </c>
      <c r="V129" s="351"/>
      <c r="W129" s="351"/>
      <c r="X129" s="351"/>
      <c r="Y129" s="363">
        <v>-1.2700000000000001E-3</v>
      </c>
      <c r="Z129" s="363"/>
      <c r="AA129" s="363"/>
      <c r="AB129" s="363"/>
      <c r="AC129" s="363">
        <v>-1.2700000000000001E-3</v>
      </c>
      <c r="AD129" s="355"/>
      <c r="AE129" s="334"/>
    </row>
    <row r="130" spans="1:31" s="352" customFormat="1" x14ac:dyDescent="0.2">
      <c r="A130" s="320" t="str">
        <f>IFERROR(VLOOKUP(B130,mapping_one_neo!A:B,2,FALSE),"")</f>
        <v>Other office costs AU=0.INP</v>
      </c>
      <c r="B130" s="388" t="s">
        <v>89</v>
      </c>
      <c r="C130" s="353">
        <v>681124</v>
      </c>
      <c r="E130" s="356">
        <v>-2.8426974999999994</v>
      </c>
      <c r="G130" s="419">
        <v>-0.20135</v>
      </c>
      <c r="H130" s="419">
        <v>-0.18837000000000001</v>
      </c>
      <c r="I130" s="419">
        <v>-0.20132999999999995</v>
      </c>
      <c r="J130" s="419">
        <v>-0.19486000000000003</v>
      </c>
      <c r="K130" s="419">
        <v>-0.20135999999999998</v>
      </c>
      <c r="L130" s="419">
        <v>-0.19485999999999992</v>
      </c>
      <c r="M130" s="419">
        <v>-0.27676125000000001</v>
      </c>
      <c r="N130" s="419">
        <v>-0.27676125000000001</v>
      </c>
      <c r="O130" s="419">
        <v>-0.27676125000000001</v>
      </c>
      <c r="P130" s="419">
        <v>-0.27676125000000001</v>
      </c>
      <c r="Q130" s="419">
        <v>-0.27676125000000001</v>
      </c>
      <c r="R130" s="419">
        <v>-0.27676125000000001</v>
      </c>
      <c r="S130" s="345"/>
      <c r="T130" s="361"/>
      <c r="U130" s="351">
        <v>-0.2898</v>
      </c>
      <c r="V130" s="351"/>
      <c r="W130" s="351"/>
      <c r="X130" s="351"/>
      <c r="Y130" s="363">
        <v>-0.2898</v>
      </c>
      <c r="Z130" s="363"/>
      <c r="AA130" s="363"/>
      <c r="AB130" s="363"/>
      <c r="AC130" s="363">
        <v>-0.2898</v>
      </c>
      <c r="AD130" s="355"/>
      <c r="AE130" s="334"/>
    </row>
    <row r="131" spans="1:31" s="352" customFormat="1" x14ac:dyDescent="0.2">
      <c r="A131" s="320" t="str">
        <f>IFERROR(VLOOKUP(B131,mapping_one_neo!A:B,2,FALSE),"")</f>
        <v>Other office costs AU=0.INP</v>
      </c>
      <c r="B131" s="388" t="s">
        <v>90</v>
      </c>
      <c r="C131" s="353"/>
      <c r="E131" s="356">
        <v>0</v>
      </c>
      <c r="G131" s="419">
        <v>0</v>
      </c>
      <c r="H131" s="419">
        <v>0</v>
      </c>
      <c r="I131" s="419">
        <v>0</v>
      </c>
      <c r="J131" s="419">
        <v>0</v>
      </c>
      <c r="K131" s="419">
        <v>0</v>
      </c>
      <c r="L131" s="419">
        <v>0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/>
      <c r="V131" s="351"/>
      <c r="W131" s="351"/>
      <c r="X131" s="351"/>
      <c r="Y131" s="363">
        <v>0</v>
      </c>
      <c r="Z131" s="363"/>
      <c r="AA131" s="363"/>
      <c r="AB131" s="363"/>
      <c r="AC131" s="363">
        <v>0</v>
      </c>
      <c r="AD131" s="355"/>
      <c r="AE131" s="334"/>
    </row>
    <row r="132" spans="1:31" s="352" customFormat="1" x14ac:dyDescent="0.2">
      <c r="A132" s="320" t="str">
        <f>IFERROR(VLOOKUP(B132,mapping_one_neo!A:B,2,FALSE),"")</f>
        <v>Staff Welfare</v>
      </c>
      <c r="B132" s="388" t="s">
        <v>53</v>
      </c>
      <c r="C132" s="353"/>
      <c r="E132" s="356">
        <v>0</v>
      </c>
      <c r="G132" s="419">
        <v>0</v>
      </c>
      <c r="H132" s="419">
        <v>0</v>
      </c>
      <c r="I132" s="419">
        <v>0</v>
      </c>
      <c r="J132" s="419">
        <v>0</v>
      </c>
      <c r="K132" s="419">
        <v>0</v>
      </c>
      <c r="L132" s="419">
        <v>0</v>
      </c>
      <c r="M132" s="419"/>
      <c r="N132" s="419"/>
      <c r="O132" s="419"/>
      <c r="P132" s="419"/>
      <c r="Q132" s="419"/>
      <c r="R132" s="419"/>
      <c r="S132" s="345"/>
      <c r="T132" s="361"/>
      <c r="U132" s="351"/>
      <c r="V132" s="351"/>
      <c r="W132" s="351"/>
      <c r="X132" s="351"/>
      <c r="Y132" s="363">
        <v>0</v>
      </c>
      <c r="Z132" s="363"/>
      <c r="AA132" s="363"/>
      <c r="AB132" s="363"/>
      <c r="AC132" s="363">
        <v>0</v>
      </c>
      <c r="AD132" s="355"/>
      <c r="AE132" s="334"/>
    </row>
    <row r="133" spans="1:31" s="387" customFormat="1" x14ac:dyDescent="0.2">
      <c r="A133" s="320">
        <f>IFERROR(VLOOKUP(B133,mapping_one_neo!A:B,2,FALSE),"")</f>
        <v>0</v>
      </c>
      <c r="B133" s="387" t="s">
        <v>91</v>
      </c>
      <c r="C133" s="392"/>
      <c r="E133" s="393">
        <v>-118.19251749999999</v>
      </c>
      <c r="G133" s="393">
        <v>-10.170790433333334</v>
      </c>
      <c r="H133" s="393">
        <v>-8.630186233333335</v>
      </c>
      <c r="I133" s="393">
        <v>-9.4086233333333311</v>
      </c>
      <c r="J133" s="393">
        <v>-9.3981733333333359</v>
      </c>
      <c r="K133" s="393">
        <v>-9.4095933333333335</v>
      </c>
      <c r="L133" s="393">
        <v>-9.3805833333333357</v>
      </c>
      <c r="M133" s="393">
        <v>-9.8144279166666681</v>
      </c>
      <c r="N133" s="393">
        <v>-11.574427916666668</v>
      </c>
      <c r="O133" s="393">
        <v>-9.8144279166666681</v>
      </c>
      <c r="P133" s="393">
        <v>-9.8144279166666681</v>
      </c>
      <c r="Q133" s="393">
        <v>-9.8144279166666681</v>
      </c>
      <c r="R133" s="393">
        <v>-10.962427916666668</v>
      </c>
      <c r="S133" s="349"/>
      <c r="T133" s="346"/>
      <c r="U133" s="393">
        <f>SUM(U123:U132)</f>
        <v>-1.13548</v>
      </c>
      <c r="V133" s="393">
        <f t="shared" ref="V133:AC133" si="9">SUM(V123:V132)</f>
        <v>-9.1666666666666661</v>
      </c>
      <c r="W133" s="393">
        <f t="shared" si="9"/>
        <v>0</v>
      </c>
      <c r="X133" s="393">
        <f t="shared" si="9"/>
        <v>0</v>
      </c>
      <c r="Y133" s="393">
        <f t="shared" si="9"/>
        <v>-10.302146666666665</v>
      </c>
      <c r="Z133" s="393">
        <f t="shared" si="9"/>
        <v>0</v>
      </c>
      <c r="AA133" s="393">
        <f t="shared" si="9"/>
        <v>0</v>
      </c>
      <c r="AB133" s="393">
        <f t="shared" si="9"/>
        <v>0</v>
      </c>
      <c r="AC133" s="393">
        <f t="shared" si="9"/>
        <v>-10.302146666666665</v>
      </c>
      <c r="AD133" s="394"/>
      <c r="AE133" s="334"/>
    </row>
    <row r="134" spans="1:31" s="387" customFormat="1" x14ac:dyDescent="0.2">
      <c r="A134" s="320" t="str">
        <f>IFERROR(VLOOKUP(B134,mapping_one_neo!A:B,2,FALSE),"")</f>
        <v/>
      </c>
      <c r="C134" s="392"/>
      <c r="E134" s="397"/>
      <c r="G134" s="397"/>
      <c r="H134" s="397"/>
      <c r="I134" s="397"/>
      <c r="J134" s="397"/>
      <c r="K134" s="397"/>
      <c r="L134" s="397"/>
      <c r="M134" s="397"/>
      <c r="N134" s="397"/>
      <c r="O134" s="397"/>
      <c r="P134" s="397"/>
      <c r="Q134" s="397"/>
      <c r="R134" s="397"/>
      <c r="S134" s="349"/>
      <c r="T134" s="346"/>
      <c r="U134" s="397"/>
      <c r="V134" s="397"/>
      <c r="W134" s="397"/>
      <c r="X134" s="397"/>
      <c r="Y134" s="399"/>
      <c r="Z134" s="399"/>
      <c r="AA134" s="399"/>
      <c r="AB134" s="399"/>
      <c r="AC134" s="399"/>
      <c r="AD134" s="394"/>
      <c r="AE134" s="334"/>
    </row>
    <row r="135" spans="1:31" x14ac:dyDescent="0.2">
      <c r="A135" s="320">
        <f>IFERROR(VLOOKUP(B135,mapping_one_neo!A:B,2,FALSE),"")</f>
        <v>0</v>
      </c>
      <c r="B135" s="352" t="s">
        <v>92</v>
      </c>
      <c r="C135" s="353"/>
      <c r="E135" s="354">
        <v>-128.66603950000001</v>
      </c>
      <c r="G135" s="354">
        <v>-10.434640433333334</v>
      </c>
      <c r="H135" s="354">
        <v>-9.1118462333333348</v>
      </c>
      <c r="I135" s="354">
        <v>-9.7336733333333303</v>
      </c>
      <c r="J135" s="354">
        <v>-10.287403333333335</v>
      </c>
      <c r="K135" s="354">
        <v>-12.778823333333333</v>
      </c>
      <c r="L135" s="354">
        <v>-9.730593333333335</v>
      </c>
      <c r="M135" s="354">
        <v>-11.796843250000002</v>
      </c>
      <c r="N135" s="354">
        <v>-11.856843250000001</v>
      </c>
      <c r="O135" s="354">
        <v>-10.796843250000002</v>
      </c>
      <c r="P135" s="354">
        <v>-10.096843250000001</v>
      </c>
      <c r="Q135" s="354">
        <v>-10.096843250000001</v>
      </c>
      <c r="R135" s="354">
        <v>-11.944843250000002</v>
      </c>
      <c r="S135" s="349"/>
      <c r="T135" s="346"/>
      <c r="U135" s="354">
        <f>U133+U120+U115+U110</f>
        <v>-2.0279799999999999</v>
      </c>
      <c r="V135" s="354">
        <f t="shared" ref="V135:AC135" si="10">V133+V120+V115+V110</f>
        <v>-9.1666666666666661</v>
      </c>
      <c r="W135" s="354">
        <f t="shared" si="10"/>
        <v>0</v>
      </c>
      <c r="X135" s="354">
        <f t="shared" si="10"/>
        <v>0</v>
      </c>
      <c r="Y135" s="354">
        <f t="shared" si="10"/>
        <v>-11.194646666666667</v>
      </c>
      <c r="Z135" s="354">
        <f t="shared" si="10"/>
        <v>0</v>
      </c>
      <c r="AA135" s="354">
        <f t="shared" si="10"/>
        <v>0</v>
      </c>
      <c r="AB135" s="354">
        <f t="shared" si="10"/>
        <v>0</v>
      </c>
      <c r="AC135" s="354">
        <f t="shared" si="10"/>
        <v>-11.194646666666667</v>
      </c>
      <c r="AD135" s="350"/>
    </row>
    <row r="136" spans="1:31" x14ac:dyDescent="0.2">
      <c r="A136" s="320" t="str">
        <f>IFERROR(VLOOKUP(B136,mapping_one_neo!A:B,2,FALSE),"")</f>
        <v/>
      </c>
      <c r="J136" s="335">
        <v>0</v>
      </c>
      <c r="M136" s="335">
        <v>0</v>
      </c>
      <c r="S136" s="349"/>
      <c r="T136" s="346"/>
      <c r="U136" s="351"/>
      <c r="V136" s="351"/>
      <c r="W136" s="351"/>
      <c r="X136" s="351"/>
      <c r="Y136" s="358"/>
      <c r="Z136" s="358"/>
      <c r="AA136" s="358"/>
      <c r="AB136" s="358"/>
      <c r="AC136" s="358"/>
      <c r="AD136" s="350"/>
    </row>
    <row r="137" spans="1:31" s="352" customFormat="1" x14ac:dyDescent="0.2">
      <c r="A137" s="320" t="str">
        <f>IFERROR(VLOOKUP(B137,mapping_one_neo!A:B,2,FALSE),"")</f>
        <v>Voice/fax communication costs</v>
      </c>
      <c r="B137" s="400" t="s">
        <v>93</v>
      </c>
      <c r="C137" s="353">
        <v>626110</v>
      </c>
      <c r="E137" s="356">
        <v>-8.0407407407407394</v>
      </c>
      <c r="G137" s="419">
        <v>-0.6</v>
      </c>
      <c r="H137" s="419">
        <v>-0.6</v>
      </c>
      <c r="I137" s="419">
        <v>-0.60000000000000009</v>
      </c>
      <c r="J137" s="419">
        <v>-0.7</v>
      </c>
      <c r="K137" s="419">
        <v>-0.36629999999999985</v>
      </c>
      <c r="L137" s="419">
        <v>-0.10000000000000053</v>
      </c>
      <c r="M137" s="419">
        <v>-0.84574012345678995</v>
      </c>
      <c r="N137" s="419">
        <v>-0.84574012345678995</v>
      </c>
      <c r="O137" s="419">
        <v>-0.84574012345678995</v>
      </c>
      <c r="P137" s="419">
        <v>-0.84574012345678995</v>
      </c>
      <c r="Q137" s="419">
        <v>-0.84574012345678995</v>
      </c>
      <c r="R137" s="419">
        <v>-0.84574012345678995</v>
      </c>
      <c r="S137" s="345"/>
      <c r="T137" s="361"/>
      <c r="U137" s="351">
        <v>-0.7</v>
      </c>
      <c r="V137" s="351"/>
      <c r="W137" s="351"/>
      <c r="X137" s="351"/>
      <c r="Y137" s="363">
        <v>-0.7</v>
      </c>
      <c r="Z137" s="363"/>
      <c r="AA137" s="363"/>
      <c r="AB137" s="363"/>
      <c r="AC137" s="363">
        <v>-0.7</v>
      </c>
      <c r="AD137" s="355"/>
      <c r="AE137" s="334"/>
    </row>
    <row r="138" spans="1:31" s="352" customFormat="1" x14ac:dyDescent="0.2">
      <c r="A138" s="320" t="str">
        <f>IFERROR(VLOOKUP(B138,mapping_one_neo!A:B,2,FALSE),"")</f>
        <v>Voice/fax communication costs</v>
      </c>
      <c r="B138" s="400" t="s">
        <v>94</v>
      </c>
      <c r="C138" s="353">
        <v>626110</v>
      </c>
      <c r="E138" s="356">
        <v>-4.0082500000000003</v>
      </c>
      <c r="G138" s="419">
        <v>-0.33300000000000002</v>
      </c>
      <c r="H138" s="419">
        <v>-0.33300000000000002</v>
      </c>
      <c r="I138" s="419">
        <v>-0.33300000000000007</v>
      </c>
      <c r="J138" s="419">
        <v>-0.33299999999999996</v>
      </c>
      <c r="K138" s="419">
        <v>-0.33299999999999996</v>
      </c>
      <c r="L138" s="419">
        <v>-0.33300000000000018</v>
      </c>
      <c r="M138" s="419">
        <v>-0.33475000000000005</v>
      </c>
      <c r="N138" s="419">
        <v>-0.33475000000000005</v>
      </c>
      <c r="O138" s="419">
        <v>-0.33475000000000005</v>
      </c>
      <c r="P138" s="419">
        <v>-0.33475000000000005</v>
      </c>
      <c r="Q138" s="419">
        <v>-0.33475000000000005</v>
      </c>
      <c r="R138" s="419">
        <v>-0.33650000000000002</v>
      </c>
      <c r="S138" s="389" t="s">
        <v>134</v>
      </c>
      <c r="T138" s="361"/>
      <c r="U138" s="351">
        <v>-0.54200000000000004</v>
      </c>
      <c r="V138" s="351"/>
      <c r="W138" s="351"/>
      <c r="X138" s="351"/>
      <c r="Y138" s="363">
        <v>-0.54200000000000004</v>
      </c>
      <c r="Z138" s="363"/>
      <c r="AA138" s="363"/>
      <c r="AB138" s="363"/>
      <c r="AC138" s="363">
        <v>-0.54200000000000004</v>
      </c>
      <c r="AD138" s="355"/>
      <c r="AE138" s="334"/>
    </row>
    <row r="139" spans="1:31" x14ac:dyDescent="0.2">
      <c r="A139" s="320" t="str">
        <f>IFERROR(VLOOKUP(B139,mapping_one_neo!A:B,2,FALSE),"")</f>
        <v/>
      </c>
      <c r="G139" s="398">
        <v>0</v>
      </c>
      <c r="H139" s="398">
        <v>0</v>
      </c>
      <c r="I139" s="398">
        <v>0</v>
      </c>
      <c r="J139" s="398">
        <v>0</v>
      </c>
      <c r="K139" s="398">
        <v>0</v>
      </c>
      <c r="L139" s="398">
        <v>0</v>
      </c>
      <c r="M139" s="398">
        <v>0</v>
      </c>
      <c r="N139" s="398">
        <v>0</v>
      </c>
      <c r="O139" s="398"/>
      <c r="P139" s="398"/>
      <c r="Q139" s="398"/>
      <c r="R139" s="398"/>
      <c r="S139" s="349"/>
      <c r="T139" s="346"/>
      <c r="U139" s="351"/>
      <c r="V139" s="351"/>
      <c r="W139" s="351"/>
      <c r="X139" s="351"/>
      <c r="Y139" s="358"/>
      <c r="Z139" s="358"/>
      <c r="AA139" s="358"/>
      <c r="AB139" s="358"/>
      <c r="AC139" s="358"/>
      <c r="AD139" s="350"/>
    </row>
    <row r="140" spans="1:31" s="352" customFormat="1" x14ac:dyDescent="0.2">
      <c r="A140" s="320" t="str">
        <f>IFERROR(VLOOKUP(B140,mapping_one_neo!A:B,2,FALSE),"")</f>
        <v>Data communication costs AU=0ADJ16</v>
      </c>
      <c r="B140" s="400" t="s">
        <v>95</v>
      </c>
      <c r="C140" s="353">
        <v>626400</v>
      </c>
      <c r="E140" s="356">
        <v>0</v>
      </c>
      <c r="G140" s="419">
        <v>0</v>
      </c>
      <c r="H140" s="419">
        <v>0</v>
      </c>
      <c r="I140" s="419">
        <v>0</v>
      </c>
      <c r="J140" s="419">
        <v>0</v>
      </c>
      <c r="K140" s="419">
        <v>0</v>
      </c>
      <c r="L140" s="419">
        <v>0</v>
      </c>
      <c r="M140" s="419">
        <v>0</v>
      </c>
      <c r="N140" s="419">
        <v>0</v>
      </c>
      <c r="O140" s="419">
        <v>0</v>
      </c>
      <c r="P140" s="419">
        <v>0</v>
      </c>
      <c r="Q140" s="419">
        <v>0</v>
      </c>
      <c r="R140" s="419">
        <v>0</v>
      </c>
      <c r="S140" s="345"/>
      <c r="T140" s="361"/>
      <c r="U140" s="351"/>
      <c r="V140" s="351"/>
      <c r="W140" s="351"/>
      <c r="X140" s="351"/>
      <c r="Y140" s="363">
        <v>0</v>
      </c>
      <c r="Z140" s="363"/>
      <c r="AA140" s="363"/>
      <c r="AB140" s="363"/>
      <c r="AC140" s="363">
        <v>0</v>
      </c>
      <c r="AD140" s="355"/>
      <c r="AE140" s="334"/>
    </row>
    <row r="141" spans="1:31" s="352" customFormat="1" x14ac:dyDescent="0.2">
      <c r="A141" s="320" t="str">
        <f>IFERROR(VLOOKUP(B141,mapping_one_neo!A:B,2,FALSE),"")</f>
        <v>Data communication costs AU=0ADJ16</v>
      </c>
      <c r="B141" s="400" t="s">
        <v>96</v>
      </c>
      <c r="C141" s="353">
        <v>626400</v>
      </c>
      <c r="E141" s="356">
        <v>-0.99833333333333341</v>
      </c>
      <c r="G141" s="419">
        <v>-8.3000000000000004E-2</v>
      </c>
      <c r="H141" s="419">
        <v>-8.3000000000000004E-2</v>
      </c>
      <c r="I141" s="419">
        <v>-8.299999999999999E-2</v>
      </c>
      <c r="J141" s="419">
        <v>-8.3000000000000018E-2</v>
      </c>
      <c r="K141" s="419">
        <v>-8.3000000000000018E-2</v>
      </c>
      <c r="L141" s="419">
        <v>-8.2999999999999963E-2</v>
      </c>
      <c r="M141" s="419">
        <v>-8.3333333333333329E-2</v>
      </c>
      <c r="N141" s="419">
        <v>-8.3333333333333329E-2</v>
      </c>
      <c r="O141" s="419">
        <v>-8.3333333333333329E-2</v>
      </c>
      <c r="P141" s="419">
        <v>-8.3333333333333329E-2</v>
      </c>
      <c r="Q141" s="419">
        <v>-8.3333333333333329E-2</v>
      </c>
      <c r="R141" s="419">
        <v>-8.3666666666666598E-2</v>
      </c>
      <c r="S141" s="345"/>
      <c r="T141" s="361"/>
      <c r="U141" s="351">
        <v>-8.3000000000000004E-2</v>
      </c>
      <c r="V141" s="351"/>
      <c r="W141" s="351"/>
      <c r="X141" s="351"/>
      <c r="Y141" s="363">
        <v>-8.3000000000000004E-2</v>
      </c>
      <c r="Z141" s="363"/>
      <c r="AA141" s="363"/>
      <c r="AB141" s="363"/>
      <c r="AC141" s="363">
        <v>-8.3000000000000004E-2</v>
      </c>
      <c r="AD141" s="355"/>
      <c r="AE141" s="334"/>
    </row>
    <row r="142" spans="1:31" x14ac:dyDescent="0.2">
      <c r="A142" s="320" t="str">
        <f>IFERROR(VLOOKUP(B142,mapping_one_neo!A:B,2,FALSE),"")</f>
        <v/>
      </c>
      <c r="G142" s="398"/>
      <c r="H142" s="398"/>
      <c r="I142" s="398"/>
      <c r="J142" s="398"/>
      <c r="K142" s="398"/>
      <c r="L142" s="398"/>
      <c r="M142" s="398"/>
      <c r="N142" s="398"/>
      <c r="O142" s="398"/>
      <c r="P142" s="398"/>
      <c r="Q142" s="398"/>
      <c r="R142" s="398"/>
      <c r="S142" s="349"/>
      <c r="T142" s="346"/>
      <c r="U142" s="351"/>
      <c r="V142" s="351"/>
      <c r="W142" s="351"/>
      <c r="X142" s="351"/>
      <c r="Y142" s="358"/>
      <c r="Z142" s="358"/>
      <c r="AA142" s="358"/>
      <c r="AB142" s="358"/>
      <c r="AC142" s="358"/>
      <c r="AD142" s="350"/>
    </row>
    <row r="143" spans="1:31" x14ac:dyDescent="0.2">
      <c r="A143" s="320">
        <f>IFERROR(VLOOKUP(B143,mapping_one_neo!A:B,2,FALSE),"")</f>
        <v>0</v>
      </c>
      <c r="B143" s="387" t="s">
        <v>97</v>
      </c>
      <c r="J143" s="335">
        <v>0</v>
      </c>
      <c r="M143" s="335">
        <v>0</v>
      </c>
      <c r="S143" s="349"/>
      <c r="T143" s="346"/>
      <c r="U143" s="351"/>
      <c r="V143" s="351"/>
      <c r="W143" s="351"/>
      <c r="X143" s="351"/>
      <c r="Y143" s="358"/>
      <c r="Z143" s="358"/>
      <c r="AA143" s="358"/>
      <c r="AB143" s="358"/>
      <c r="AC143" s="358"/>
      <c r="AD143" s="350"/>
    </row>
    <row r="144" spans="1:31" s="352" customFormat="1" x14ac:dyDescent="0.2">
      <c r="A144" s="320" t="str">
        <f>IFERROR(VLOOKUP(B144,mapping_one_neo!A:B,2,FALSE),"")</f>
        <v>Outsourced business systems AU=0ADJ16</v>
      </c>
      <c r="B144" s="388" t="s">
        <v>755</v>
      </c>
      <c r="C144" s="353" t="s">
        <v>157</v>
      </c>
      <c r="E144" s="356">
        <v>0</v>
      </c>
      <c r="G144" s="356">
        <v>0</v>
      </c>
      <c r="H144" s="356">
        <v>0</v>
      </c>
      <c r="I144" s="356">
        <v>0</v>
      </c>
      <c r="J144" s="356">
        <v>0</v>
      </c>
      <c r="K144" s="356">
        <v>0</v>
      </c>
      <c r="L144" s="356">
        <v>0</v>
      </c>
      <c r="M144" s="356">
        <v>0</v>
      </c>
      <c r="N144" s="356">
        <v>0</v>
      </c>
      <c r="O144" s="356">
        <v>0</v>
      </c>
      <c r="P144" s="356">
        <v>0</v>
      </c>
      <c r="Q144" s="356">
        <v>0</v>
      </c>
      <c r="R144" s="356">
        <v>0</v>
      </c>
      <c r="S144" s="345"/>
      <c r="T144" s="361"/>
      <c r="U144" s="362"/>
      <c r="V144" s="362"/>
      <c r="W144" s="362"/>
      <c r="X144" s="351"/>
      <c r="Y144" s="363"/>
      <c r="Z144" s="363"/>
      <c r="AA144" s="363"/>
      <c r="AB144" s="363"/>
      <c r="AC144" s="363"/>
      <c r="AD144" s="355"/>
      <c r="AE144" s="334"/>
    </row>
    <row r="145" spans="1:31" s="352" customFormat="1" x14ac:dyDescent="0.2">
      <c r="A145" s="320" t="str">
        <f>IFERROR(VLOOKUP(B145,mapping_one_neo!A:B,2,FALSE),"")</f>
        <v>Outsourced business systems AU=0ADJ16</v>
      </c>
      <c r="B145" s="388" t="s">
        <v>98</v>
      </c>
      <c r="C145" s="353" t="s">
        <v>157</v>
      </c>
      <c r="E145" s="356">
        <v>-18</v>
      </c>
      <c r="G145" s="419">
        <v>-1.5</v>
      </c>
      <c r="H145" s="419">
        <v>-1.5</v>
      </c>
      <c r="I145" s="419">
        <v>-1.5</v>
      </c>
      <c r="J145" s="419">
        <v>-1.5</v>
      </c>
      <c r="K145" s="419">
        <v>-1.5</v>
      </c>
      <c r="L145" s="419">
        <v>-1.5</v>
      </c>
      <c r="M145" s="419">
        <v>-1.5</v>
      </c>
      <c r="N145" s="419">
        <v>-1.5</v>
      </c>
      <c r="O145" s="419">
        <v>-1.5</v>
      </c>
      <c r="P145" s="419">
        <v>-1.5</v>
      </c>
      <c r="Q145" s="419">
        <v>-1.5</v>
      </c>
      <c r="R145" s="419">
        <v>-1.5</v>
      </c>
      <c r="S145" s="345"/>
      <c r="T145" s="361"/>
      <c r="U145" s="351">
        <v>-1.75</v>
      </c>
      <c r="V145" s="351"/>
      <c r="W145" s="351"/>
      <c r="X145" s="351"/>
      <c r="Y145" s="363">
        <v>-1.75</v>
      </c>
      <c r="Z145" s="363"/>
      <c r="AA145" s="363"/>
      <c r="AB145" s="363"/>
      <c r="AC145" s="363">
        <v>-1.75</v>
      </c>
      <c r="AD145" s="355"/>
      <c r="AE145" s="334"/>
    </row>
    <row r="146" spans="1:31" s="352" customFormat="1" x14ac:dyDescent="0.2">
      <c r="A146" s="320" t="str">
        <f>IFERROR(VLOOKUP(B146,mapping_one_neo!A:B,2,FALSE),"")</f>
        <v>Outsourced business systems AU=0ADJ16</v>
      </c>
      <c r="B146" s="388" t="s">
        <v>799</v>
      </c>
      <c r="C146" s="353" t="s">
        <v>157</v>
      </c>
      <c r="E146" s="356"/>
      <c r="G146" s="419"/>
      <c r="H146" s="419"/>
      <c r="I146" s="419"/>
      <c r="J146" s="419"/>
      <c r="K146" s="419"/>
      <c r="L146" s="419"/>
      <c r="M146" s="419"/>
      <c r="N146" s="419"/>
      <c r="O146" s="419"/>
      <c r="P146" s="419"/>
      <c r="Q146" s="419"/>
      <c r="R146" s="419"/>
      <c r="S146" s="345"/>
      <c r="T146" s="361"/>
      <c r="U146" s="351">
        <v>-5.8000000000000003E-2</v>
      </c>
      <c r="V146" s="351"/>
      <c r="W146" s="351"/>
      <c r="X146" s="351"/>
      <c r="Y146" s="363">
        <v>-5.8000000000000003E-2</v>
      </c>
      <c r="Z146" s="363"/>
      <c r="AA146" s="363"/>
      <c r="AB146" s="363"/>
      <c r="AC146" s="363">
        <v>-5.8000000000000003E-2</v>
      </c>
      <c r="AD146" s="355"/>
      <c r="AE146" s="334"/>
    </row>
    <row r="147" spans="1:31" s="352" customFormat="1" x14ac:dyDescent="0.2">
      <c r="A147" s="320" t="str">
        <f>IFERROR(VLOOKUP(B147,mapping_one_neo!A:B,2,FALSE),"")</f>
        <v>Computer equipment maintenance/service AU=0ADJ16</v>
      </c>
      <c r="B147" s="388" t="s">
        <v>99</v>
      </c>
      <c r="C147" s="353">
        <v>615620</v>
      </c>
      <c r="E147" s="356">
        <v>-0.61181084444444411</v>
      </c>
      <c r="G147" s="419">
        <v>0</v>
      </c>
      <c r="H147" s="419">
        <v>0</v>
      </c>
      <c r="I147" s="419">
        <v>0</v>
      </c>
      <c r="J147" s="419">
        <v>0</v>
      </c>
      <c r="K147" s="419">
        <v>0</v>
      </c>
      <c r="L147" s="419">
        <v>0</v>
      </c>
      <c r="M147" s="419">
        <v>-0.101968474074074</v>
      </c>
      <c r="N147" s="419">
        <v>-0.101968474074074</v>
      </c>
      <c r="O147" s="419">
        <v>-0.101968474074074</v>
      </c>
      <c r="P147" s="419">
        <v>-0.101968474074074</v>
      </c>
      <c r="Q147" s="419">
        <v>-0.101968474074074</v>
      </c>
      <c r="R147" s="419">
        <v>-0.101968474074074</v>
      </c>
      <c r="S147" s="345"/>
      <c r="T147" s="361"/>
      <c r="U147" s="351"/>
      <c r="V147" s="351"/>
      <c r="W147" s="351"/>
      <c r="X147" s="351"/>
      <c r="Y147" s="363"/>
      <c r="Z147" s="363"/>
      <c r="AA147" s="363"/>
      <c r="AB147" s="363"/>
      <c r="AC147" s="363"/>
      <c r="AD147" s="355"/>
      <c r="AE147" s="334"/>
    </row>
    <row r="148" spans="1:31" s="352" customFormat="1" x14ac:dyDescent="0.2">
      <c r="A148" s="320" t="str">
        <f>IFERROR(VLOOKUP(B148,mapping_one_neo!A:B,2,FALSE),"")</f>
        <v>Outsourced business systems AU=0ADJ16</v>
      </c>
      <c r="B148" s="388" t="s">
        <v>100</v>
      </c>
      <c r="C148" s="353" t="s">
        <v>157</v>
      </c>
      <c r="E148" s="356">
        <v>-5.7623066666666656</v>
      </c>
      <c r="G148" s="419">
        <v>-0.47642000000000029</v>
      </c>
      <c r="H148" s="419">
        <v>-0.44569000000000059</v>
      </c>
      <c r="I148" s="419">
        <v>-0.4764199999999994</v>
      </c>
      <c r="J148" s="419">
        <v>-0.46104999999999863</v>
      </c>
      <c r="K148" s="419">
        <v>-0.47642000000000095</v>
      </c>
      <c r="L148" s="419">
        <v>-0.46106000000000025</v>
      </c>
      <c r="M148" s="419">
        <v>-0.4916666666666667</v>
      </c>
      <c r="N148" s="419">
        <v>-0.4916666666666667</v>
      </c>
      <c r="O148" s="419">
        <v>-0.4916666666666667</v>
      </c>
      <c r="P148" s="419">
        <v>-0.4916666666666667</v>
      </c>
      <c r="Q148" s="419">
        <v>-0.4916666666666667</v>
      </c>
      <c r="R148" s="419">
        <v>-0.50691333333333199</v>
      </c>
      <c r="S148" s="345"/>
      <c r="T148" s="361"/>
      <c r="U148" s="351">
        <v>-0.60023000000000015</v>
      </c>
      <c r="V148" s="351"/>
      <c r="W148" s="351"/>
      <c r="X148" s="351"/>
      <c r="Y148" s="363">
        <v>-0.60023000000000037</v>
      </c>
      <c r="Z148" s="363"/>
      <c r="AA148" s="363"/>
      <c r="AB148" s="363"/>
      <c r="AC148" s="363">
        <v>-0.60023000000000037</v>
      </c>
      <c r="AD148" s="355"/>
      <c r="AE148" s="334"/>
    </row>
    <row r="149" spans="1:31" s="352" customFormat="1" x14ac:dyDescent="0.2">
      <c r="A149" s="320" t="str">
        <f>IFERROR(VLOOKUP(B149,mapping_one_neo!A:B,2,FALSE),"")</f>
        <v>Outsourced business systems AU=0ADJ16</v>
      </c>
      <c r="B149" s="388" t="s">
        <v>101</v>
      </c>
      <c r="C149" s="353" t="s">
        <v>157</v>
      </c>
      <c r="E149" s="356">
        <v>-29.459999999999994</v>
      </c>
      <c r="G149" s="419">
        <v>-2.3999999999999995</v>
      </c>
      <c r="H149" s="419">
        <v>-2.5100000000000002</v>
      </c>
      <c r="I149" s="419">
        <v>-2.4550000000000001</v>
      </c>
      <c r="J149" s="419">
        <v>-2.4550000000000001</v>
      </c>
      <c r="K149" s="419">
        <v>-2.4550000000000001</v>
      </c>
      <c r="L149" s="419">
        <v>-2.4550000000000001</v>
      </c>
      <c r="M149" s="419">
        <v>-2.4550000000000001</v>
      </c>
      <c r="N149" s="419">
        <v>-2.4550000000000001</v>
      </c>
      <c r="O149" s="419">
        <v>-2.4550000000000001</v>
      </c>
      <c r="P149" s="419">
        <v>-2.4550000000000001</v>
      </c>
      <c r="Q149" s="419">
        <v>-2.4550000000000001</v>
      </c>
      <c r="R149" s="419">
        <v>-2.4550000000000001</v>
      </c>
      <c r="S149" s="345"/>
      <c r="T149" s="361"/>
      <c r="U149" s="351">
        <v>-2.5</v>
      </c>
      <c r="V149" s="351"/>
      <c r="W149" s="351"/>
      <c r="X149" s="351"/>
      <c r="Y149" s="363">
        <v>-2.5</v>
      </c>
      <c r="Z149" s="363"/>
      <c r="AA149" s="363"/>
      <c r="AB149" s="363"/>
      <c r="AC149" s="363">
        <v>-2.5</v>
      </c>
      <c r="AD149" s="355"/>
      <c r="AE149" s="334" t="s">
        <v>134</v>
      </c>
    </row>
    <row r="150" spans="1:31" s="352" customFormat="1" x14ac:dyDescent="0.2">
      <c r="A150" s="320" t="str">
        <f>IFERROR(VLOOKUP(B150,mapping_one_neo!A:B,2,FALSE),"")</f>
        <v>Outsourced business systems AU=0ADJ16</v>
      </c>
      <c r="B150" s="388" t="s">
        <v>102</v>
      </c>
      <c r="C150" s="353" t="s">
        <v>157</v>
      </c>
      <c r="E150" s="356">
        <v>-6.9993333333333316</v>
      </c>
      <c r="G150" s="419">
        <v>-0.58299999999999996</v>
      </c>
      <c r="H150" s="419">
        <v>-0.58299999999999996</v>
      </c>
      <c r="I150" s="419">
        <v>-0.58299999999999996</v>
      </c>
      <c r="J150" s="419">
        <v>-0.58299999999999996</v>
      </c>
      <c r="K150" s="419">
        <v>-0.58300000000000018</v>
      </c>
      <c r="L150" s="419">
        <v>-0.58299999999999974</v>
      </c>
      <c r="M150" s="419">
        <v>-0.58299999999999996</v>
      </c>
      <c r="N150" s="419">
        <v>-0.58299999999999996</v>
      </c>
      <c r="O150" s="419">
        <v>-0.58299999999999996</v>
      </c>
      <c r="P150" s="419">
        <v>-0.58299999999999996</v>
      </c>
      <c r="Q150" s="419">
        <v>-0.58299999999999996</v>
      </c>
      <c r="R150" s="419">
        <v>-0.58633333333333104</v>
      </c>
      <c r="S150" s="345"/>
      <c r="T150" s="361"/>
      <c r="U150" s="351">
        <v>-0.52500000000000002</v>
      </c>
      <c r="V150" s="351"/>
      <c r="W150" s="351"/>
      <c r="X150" s="351"/>
      <c r="Y150" s="363">
        <v>-0.52500000000000002</v>
      </c>
      <c r="Z150" s="363"/>
      <c r="AA150" s="363"/>
      <c r="AB150" s="363"/>
      <c r="AC150" s="363">
        <v>-0.52500000000000002</v>
      </c>
      <c r="AD150" s="355"/>
      <c r="AE150" s="334"/>
    </row>
    <row r="151" spans="1:31" s="352" customFormat="1" x14ac:dyDescent="0.2">
      <c r="A151" s="320" t="str">
        <f>IFERROR(VLOOKUP(B151,mapping_one_neo!A:B,2,FALSE),"")</f>
        <v>Outsourced business systems AU=0ADJ16</v>
      </c>
      <c r="B151" s="388" t="s">
        <v>103</v>
      </c>
      <c r="C151" s="353">
        <v>681202</v>
      </c>
      <c r="E151" s="356">
        <v>0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0</v>
      </c>
      <c r="N151" s="419">
        <v>0</v>
      </c>
      <c r="O151" s="419">
        <v>0</v>
      </c>
      <c r="P151" s="419">
        <v>0</v>
      </c>
      <c r="Q151" s="419">
        <v>0</v>
      </c>
      <c r="R151" s="419">
        <v>0</v>
      </c>
      <c r="S151" s="345"/>
      <c r="T151" s="361"/>
      <c r="U151" s="351"/>
      <c r="V151" s="351"/>
      <c r="W151" s="351"/>
      <c r="X151" s="351"/>
      <c r="Y151" s="363">
        <v>0</v>
      </c>
      <c r="Z151" s="363"/>
      <c r="AA151" s="363"/>
      <c r="AB151" s="363"/>
      <c r="AC151" s="363">
        <v>0</v>
      </c>
      <c r="AD151" s="355"/>
      <c r="AE151" s="334"/>
    </row>
    <row r="152" spans="1:31" s="352" customFormat="1" x14ac:dyDescent="0.2">
      <c r="A152" s="320" t="str">
        <f>IFERROR(VLOOKUP(B152,mapping_one_neo!A:B,2,FALSE),"")</f>
        <v>Outsourced business systems AU=0ADJ16</v>
      </c>
      <c r="B152" s="388" t="s">
        <v>104</v>
      </c>
      <c r="C152" s="353">
        <v>615625</v>
      </c>
      <c r="E152" s="356">
        <v>-3</v>
      </c>
      <c r="G152" s="419">
        <v>-0.25</v>
      </c>
      <c r="H152" s="419">
        <v>-0.25</v>
      </c>
      <c r="I152" s="419">
        <v>-0.25</v>
      </c>
      <c r="J152" s="419">
        <v>-0.25</v>
      </c>
      <c r="K152" s="419">
        <v>-0.25</v>
      </c>
      <c r="L152" s="419">
        <v>-0.25</v>
      </c>
      <c r="M152" s="419">
        <v>-0.25</v>
      </c>
      <c r="N152" s="419">
        <v>-0.25</v>
      </c>
      <c r="O152" s="419">
        <v>-0.25</v>
      </c>
      <c r="P152" s="419">
        <v>-0.25</v>
      </c>
      <c r="Q152" s="419">
        <v>-0.25</v>
      </c>
      <c r="R152" s="419">
        <v>-0.25</v>
      </c>
      <c r="S152" s="345"/>
      <c r="T152" s="361"/>
      <c r="U152" s="351"/>
      <c r="V152" s="351">
        <v>-0.375</v>
      </c>
      <c r="W152" s="351"/>
      <c r="X152" s="351"/>
      <c r="Y152" s="363">
        <v>-0.375</v>
      </c>
      <c r="Z152" s="363"/>
      <c r="AA152" s="363"/>
      <c r="AB152" s="363"/>
      <c r="AC152" s="363">
        <v>-0.375</v>
      </c>
      <c r="AD152" s="355"/>
      <c r="AE152" s="334"/>
    </row>
    <row r="153" spans="1:31" s="352" customFormat="1" x14ac:dyDescent="0.2">
      <c r="A153" s="320" t="str">
        <f>IFERROR(VLOOKUP(B153,mapping_one_neo!A:B,2,FALSE),"")</f>
        <v>WPP Business Services/IBM cost allocation</v>
      </c>
      <c r="B153" s="388" t="s">
        <v>105</v>
      </c>
      <c r="C153" s="353">
        <v>622617</v>
      </c>
      <c r="E153" s="356">
        <v>-22.998333333333335</v>
      </c>
      <c r="G153" s="419">
        <v>-1.9166666666666667</v>
      </c>
      <c r="H153" s="419">
        <v>-1.9163333333333334</v>
      </c>
      <c r="I153" s="419">
        <v>-1.9163333333333337</v>
      </c>
      <c r="J153" s="419">
        <v>-1.9163333333333341</v>
      </c>
      <c r="K153" s="419">
        <v>-1.9163333333333332</v>
      </c>
      <c r="L153" s="419">
        <v>-1.9163333333333323</v>
      </c>
      <c r="M153" s="419">
        <v>-1.9166666666666667</v>
      </c>
      <c r="N153" s="419">
        <v>-1.9166666666666667</v>
      </c>
      <c r="O153" s="419">
        <v>-1.9166666666666667</v>
      </c>
      <c r="P153" s="419">
        <v>-1.9166666666666667</v>
      </c>
      <c r="Q153" s="419">
        <v>-1.9166666666666667</v>
      </c>
      <c r="R153" s="419">
        <v>-1.9166666666666667</v>
      </c>
      <c r="S153" s="345"/>
      <c r="T153" s="361"/>
      <c r="U153" s="351"/>
      <c r="V153" s="351"/>
      <c r="W153" s="351"/>
      <c r="X153" s="351">
        <v>-1.9166666666666667</v>
      </c>
      <c r="Y153" s="363">
        <v>-1.9166666666666667</v>
      </c>
      <c r="Z153" s="363"/>
      <c r="AA153" s="363"/>
      <c r="AB153" s="363"/>
      <c r="AC153" s="363">
        <v>-1.9166666666666667</v>
      </c>
      <c r="AD153" s="355"/>
      <c r="AE153" s="334"/>
    </row>
    <row r="154" spans="1:31" s="387" customFormat="1" x14ac:dyDescent="0.2">
      <c r="A154" s="320">
        <f>IFERROR(VLOOKUP(B154,mapping_one_neo!A:B,2,FALSE),"")</f>
        <v>0</v>
      </c>
      <c r="B154" s="387" t="s">
        <v>106</v>
      </c>
      <c r="C154" s="392"/>
      <c r="E154" s="393">
        <v>-86.831784177777763</v>
      </c>
      <c r="G154" s="393">
        <v>-7.1260866666666667</v>
      </c>
      <c r="H154" s="393">
        <v>-7.205023333333334</v>
      </c>
      <c r="I154" s="393">
        <v>-7.1807533333333335</v>
      </c>
      <c r="J154" s="393">
        <v>-7.1653833333333328</v>
      </c>
      <c r="K154" s="393">
        <v>-7.1807533333333344</v>
      </c>
      <c r="L154" s="393">
        <v>-7.1653933333333324</v>
      </c>
      <c r="M154" s="393">
        <v>-7.298301807407408</v>
      </c>
      <c r="N154" s="393">
        <v>-7.298301807407408</v>
      </c>
      <c r="O154" s="393">
        <v>-7.298301807407408</v>
      </c>
      <c r="P154" s="393">
        <v>-7.298301807407408</v>
      </c>
      <c r="Q154" s="393">
        <v>-7.298301807407408</v>
      </c>
      <c r="R154" s="393">
        <v>-7.3168818074074045</v>
      </c>
      <c r="S154" s="349"/>
      <c r="T154" s="346"/>
      <c r="U154" s="393">
        <f>SUM(U144:U153)</f>
        <v>-5.43323</v>
      </c>
      <c r="V154" s="393">
        <f t="shared" ref="V154:AC154" si="11">SUM(V144:V153)</f>
        <v>-0.375</v>
      </c>
      <c r="W154" s="393">
        <f t="shared" si="11"/>
        <v>0</v>
      </c>
      <c r="X154" s="393">
        <f t="shared" si="11"/>
        <v>-1.9166666666666667</v>
      </c>
      <c r="Y154" s="393">
        <f t="shared" si="11"/>
        <v>-7.7248966666666679</v>
      </c>
      <c r="Z154" s="393">
        <f t="shared" si="11"/>
        <v>0</v>
      </c>
      <c r="AA154" s="393">
        <f t="shared" si="11"/>
        <v>0</v>
      </c>
      <c r="AB154" s="393">
        <f t="shared" si="11"/>
        <v>0</v>
      </c>
      <c r="AC154" s="393">
        <f t="shared" si="11"/>
        <v>-7.7248966666666679</v>
      </c>
      <c r="AD154" s="394"/>
      <c r="AE154" s="334"/>
    </row>
    <row r="155" spans="1:31" s="387" customFormat="1" x14ac:dyDescent="0.2">
      <c r="A155" s="320" t="str">
        <f>IFERROR(VLOOKUP(B155,mapping_one_neo!A:B,2,FALSE),"")</f>
        <v/>
      </c>
      <c r="C155" s="353"/>
      <c r="E155" s="397"/>
      <c r="G155" s="397"/>
      <c r="H155" s="397"/>
      <c r="I155" s="397"/>
      <c r="J155" s="397"/>
      <c r="K155" s="397"/>
      <c r="L155" s="397"/>
      <c r="M155" s="397"/>
      <c r="N155" s="397"/>
      <c r="O155" s="397"/>
      <c r="P155" s="397"/>
      <c r="Q155" s="397"/>
      <c r="R155" s="397"/>
      <c r="S155" s="349"/>
      <c r="T155" s="346"/>
      <c r="U155" s="397"/>
      <c r="V155" s="397"/>
      <c r="W155" s="397"/>
      <c r="X155" s="397"/>
      <c r="Y155" s="397"/>
      <c r="Z155" s="397"/>
      <c r="AA155" s="397"/>
      <c r="AB155" s="397"/>
      <c r="AC155" s="397"/>
      <c r="AD155" s="394"/>
      <c r="AE155" s="334"/>
    </row>
    <row r="156" spans="1:31" s="352" customFormat="1" x14ac:dyDescent="0.2">
      <c r="A156" s="320" t="str">
        <f>IFERROR(VLOOKUP(B156,mapping_one_neo!A:B,2,FALSE),"")</f>
        <v>Stationery/art &amp; materials AU=0.INP</v>
      </c>
      <c r="B156" s="388" t="s">
        <v>107</v>
      </c>
      <c r="C156" s="353" t="s">
        <v>158</v>
      </c>
      <c r="E156" s="356">
        <v>-1.5</v>
      </c>
      <c r="G156" s="419">
        <v>-0.125</v>
      </c>
      <c r="H156" s="419">
        <v>-0.125</v>
      </c>
      <c r="I156" s="419">
        <v>-0.125</v>
      </c>
      <c r="J156" s="419">
        <v>-0.125</v>
      </c>
      <c r="K156" s="419">
        <v>-0.125</v>
      </c>
      <c r="L156" s="419">
        <v>-0.125</v>
      </c>
      <c r="M156" s="419">
        <v>-0.125</v>
      </c>
      <c r="N156" s="419">
        <v>-0.125</v>
      </c>
      <c r="O156" s="419">
        <v>-0.125</v>
      </c>
      <c r="P156" s="419">
        <v>-0.125</v>
      </c>
      <c r="Q156" s="419">
        <v>-0.125</v>
      </c>
      <c r="R156" s="419">
        <v>-0.125</v>
      </c>
      <c r="S156" s="345"/>
      <c r="T156" s="361"/>
      <c r="U156" s="351">
        <v>-0.1</v>
      </c>
      <c r="V156" s="351"/>
      <c r="W156" s="351"/>
      <c r="X156" s="351"/>
      <c r="Y156" s="363">
        <v>-0.1</v>
      </c>
      <c r="Z156" s="363"/>
      <c r="AA156" s="363"/>
      <c r="AB156" s="363"/>
      <c r="AC156" s="363">
        <v>-0.1</v>
      </c>
      <c r="AD156" s="355"/>
      <c r="AE156" s="334"/>
    </row>
    <row r="157" spans="1:31" s="352" customFormat="1" x14ac:dyDescent="0.2">
      <c r="A157" s="320" t="str">
        <f>IFERROR(VLOOKUP(B157,mapping_one_neo!A:B,2,FALSE),"")</f>
        <v>Software/hardware expenses</v>
      </c>
      <c r="B157" s="388" t="s">
        <v>108</v>
      </c>
      <c r="C157" s="353">
        <v>606420</v>
      </c>
      <c r="E157" s="356">
        <v>-3.9547024999999989</v>
      </c>
      <c r="G157" s="419">
        <v>-0.44634000000000001</v>
      </c>
      <c r="H157" s="419">
        <v>0</v>
      </c>
      <c r="I157" s="419">
        <v>-0.68500000000000005</v>
      </c>
      <c r="J157" s="419">
        <v>0</v>
      </c>
      <c r="K157" s="419">
        <v>0</v>
      </c>
      <c r="L157" s="419">
        <v>-3.0450000000000088E-2</v>
      </c>
      <c r="M157" s="419">
        <v>-1</v>
      </c>
      <c r="N157" s="419">
        <v>-0.35858250000000003</v>
      </c>
      <c r="O157" s="419">
        <v>-0.35858250000000003</v>
      </c>
      <c r="P157" s="419">
        <v>-0.35858250000000003</v>
      </c>
      <c r="Q157" s="419">
        <v>-0.35858250000000003</v>
      </c>
      <c r="R157" s="419">
        <v>-0.35858250000000003</v>
      </c>
      <c r="S157" s="345"/>
      <c r="T157" s="361"/>
      <c r="U157" s="351"/>
      <c r="V157" s="351"/>
      <c r="W157" s="351"/>
      <c r="X157" s="351"/>
      <c r="Y157" s="363">
        <v>0</v>
      </c>
      <c r="Z157" s="363"/>
      <c r="AA157" s="363"/>
      <c r="AB157" s="363"/>
      <c r="AC157" s="363">
        <v>0</v>
      </c>
      <c r="AD157" s="355"/>
      <c r="AE157" s="334" t="s">
        <v>792</v>
      </c>
    </row>
    <row r="158" spans="1:31" s="352" customFormat="1" x14ac:dyDescent="0.2">
      <c r="A158" s="320" t="str">
        <f>IFERROR(VLOOKUP(B158,mapping_one_neo!A:B,2,FALSE),"")</f>
        <v>Stationery/art &amp; materials AU=0.INP</v>
      </c>
      <c r="B158" s="388" t="s">
        <v>109</v>
      </c>
      <c r="C158" s="353" t="s">
        <v>159</v>
      </c>
      <c r="E158" s="356">
        <v>-7.5</v>
      </c>
      <c r="G158" s="419">
        <v>-0.625</v>
      </c>
      <c r="H158" s="419">
        <v>-0.625</v>
      </c>
      <c r="I158" s="419">
        <v>-0.625</v>
      </c>
      <c r="J158" s="419">
        <v>-0.625</v>
      </c>
      <c r="K158" s="419">
        <v>-0.625</v>
      </c>
      <c r="L158" s="419">
        <v>-0.625</v>
      </c>
      <c r="M158" s="419">
        <v>-0.625</v>
      </c>
      <c r="N158" s="419">
        <v>-0.625</v>
      </c>
      <c r="O158" s="419">
        <v>-0.625</v>
      </c>
      <c r="P158" s="419">
        <v>-0.625</v>
      </c>
      <c r="Q158" s="419">
        <v>-0.625</v>
      </c>
      <c r="R158" s="419">
        <v>-0.625</v>
      </c>
      <c r="S158" s="345"/>
      <c r="T158" s="361"/>
      <c r="U158" s="351">
        <v>-0.63300000000000001</v>
      </c>
      <c r="V158" s="351"/>
      <c r="W158" s="351"/>
      <c r="X158" s="351"/>
      <c r="Y158" s="363">
        <v>-0.63300000000000001</v>
      </c>
      <c r="Z158" s="363"/>
      <c r="AA158" s="363"/>
      <c r="AB158" s="363"/>
      <c r="AC158" s="363">
        <v>-0.63300000000000001</v>
      </c>
      <c r="AD158" s="355"/>
      <c r="AE158" s="334"/>
    </row>
    <row r="159" spans="1:31" s="352" customFormat="1" x14ac:dyDescent="0.2">
      <c r="A159" s="320" t="str">
        <f>IFERROR(VLOOKUP(B159,mapping_one_neo!A:B,2,FALSE),"")</f>
        <v>Other office costs AU=0.INP</v>
      </c>
      <c r="B159" s="388" t="s">
        <v>110</v>
      </c>
      <c r="C159" s="353">
        <v>658201</v>
      </c>
      <c r="E159" s="356">
        <v>-3.9603704333333338</v>
      </c>
      <c r="G159" s="419">
        <v>-0.37096289999999998</v>
      </c>
      <c r="H159" s="419">
        <v>-0.29503710000000005</v>
      </c>
      <c r="I159" s="419">
        <v>-0.33300000000000007</v>
      </c>
      <c r="J159" s="419">
        <v>-0.33299999999999996</v>
      </c>
      <c r="K159" s="419">
        <v>-0.33299999999999996</v>
      </c>
      <c r="L159" s="419">
        <v>-0.33300000000000018</v>
      </c>
      <c r="M159" s="419">
        <v>-0.33333333333333331</v>
      </c>
      <c r="N159" s="419">
        <v>-0.33333333333333331</v>
      </c>
      <c r="O159" s="419">
        <v>-0.33333333333333331</v>
      </c>
      <c r="P159" s="419">
        <v>-0.33333333333333331</v>
      </c>
      <c r="Q159" s="419">
        <v>-0.33333333333333331</v>
      </c>
      <c r="R159" s="419">
        <v>-0.29570376666666598</v>
      </c>
      <c r="S159" s="345"/>
      <c r="T159" s="361"/>
      <c r="U159" s="351">
        <v>-0.25</v>
      </c>
      <c r="V159" s="351"/>
      <c r="W159" s="351"/>
      <c r="X159" s="351"/>
      <c r="Y159" s="363">
        <v>-0.25</v>
      </c>
      <c r="Z159" s="363"/>
      <c r="AA159" s="363"/>
      <c r="AB159" s="363"/>
      <c r="AC159" s="363">
        <v>-0.25</v>
      </c>
      <c r="AD159" s="355"/>
      <c r="AE159" s="334"/>
    </row>
    <row r="160" spans="1:31" s="352" customFormat="1" x14ac:dyDescent="0.2">
      <c r="A160" s="320" t="str">
        <f>IFERROR(VLOOKUP(B160,mapping_one_neo!A:B,2,FALSE),"")</f>
        <v>Other office costs AU=0.INP</v>
      </c>
      <c r="B160" s="388" t="s">
        <v>111</v>
      </c>
      <c r="C160" s="353">
        <v>681122</v>
      </c>
      <c r="E160" s="356">
        <v>-7.2424500000000016</v>
      </c>
      <c r="G160" s="419">
        <v>-0.54120000000000001</v>
      </c>
      <c r="H160" s="419">
        <v>-0.50627999999999995</v>
      </c>
      <c r="I160" s="419">
        <v>-0.54116999999999993</v>
      </c>
      <c r="J160" s="419">
        <v>-0.62921000000000005</v>
      </c>
      <c r="K160" s="419">
        <v>-0.63658999999999999</v>
      </c>
      <c r="L160" s="419">
        <v>-0.61274000000000006</v>
      </c>
      <c r="M160" s="419">
        <v>-0.62921000000000005</v>
      </c>
      <c r="N160" s="419">
        <v>-0.62921000000000005</v>
      </c>
      <c r="O160" s="419">
        <v>-0.62921000000000005</v>
      </c>
      <c r="P160" s="419">
        <v>-0.62921000000000005</v>
      </c>
      <c r="Q160" s="419">
        <v>-0.62921000000000005</v>
      </c>
      <c r="R160" s="419">
        <v>-0.62921000000000005</v>
      </c>
      <c r="S160" s="345"/>
      <c r="T160" s="361"/>
      <c r="U160" s="351">
        <v>-0.92864000000000002</v>
      </c>
      <c r="V160" s="351"/>
      <c r="W160" s="351"/>
      <c r="X160" s="351"/>
      <c r="Y160" s="363">
        <v>-0.92864000000000002</v>
      </c>
      <c r="Z160" s="363"/>
      <c r="AA160" s="363"/>
      <c r="AB160" s="363"/>
      <c r="AC160" s="363">
        <v>-0.92864000000000002</v>
      </c>
      <c r="AD160" s="355"/>
      <c r="AE160" s="334"/>
    </row>
    <row r="161" spans="1:31" s="387" customFormat="1" x14ac:dyDescent="0.2">
      <c r="A161" s="320">
        <f>IFERROR(VLOOKUP(B161,mapping_one_neo!A:B,2,FALSE),"")</f>
        <v>0</v>
      </c>
      <c r="B161" s="387" t="s">
        <v>112</v>
      </c>
      <c r="C161" s="353"/>
      <c r="E161" s="393">
        <v>-24.157522933333336</v>
      </c>
      <c r="G161" s="393">
        <v>-2.1085029</v>
      </c>
      <c r="H161" s="393">
        <v>-1.5513170999999999</v>
      </c>
      <c r="I161" s="393">
        <v>-2.3091699999999999</v>
      </c>
      <c r="J161" s="393">
        <v>-1.71221</v>
      </c>
      <c r="K161" s="393">
        <v>-1.71959</v>
      </c>
      <c r="L161" s="393">
        <v>-1.7261900000000003</v>
      </c>
      <c r="M161" s="393">
        <v>-2.7125433333333335</v>
      </c>
      <c r="N161" s="393">
        <v>-2.0711258333333333</v>
      </c>
      <c r="O161" s="393">
        <v>-2.0711258333333333</v>
      </c>
      <c r="P161" s="393">
        <v>-2.0711258333333333</v>
      </c>
      <c r="Q161" s="393">
        <v>-2.0711258333333333</v>
      </c>
      <c r="R161" s="393">
        <v>-2.0334962666666661</v>
      </c>
      <c r="S161" s="349"/>
      <c r="T161" s="346"/>
      <c r="U161" s="393">
        <f>SUM(U156:U160)</f>
        <v>-1.91164</v>
      </c>
      <c r="V161" s="393">
        <f t="shared" ref="V161:AC161" si="12">SUM(V156:V160)</f>
        <v>0</v>
      </c>
      <c r="W161" s="393">
        <f t="shared" si="12"/>
        <v>0</v>
      </c>
      <c r="X161" s="393">
        <f t="shared" si="12"/>
        <v>0</v>
      </c>
      <c r="Y161" s="393">
        <f t="shared" si="12"/>
        <v>-1.91164</v>
      </c>
      <c r="Z161" s="393">
        <f t="shared" si="12"/>
        <v>0</v>
      </c>
      <c r="AA161" s="393">
        <f t="shared" si="12"/>
        <v>0</v>
      </c>
      <c r="AB161" s="393">
        <f t="shared" si="12"/>
        <v>0</v>
      </c>
      <c r="AC161" s="393">
        <f t="shared" si="12"/>
        <v>-1.91164</v>
      </c>
      <c r="AD161" s="355"/>
      <c r="AE161" s="334"/>
    </row>
    <row r="162" spans="1:31" s="387" customFormat="1" x14ac:dyDescent="0.2">
      <c r="A162" s="320" t="str">
        <f>IFERROR(VLOOKUP(B162,mapping_one_neo!A:B,2,FALSE),"")</f>
        <v/>
      </c>
      <c r="C162" s="353"/>
      <c r="E162" s="397"/>
      <c r="G162" s="397"/>
      <c r="H162" s="397"/>
      <c r="I162" s="397"/>
      <c r="J162" s="397"/>
      <c r="K162" s="397"/>
      <c r="L162" s="397"/>
      <c r="M162" s="397"/>
      <c r="N162" s="397"/>
      <c r="O162" s="397"/>
      <c r="P162" s="397"/>
      <c r="Q162" s="397"/>
      <c r="R162" s="397"/>
      <c r="S162" s="349"/>
      <c r="T162" s="346"/>
      <c r="U162" s="397"/>
      <c r="V162" s="397"/>
      <c r="W162" s="397"/>
      <c r="X162" s="397"/>
      <c r="Y162" s="397"/>
      <c r="Z162" s="397"/>
      <c r="AA162" s="397"/>
      <c r="AB162" s="397"/>
      <c r="AC162" s="397"/>
      <c r="AD162" s="394"/>
      <c r="AE162" s="334"/>
    </row>
    <row r="163" spans="1:31" s="387" customFormat="1" x14ac:dyDescent="0.2">
      <c r="A163" s="320" t="str">
        <f>IFERROR(VLOOKUP(B163,mapping_one_neo!A:B,2,FALSE),"")</f>
        <v/>
      </c>
      <c r="C163" s="392"/>
      <c r="E163" s="397"/>
      <c r="G163" s="397"/>
      <c r="H163" s="397"/>
      <c r="I163" s="397"/>
      <c r="J163" s="397"/>
      <c r="K163" s="397"/>
      <c r="L163" s="397"/>
      <c r="M163" s="397"/>
      <c r="N163" s="397"/>
      <c r="O163" s="397"/>
      <c r="P163" s="397"/>
      <c r="Q163" s="397"/>
      <c r="R163" s="397"/>
      <c r="S163" s="349"/>
      <c r="T163" s="346"/>
      <c r="U163" s="397"/>
      <c r="V163" s="397"/>
      <c r="W163" s="397">
        <v>-1.5583333333333333</v>
      </c>
      <c r="X163" s="397"/>
      <c r="Y163" s="397">
        <v>-1.5583333333333333</v>
      </c>
      <c r="Z163" s="397"/>
      <c r="AA163" s="397"/>
      <c r="AB163" s="397"/>
      <c r="AC163" s="397">
        <v>-1.5583333333333333</v>
      </c>
      <c r="AD163" s="394"/>
      <c r="AE163" s="334"/>
    </row>
    <row r="164" spans="1:31" s="400" customFormat="1" x14ac:dyDescent="0.2">
      <c r="A164" s="320" t="str">
        <f>IFERROR(VLOOKUP(B164,mapping_one_neo!A:B,2,FALSE),"")</f>
        <v>vide</v>
      </c>
      <c r="B164" s="400" t="s">
        <v>113</v>
      </c>
      <c r="C164" s="402"/>
      <c r="E164" s="356">
        <v>-9.492231230702151</v>
      </c>
      <c r="G164" s="419">
        <v>-0.79101916666666661</v>
      </c>
      <c r="H164" s="419">
        <v>-0.79101916666666661</v>
      </c>
      <c r="I164" s="419">
        <v>-0.79101916666666661</v>
      </c>
      <c r="J164" s="419">
        <v>-0.79101916666666661</v>
      </c>
      <c r="K164" s="419">
        <v>-0.79101916666666661</v>
      </c>
      <c r="L164" s="419">
        <v>-0.79101916666666661</v>
      </c>
      <c r="M164" s="419">
        <v>-0.79101916666666661</v>
      </c>
      <c r="N164" s="419">
        <v>-0.79101916666666661</v>
      </c>
      <c r="O164" s="419">
        <v>-0.79101916666666661</v>
      </c>
      <c r="P164" s="419">
        <v>-0.79101916666666661</v>
      </c>
      <c r="Q164" s="419">
        <v>-0.79101916666666661</v>
      </c>
      <c r="R164" s="419">
        <v>-0.79102039736881802</v>
      </c>
      <c r="S164" s="345"/>
      <c r="T164" s="361"/>
      <c r="U164" s="426"/>
      <c r="V164" s="426"/>
      <c r="W164" s="426"/>
      <c r="X164" s="426"/>
      <c r="Y164" s="405"/>
      <c r="Z164" s="405"/>
      <c r="AA164" s="405"/>
      <c r="AB164" s="405"/>
      <c r="AC164" s="363"/>
      <c r="AD164" s="403"/>
      <c r="AE164" s="334"/>
    </row>
    <row r="165" spans="1:31" x14ac:dyDescent="0.2">
      <c r="A165" s="320" t="str">
        <f>IFERROR(VLOOKUP(B165,mapping_one_neo!A:B,2,FALSE),"")</f>
        <v/>
      </c>
      <c r="J165" s="335">
        <v>0</v>
      </c>
      <c r="M165" s="335">
        <v>0</v>
      </c>
      <c r="S165" s="349"/>
      <c r="T165" s="346"/>
      <c r="U165" s="351"/>
      <c r="V165" s="351"/>
      <c r="W165" s="351"/>
      <c r="X165" s="351"/>
      <c r="Y165" s="358"/>
      <c r="Z165" s="358"/>
      <c r="AA165" s="358"/>
      <c r="AB165" s="358"/>
      <c r="AC165" s="358"/>
      <c r="AD165" s="350"/>
    </row>
    <row r="166" spans="1:31" x14ac:dyDescent="0.2">
      <c r="A166" s="320">
        <f>IFERROR(VLOOKUP(B166,mapping_one_neo!A:B,2,FALSE),"")</f>
        <v>0</v>
      </c>
      <c r="B166" s="352" t="s">
        <v>114</v>
      </c>
      <c r="C166" s="353"/>
      <c r="E166" s="354">
        <v>-133.52886241588732</v>
      </c>
      <c r="G166" s="404">
        <v>-11.041608733333334</v>
      </c>
      <c r="H166" s="404">
        <v>-10.563359600000002</v>
      </c>
      <c r="I166" s="404">
        <v>-11.2969425</v>
      </c>
      <c r="J166" s="404">
        <v>-10.7846125</v>
      </c>
      <c r="K166" s="404">
        <v>-10.473662500000001</v>
      </c>
      <c r="L166" s="404">
        <v>-10.198602500000002</v>
      </c>
      <c r="M166" s="404">
        <v>-12.065687764197531</v>
      </c>
      <c r="N166" s="404">
        <v>-11.424270264197531</v>
      </c>
      <c r="O166" s="404">
        <v>-11.424270264197531</v>
      </c>
      <c r="P166" s="404">
        <v>-11.424270264197531</v>
      </c>
      <c r="Q166" s="404">
        <v>-11.424270264197531</v>
      </c>
      <c r="R166" s="404">
        <v>-11.407305261566346</v>
      </c>
      <c r="S166" s="349"/>
      <c r="T166" s="346"/>
      <c r="U166" s="354">
        <f t="shared" ref="U166:V166" si="13">U161+U154+U141+U138+U137+U163</f>
        <v>-8.6698699999999995</v>
      </c>
      <c r="V166" s="354">
        <f t="shared" si="13"/>
        <v>-0.375</v>
      </c>
      <c r="W166" s="354">
        <f>W161+W154+W141+W138+W137+W163</f>
        <v>-1.5583333333333333</v>
      </c>
      <c r="X166" s="354">
        <f t="shared" ref="X166:AC166" si="14">X161+X154+X141+X138+X137+X163</f>
        <v>-1.9166666666666667</v>
      </c>
      <c r="Y166" s="357">
        <f t="shared" si="14"/>
        <v>-12.519870000000001</v>
      </c>
      <c r="Z166" s="357">
        <f t="shared" si="14"/>
        <v>0</v>
      </c>
      <c r="AA166" s="357">
        <f t="shared" si="14"/>
        <v>0</v>
      </c>
      <c r="AB166" s="357">
        <f t="shared" si="14"/>
        <v>0</v>
      </c>
      <c r="AC166" s="357">
        <f t="shared" si="14"/>
        <v>-12.519870000000001</v>
      </c>
      <c r="AD166" s="403"/>
    </row>
    <row r="167" spans="1:31" x14ac:dyDescent="0.2">
      <c r="A167" s="320" t="str">
        <f>IFERROR(VLOOKUP(B167,mapping_one_neo!A:B,2,FALSE),"")</f>
        <v/>
      </c>
      <c r="J167" s="335">
        <v>0</v>
      </c>
      <c r="M167" s="335">
        <v>0</v>
      </c>
      <c r="S167" s="349"/>
      <c r="T167" s="346"/>
      <c r="U167" s="351"/>
      <c r="V167" s="351"/>
      <c r="W167" s="351"/>
      <c r="X167" s="351"/>
      <c r="Y167" s="358"/>
      <c r="Z167" s="358"/>
      <c r="AA167" s="358"/>
      <c r="AB167" s="358"/>
      <c r="AC167" s="358"/>
      <c r="AD167" s="350"/>
    </row>
    <row r="168" spans="1:31" x14ac:dyDescent="0.2">
      <c r="A168" s="320" t="str">
        <f>IFERROR(VLOOKUP(B168,mapping_one_neo!A:B,2,FALSE),"")</f>
        <v/>
      </c>
      <c r="S168" s="349"/>
      <c r="T168" s="346"/>
      <c r="U168" s="351"/>
      <c r="V168" s="351"/>
      <c r="W168" s="351"/>
      <c r="X168" s="351"/>
      <c r="Y168" s="358"/>
      <c r="Z168" s="358"/>
      <c r="AA168" s="358"/>
      <c r="AB168" s="358"/>
      <c r="AC168" s="358"/>
      <c r="AD168" s="350"/>
    </row>
    <row r="169" spans="1:31" x14ac:dyDescent="0.2">
      <c r="A169" s="320">
        <f>IFERROR(VLOOKUP(B169,mapping_one_neo!A:B,2,FALSE),"")</f>
        <v>0</v>
      </c>
      <c r="B169" s="352" t="s">
        <v>115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8"/>
      <c r="AD169" s="350"/>
    </row>
    <row r="170" spans="1:31" s="352" customFormat="1" x14ac:dyDescent="0.2">
      <c r="A170" s="320" t="str">
        <f>IFERROR(VLOOKUP(B170,mapping_one_neo!A:B,2,FALSE),"")</f>
        <v>Insurance</v>
      </c>
      <c r="B170" s="352" t="s">
        <v>116</v>
      </c>
      <c r="C170" s="353" t="s">
        <v>160</v>
      </c>
      <c r="E170" s="356">
        <v>-0.69833333333333336</v>
      </c>
      <c r="G170" s="419">
        <v>-5.8000000000000003E-2</v>
      </c>
      <c r="H170" s="419">
        <v>-5.8000000000000003E-2</v>
      </c>
      <c r="I170" s="419">
        <v>-5.800000000000001E-2</v>
      </c>
      <c r="J170" s="419">
        <v>-5.7999999999999996E-2</v>
      </c>
      <c r="K170" s="419">
        <v>-5.8000000000000024E-2</v>
      </c>
      <c r="L170" s="419">
        <v>-5.7999999999999996E-2</v>
      </c>
      <c r="M170" s="419">
        <v>-5.8333333333333327E-2</v>
      </c>
      <c r="N170" s="419">
        <v>-5.8333333333333327E-2</v>
      </c>
      <c r="O170" s="419">
        <v>-5.8333333333333327E-2</v>
      </c>
      <c r="P170" s="419">
        <v>-5.8333333333333327E-2</v>
      </c>
      <c r="Q170" s="419">
        <v>-5.8333333333333327E-2</v>
      </c>
      <c r="R170" s="419">
        <v>-5.8666666666666603E-2</v>
      </c>
      <c r="S170" s="345"/>
      <c r="T170" s="361"/>
      <c r="U170" s="351">
        <v>-0.375</v>
      </c>
      <c r="V170" s="362"/>
      <c r="W170" s="362"/>
      <c r="X170" s="362"/>
      <c r="Y170" s="363">
        <v>-0.375</v>
      </c>
      <c r="Z170" s="363"/>
      <c r="AA170" s="363"/>
      <c r="AB170" s="363"/>
      <c r="AC170" s="363">
        <v>-0.375</v>
      </c>
      <c r="AD170" s="355"/>
      <c r="AE170" s="334"/>
    </row>
    <row r="171" spans="1:31" s="352" customFormat="1" x14ac:dyDescent="0.2">
      <c r="A171" s="320" t="str">
        <f>IFERROR(VLOOKUP(B171,mapping_one_neo!A:B,2,FALSE),"")</f>
        <v>Insurance</v>
      </c>
      <c r="B171" s="352" t="s">
        <v>117</v>
      </c>
      <c r="C171" s="353">
        <v>616021</v>
      </c>
      <c r="E171" s="356">
        <v>0</v>
      </c>
      <c r="G171" s="419">
        <v>0</v>
      </c>
      <c r="H171" s="419">
        <v>0</v>
      </c>
      <c r="I171" s="419">
        <v>0</v>
      </c>
      <c r="J171" s="419">
        <v>0</v>
      </c>
      <c r="K171" s="419">
        <v>0</v>
      </c>
      <c r="L171" s="419">
        <v>0</v>
      </c>
      <c r="M171" s="419">
        <v>0</v>
      </c>
      <c r="N171" s="419">
        <v>0</v>
      </c>
      <c r="O171" s="419">
        <v>0</v>
      </c>
      <c r="P171" s="419">
        <v>0</v>
      </c>
      <c r="Q171" s="419">
        <v>0</v>
      </c>
      <c r="R171" s="419">
        <v>0</v>
      </c>
      <c r="S171" s="345"/>
      <c r="T171" s="361"/>
      <c r="U171" s="351">
        <v>0</v>
      </c>
      <c r="V171" s="351">
        <v>0</v>
      </c>
      <c r="W171" s="351"/>
      <c r="X171" s="351"/>
      <c r="Y171" s="363">
        <v>0</v>
      </c>
      <c r="Z171" s="363"/>
      <c r="AA171" s="363"/>
      <c r="AB171" s="363"/>
      <c r="AC171" s="363">
        <v>0</v>
      </c>
      <c r="AD171" s="355"/>
      <c r="AE171" s="334"/>
    </row>
    <row r="172" spans="1:31" s="352" customFormat="1" x14ac:dyDescent="0.2">
      <c r="A172" s="320" t="str">
        <f>IFERROR(VLOOKUP(B172,mapping_one_neo!A:B,2,FALSE),"")</f>
        <v>Audit fees</v>
      </c>
      <c r="B172" s="352" t="s">
        <v>118</v>
      </c>
      <c r="C172" s="353">
        <v>622600</v>
      </c>
      <c r="E172" s="356">
        <v>-4</v>
      </c>
      <c r="G172" s="419">
        <v>-0.33333333333333331</v>
      </c>
      <c r="H172" s="419">
        <v>-0.33333333333333331</v>
      </c>
      <c r="I172" s="419">
        <v>-0.33333333333333337</v>
      </c>
      <c r="J172" s="419">
        <v>-0.33333333333333326</v>
      </c>
      <c r="K172" s="419">
        <v>-0.33333333333333326</v>
      </c>
      <c r="L172" s="419">
        <v>-0.33333333333333326</v>
      </c>
      <c r="M172" s="419">
        <v>-0.33333333333333326</v>
      </c>
      <c r="N172" s="419">
        <v>-0.33333333333333348</v>
      </c>
      <c r="O172" s="419">
        <v>-0.33333333333333331</v>
      </c>
      <c r="P172" s="419">
        <v>-0.33333333333333331</v>
      </c>
      <c r="Q172" s="419">
        <v>-0.33333333333333331</v>
      </c>
      <c r="R172" s="419">
        <v>-0.33333333333333331</v>
      </c>
      <c r="S172" s="345"/>
      <c r="T172" s="361"/>
      <c r="U172" s="351"/>
      <c r="V172" s="351">
        <v>-0.33333333333333331</v>
      </c>
      <c r="W172" s="351"/>
      <c r="X172" s="351"/>
      <c r="Y172" s="363">
        <v>-0.33333333333333331</v>
      </c>
      <c r="Z172" s="363"/>
      <c r="AA172" s="363"/>
      <c r="AB172" s="363"/>
      <c r="AC172" s="363">
        <v>-0.33333333333333331</v>
      </c>
      <c r="AD172" s="355"/>
      <c r="AE172" s="334"/>
    </row>
    <row r="173" spans="1:31" s="352" customFormat="1" x14ac:dyDescent="0.2">
      <c r="A173" s="320" t="str">
        <f>IFERROR(VLOOKUP(B173,mapping_one_neo!A:B,2,FALSE),"")</f>
        <v>Other finance &amp; general costs</v>
      </c>
      <c r="B173" s="352" t="s">
        <v>119</v>
      </c>
      <c r="C173" s="353">
        <v>618200</v>
      </c>
      <c r="E173" s="356">
        <v>-15.28218</v>
      </c>
      <c r="G173" s="419">
        <v>-0.86299999999999999</v>
      </c>
      <c r="H173" s="419">
        <v>-0.625</v>
      </c>
      <c r="I173" s="419">
        <v>-0.625</v>
      </c>
      <c r="J173" s="419">
        <v>-0.625</v>
      </c>
      <c r="K173" s="419">
        <v>-0.60273999999999983</v>
      </c>
      <c r="L173" s="419">
        <v>-0.61644000000000032</v>
      </c>
      <c r="M173" s="419">
        <v>-0.625</v>
      </c>
      <c r="N173" s="419">
        <v>-0.625</v>
      </c>
      <c r="O173" s="419">
        <v>-0.625</v>
      </c>
      <c r="P173" s="419">
        <v>-0.625</v>
      </c>
      <c r="Q173" s="419">
        <v>-0.625</v>
      </c>
      <c r="R173" s="419">
        <v>-8.1999999999999993</v>
      </c>
      <c r="S173" s="345"/>
      <c r="T173" s="361"/>
      <c r="U173" s="351">
        <v>-0.625</v>
      </c>
      <c r="V173" s="351"/>
      <c r="W173" s="351"/>
      <c r="X173" s="351"/>
      <c r="Y173" s="363">
        <v>-0.625</v>
      </c>
      <c r="Z173" s="363"/>
      <c r="AA173" s="363"/>
      <c r="AB173" s="363"/>
      <c r="AC173" s="363">
        <v>-0.625</v>
      </c>
      <c r="AD173" s="355"/>
      <c r="AE173" s="334"/>
    </row>
    <row r="174" spans="1:31" s="352" customFormat="1" x14ac:dyDescent="0.2">
      <c r="A174" s="320" t="str">
        <f>IFERROR(VLOOKUP(B174,mapping_one_neo!A:B,2,FALSE),"")</f>
        <v>Bank charges</v>
      </c>
      <c r="B174" s="352" t="s">
        <v>120</v>
      </c>
      <c r="C174" s="353">
        <v>627800</v>
      </c>
      <c r="E174" s="356">
        <v>-4.3593520000000003</v>
      </c>
      <c r="G174" s="419">
        <v>-0.31032999999999999</v>
      </c>
      <c r="H174" s="419">
        <v>-0.26900000000000002</v>
      </c>
      <c r="I174" s="419">
        <v>-0.51026000000000005</v>
      </c>
      <c r="J174" s="419">
        <v>-0.48784999999999989</v>
      </c>
      <c r="K174" s="419">
        <v>-0.26075000000000004</v>
      </c>
      <c r="L174" s="419">
        <v>-0.46876000000000007</v>
      </c>
      <c r="M174" s="419">
        <v>-0.34206700000000001</v>
      </c>
      <c r="N174" s="419">
        <v>-0.34206700000000001</v>
      </c>
      <c r="O174" s="419">
        <v>-0.34206700000000001</v>
      </c>
      <c r="P174" s="419">
        <v>-0.34206700000000001</v>
      </c>
      <c r="Q174" s="419">
        <v>-0.34206700000000001</v>
      </c>
      <c r="R174" s="419">
        <v>-0.34206700000000001</v>
      </c>
      <c r="S174" s="345"/>
      <c r="T174" s="361"/>
      <c r="U174" s="351">
        <v>-0.24742</v>
      </c>
      <c r="V174" s="351"/>
      <c r="W174" s="351"/>
      <c r="X174" s="351"/>
      <c r="Y174" s="363">
        <v>-0.24742</v>
      </c>
      <c r="Z174" s="363"/>
      <c r="AA174" s="363"/>
      <c r="AB174" s="363"/>
      <c r="AC174" s="363">
        <v>-0.24742</v>
      </c>
      <c r="AD174" s="355"/>
      <c r="AE174" s="334"/>
    </row>
    <row r="175" spans="1:31" s="352" customFormat="1" x14ac:dyDescent="0.2">
      <c r="A175" s="320" t="str">
        <f>IFERROR(VLOOKUP(B175,mapping_one_neo!A:B,2,FALSE),"")</f>
        <v>Other finance &amp; general costs</v>
      </c>
      <c r="B175" s="352" t="s">
        <v>756</v>
      </c>
      <c r="C175" s="353" t="s">
        <v>757</v>
      </c>
      <c r="E175" s="356">
        <v>0</v>
      </c>
      <c r="G175" s="419">
        <v>0</v>
      </c>
      <c r="H175" s="419">
        <v>0</v>
      </c>
      <c r="I175" s="419">
        <v>0</v>
      </c>
      <c r="J175" s="419">
        <v>-0.33400000000000002</v>
      </c>
      <c r="K175" s="419">
        <v>0.24400000000000002</v>
      </c>
      <c r="L175" s="419">
        <v>0.09</v>
      </c>
      <c r="M175" s="419"/>
      <c r="N175" s="419"/>
      <c r="O175" s="419"/>
      <c r="P175" s="419"/>
      <c r="Q175" s="419"/>
      <c r="R175" s="419"/>
      <c r="S175" s="345"/>
      <c r="T175" s="361"/>
      <c r="U175" s="351"/>
      <c r="V175" s="351"/>
      <c r="W175" s="351"/>
      <c r="X175" s="351"/>
      <c r="Y175" s="363">
        <v>0</v>
      </c>
      <c r="Z175" s="363"/>
      <c r="AA175" s="363"/>
      <c r="AB175" s="363"/>
      <c r="AC175" s="363">
        <v>0</v>
      </c>
      <c r="AD175" s="355"/>
      <c r="AE175" s="334"/>
    </row>
    <row r="176" spans="1:31" s="352" customFormat="1" x14ac:dyDescent="0.2">
      <c r="A176" s="320" t="str">
        <f>IFERROR(VLOOKUP(B176,mapping_one_neo!A:B,2,FALSE),"")</f>
        <v>Other finance &amp; general costs</v>
      </c>
      <c r="B176" s="352" t="s">
        <v>121</v>
      </c>
      <c r="C176" s="353">
        <v>622605</v>
      </c>
      <c r="E176" s="356">
        <v>-1.1000000000000001</v>
      </c>
      <c r="G176" s="419">
        <v>0</v>
      </c>
      <c r="H176" s="419">
        <v>0</v>
      </c>
      <c r="I176" s="419">
        <v>0</v>
      </c>
      <c r="J176" s="419">
        <v>0</v>
      </c>
      <c r="K176" s="419">
        <v>-0.3</v>
      </c>
      <c r="L176" s="419">
        <v>0</v>
      </c>
      <c r="M176" s="419">
        <v>0</v>
      </c>
      <c r="N176" s="419">
        <v>0</v>
      </c>
      <c r="O176" s="419">
        <v>-0.4</v>
      </c>
      <c r="P176" s="419"/>
      <c r="Q176" s="419"/>
      <c r="R176" s="419">
        <v>-0.4</v>
      </c>
      <c r="S176" s="345"/>
      <c r="T176" s="361"/>
      <c r="U176" s="351"/>
      <c r="V176" s="351"/>
      <c r="W176" s="351"/>
      <c r="X176" s="351"/>
      <c r="Y176" s="363"/>
      <c r="Z176" s="363"/>
      <c r="AA176" s="363"/>
      <c r="AB176" s="363"/>
      <c r="AC176" s="363"/>
      <c r="AD176" s="355"/>
      <c r="AE176" s="334"/>
    </row>
    <row r="177" spans="1:31" s="352" customFormat="1" x14ac:dyDescent="0.2">
      <c r="A177" s="320" t="str">
        <f>IFERROR(VLOOKUP(B177,mapping_one_neo!A:B,2,FALSE),"")</f>
        <v>I/G exchange gains/(losses)</v>
      </c>
      <c r="B177" s="352" t="s">
        <v>793</v>
      </c>
      <c r="C177" s="353">
        <v>766000</v>
      </c>
      <c r="E177" s="356">
        <v>13.01343</v>
      </c>
      <c r="G177" s="419">
        <v>4.4179300000000001</v>
      </c>
      <c r="H177" s="419">
        <v>7.4658999999999995</v>
      </c>
      <c r="I177" s="419">
        <v>0.92795000000000094</v>
      </c>
      <c r="J177" s="419"/>
      <c r="K177" s="419">
        <v>5.7760000000000034E-2</v>
      </c>
      <c r="L177" s="419">
        <v>0.14388999999999896</v>
      </c>
      <c r="M177" s="419"/>
      <c r="N177" s="419"/>
      <c r="O177" s="419"/>
      <c r="P177" s="419"/>
      <c r="Q177" s="419"/>
      <c r="R177" s="419"/>
      <c r="S177" s="345"/>
      <c r="T177" s="361"/>
      <c r="U177" s="351"/>
      <c r="V177" s="351"/>
      <c r="W177" s="351"/>
      <c r="X177" s="351"/>
      <c r="Y177" s="363"/>
      <c r="Z177" s="363"/>
      <c r="AA177" s="363"/>
      <c r="AB177" s="363"/>
      <c r="AC177" s="363"/>
      <c r="AD177" s="355"/>
      <c r="AE177" s="334"/>
    </row>
    <row r="178" spans="1:31" s="352" customFormat="1" x14ac:dyDescent="0.2">
      <c r="A178" s="320">
        <f>IFERROR(VLOOKUP(B178,mapping_one_neo!A:B,2,FALSE),"")</f>
        <v>0</v>
      </c>
      <c r="B178" s="352" t="s">
        <v>127</v>
      </c>
      <c r="C178" s="353"/>
      <c r="E178" s="356">
        <v>0</v>
      </c>
      <c r="G178" s="419">
        <v>0</v>
      </c>
      <c r="H178" s="419">
        <v>0</v>
      </c>
      <c r="I178" s="419">
        <v>0</v>
      </c>
      <c r="J178" s="419">
        <v>0</v>
      </c>
      <c r="K178" s="419">
        <v>0</v>
      </c>
      <c r="L178" s="419">
        <v>0</v>
      </c>
      <c r="M178" s="419"/>
      <c r="N178" s="419"/>
      <c r="O178" s="419"/>
      <c r="P178" s="419"/>
      <c r="Q178" s="419"/>
      <c r="R178" s="419"/>
      <c r="S178" s="345"/>
      <c r="T178" s="361"/>
      <c r="U178" s="351"/>
      <c r="V178" s="351"/>
      <c r="W178" s="351"/>
      <c r="X178" s="351"/>
      <c r="Y178" s="363"/>
      <c r="Z178" s="363"/>
      <c r="AA178" s="363"/>
      <c r="AB178" s="363"/>
      <c r="AC178" s="363"/>
      <c r="AD178" s="355"/>
      <c r="AE178" s="334"/>
    </row>
    <row r="179" spans="1:31" x14ac:dyDescent="0.2">
      <c r="A179" s="320">
        <f>IFERROR(VLOOKUP(B179,mapping_one_neo!A:B,2,FALSE),"")</f>
        <v>0</v>
      </c>
      <c r="B179" s="352" t="s">
        <v>122</v>
      </c>
      <c r="C179" s="353"/>
      <c r="E179" s="354">
        <v>-12.426435333333337</v>
      </c>
      <c r="G179" s="354">
        <v>2.8532666666666668</v>
      </c>
      <c r="H179" s="354">
        <v>6.1805666666666657</v>
      </c>
      <c r="I179" s="354">
        <v>-0.59864333333333253</v>
      </c>
      <c r="J179" s="354">
        <v>-1.8381833333333333</v>
      </c>
      <c r="K179" s="354">
        <v>-1.2530633333333332</v>
      </c>
      <c r="L179" s="354">
        <v>-1.2426433333333347</v>
      </c>
      <c r="M179" s="354">
        <v>-1.3587336666666667</v>
      </c>
      <c r="N179" s="354">
        <v>-1.3587336666666667</v>
      </c>
      <c r="O179" s="354">
        <v>-1.7587336666666666</v>
      </c>
      <c r="P179" s="354">
        <v>-1.3587336666666667</v>
      </c>
      <c r="Q179" s="354">
        <v>-1.3587336666666667</v>
      </c>
      <c r="R179" s="354">
        <v>-9.3340669999999992</v>
      </c>
      <c r="S179" s="349"/>
      <c r="T179" s="346"/>
      <c r="U179" s="354">
        <f>SUM(U170:U176)</f>
        <v>-1.24742</v>
      </c>
      <c r="V179" s="354">
        <f t="shared" ref="V179:AC179" si="15">SUM(V170:V176)</f>
        <v>-0.33333333333333331</v>
      </c>
      <c r="W179" s="354">
        <f t="shared" si="15"/>
        <v>0</v>
      </c>
      <c r="X179" s="354">
        <f t="shared" si="15"/>
        <v>0</v>
      </c>
      <c r="Y179" s="354">
        <f t="shared" si="15"/>
        <v>-1.5807533333333332</v>
      </c>
      <c r="Z179" s="354">
        <f t="shared" si="15"/>
        <v>0</v>
      </c>
      <c r="AA179" s="354">
        <f t="shared" si="15"/>
        <v>0</v>
      </c>
      <c r="AB179" s="354">
        <f t="shared" si="15"/>
        <v>0</v>
      </c>
      <c r="AC179" s="354">
        <f t="shared" si="15"/>
        <v>-1.5807533333333332</v>
      </c>
      <c r="AD179" s="350"/>
    </row>
    <row r="180" spans="1:31" x14ac:dyDescent="0.2">
      <c r="A180" s="320" t="str">
        <f>IFERROR(VLOOKUP(B180,mapping_one_neo!A:B,2,FALSE),"")</f>
        <v/>
      </c>
      <c r="S180" s="349"/>
      <c r="T180" s="346"/>
      <c r="U180" s="351"/>
      <c r="V180" s="351"/>
      <c r="W180" s="351"/>
      <c r="X180" s="351"/>
      <c r="Y180" s="358"/>
      <c r="Z180" s="358"/>
      <c r="AA180" s="358"/>
      <c r="AB180" s="358"/>
      <c r="AC180" s="358"/>
      <c r="AD180" s="350"/>
    </row>
    <row r="181" spans="1:31" s="352" customFormat="1" x14ac:dyDescent="0.2">
      <c r="A181" s="320">
        <f>IFERROR(VLOOKUP(B181,mapping_one_neo!A:B,2,FALSE),"")</f>
        <v>0</v>
      </c>
      <c r="B181" s="352" t="s">
        <v>123</v>
      </c>
      <c r="C181" s="353"/>
      <c r="E181" s="356">
        <v>-1056.4001456871595</v>
      </c>
      <c r="G181" s="356">
        <v>-72.381549166666659</v>
      </c>
      <c r="H181" s="356">
        <v>-77.538119166666675</v>
      </c>
      <c r="I181" s="356">
        <v>-87.084399166666671</v>
      </c>
      <c r="J181" s="356">
        <v>-83.282141759259233</v>
      </c>
      <c r="K181" s="356">
        <v>-81.486561759259217</v>
      </c>
      <c r="L181" s="356">
        <v>-79.562363981481568</v>
      </c>
      <c r="M181" s="356">
        <v>-101.4223185968211</v>
      </c>
      <c r="N181" s="356">
        <v>-91.743487902376756</v>
      </c>
      <c r="O181" s="356">
        <v>-90.708533423210099</v>
      </c>
      <c r="P181" s="356">
        <v>-91.704564673210086</v>
      </c>
      <c r="Q181" s="356">
        <v>-90.004564673210098</v>
      </c>
      <c r="R181" s="356">
        <v>-109.48154141833135</v>
      </c>
      <c r="S181" s="349"/>
      <c r="T181" s="346"/>
      <c r="U181" s="354">
        <f>U58+U81+U102+U135+U166+U179</f>
        <v>-71.038980000000009</v>
      </c>
      <c r="V181" s="354">
        <f t="shared" ref="V181:AC181" si="16">V58+V81+V102+V135+V166+V179</f>
        <v>-24.38739</v>
      </c>
      <c r="W181" s="354">
        <f t="shared" si="16"/>
        <v>-1.5583333333333333</v>
      </c>
      <c r="X181" s="354">
        <f t="shared" si="16"/>
        <v>-1.9164733333333348</v>
      </c>
      <c r="Y181" s="357">
        <f t="shared" si="16"/>
        <v>-98.901176666666672</v>
      </c>
      <c r="Z181" s="357">
        <f t="shared" si="16"/>
        <v>0</v>
      </c>
      <c r="AA181" s="357">
        <f t="shared" si="16"/>
        <v>0</v>
      </c>
      <c r="AB181" s="357">
        <f t="shared" si="16"/>
        <v>0</v>
      </c>
      <c r="AC181" s="357">
        <f t="shared" si="16"/>
        <v>-98.901176666666672</v>
      </c>
      <c r="AD181" s="355"/>
      <c r="AE181" s="334"/>
    </row>
    <row r="182" spans="1:31" x14ac:dyDescent="0.2">
      <c r="A182" s="320" t="str">
        <f>IFERROR(VLOOKUP(B182,mapping_one_neo!A:B,2,FALSE),"")</f>
        <v/>
      </c>
      <c r="S182" s="349"/>
      <c r="T182" s="346"/>
      <c r="U182" s="351"/>
      <c r="V182" s="351"/>
      <c r="W182" s="351"/>
      <c r="X182" s="351"/>
      <c r="Y182" s="358"/>
      <c r="Z182" s="358"/>
      <c r="AA182" s="358"/>
      <c r="AB182" s="358"/>
      <c r="AC182" s="358"/>
      <c r="AD182" s="350"/>
    </row>
    <row r="183" spans="1:31" x14ac:dyDescent="0.2">
      <c r="A183" s="320" t="str">
        <f>IFERROR(VLOOKUP(B183,mapping_one_neo!A:B,2,FALSE),"")</f>
        <v>Country overhead AU=0.INP Neo</v>
      </c>
      <c r="B183" s="352" t="s">
        <v>124</v>
      </c>
      <c r="C183" s="337" t="s">
        <v>768</v>
      </c>
      <c r="E183" s="356">
        <v>-562.73365000000001</v>
      </c>
      <c r="G183" s="356">
        <v>-46.894470833333337</v>
      </c>
      <c r="H183" s="356">
        <v>-46.894470833333337</v>
      </c>
      <c r="I183" s="356">
        <v>-46.894470833333337</v>
      </c>
      <c r="J183" s="356">
        <v>-46.894470833333337</v>
      </c>
      <c r="K183" s="356">
        <v>-46.894470833333337</v>
      </c>
      <c r="L183" s="356">
        <v>-46.894470833333337</v>
      </c>
      <c r="M183" s="356">
        <v>-46.894470833333337</v>
      </c>
      <c r="N183" s="356">
        <v>-46.894470833333337</v>
      </c>
      <c r="O183" s="356">
        <v>-46.894470833333337</v>
      </c>
      <c r="P183" s="356">
        <v>-46.894470833333337</v>
      </c>
      <c r="Q183" s="356">
        <v>-46.894470833333337</v>
      </c>
      <c r="R183" s="356">
        <v>-46.894470833333337</v>
      </c>
      <c r="S183" s="349"/>
      <c r="T183" s="346"/>
      <c r="U183" s="351">
        <v>-3.9169999999999998</v>
      </c>
      <c r="V183" s="351">
        <v>0</v>
      </c>
      <c r="W183" s="351">
        <v>-38.841333333333331</v>
      </c>
      <c r="X183" s="351">
        <v>0</v>
      </c>
      <c r="Y183" s="358">
        <v>-42.758333333333333</v>
      </c>
      <c r="Z183" s="358"/>
      <c r="AA183" s="358"/>
      <c r="AB183" s="358"/>
      <c r="AC183" s="363">
        <v>-42.758333333333333</v>
      </c>
      <c r="AD183" s="350"/>
    </row>
    <row r="184" spans="1:31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8"/>
      <c r="AD184" s="350"/>
    </row>
    <row r="185" spans="1:31" s="352" customFormat="1" ht="13.5" thickBot="1" x14ac:dyDescent="0.25">
      <c r="A185" s="320">
        <f>IFERROR(VLOOKUP(B185,mapping_one_neo!A:B,2,FALSE),"")</f>
        <v>0</v>
      </c>
      <c r="B185" s="352" t="s">
        <v>125</v>
      </c>
      <c r="C185" s="353"/>
      <c r="E185" s="406">
        <v>1064.7890899761505</v>
      </c>
      <c r="G185" s="407">
        <v>-47.638120017778</v>
      </c>
      <c r="H185" s="407">
        <v>66.287604982221978</v>
      </c>
      <c r="I185" s="407">
        <v>60.890894982221901</v>
      </c>
      <c r="J185" s="407">
        <v>121.09979912740795</v>
      </c>
      <c r="K185" s="407">
        <v>107.85232907407365</v>
      </c>
      <c r="L185" s="407">
        <v>131.96869745185273</v>
      </c>
      <c r="M185" s="407">
        <v>11.106425399242518</v>
      </c>
      <c r="N185" s="407">
        <v>75.889422760352915</v>
      </c>
      <c r="O185" s="407">
        <v>216.34490612047261</v>
      </c>
      <c r="P185" s="407">
        <v>127.9979051561865</v>
      </c>
      <c r="Q185" s="407">
        <v>124.69790515618649</v>
      </c>
      <c r="R185" s="407">
        <v>67.698319783708541</v>
      </c>
      <c r="S185" s="349"/>
      <c r="T185" s="346"/>
      <c r="U185" s="406">
        <f>U6+U49+U181+U183</f>
        <v>-33.386119999999949</v>
      </c>
      <c r="V185" s="406">
        <f t="shared" ref="V185:AC185" si="17">V6+V49+V181+V183</f>
        <v>-18.01709</v>
      </c>
      <c r="W185" s="406">
        <f t="shared" si="17"/>
        <v>-40.399666666666661</v>
      </c>
      <c r="X185" s="406">
        <f t="shared" si="17"/>
        <v>5.7841341666666661</v>
      </c>
      <c r="Y185" s="411">
        <f t="shared" si="17"/>
        <v>-86.01874249999986</v>
      </c>
      <c r="Z185" s="411">
        <f t="shared" si="17"/>
        <v>0</v>
      </c>
      <c r="AA185" s="411">
        <f t="shared" si="17"/>
        <v>0</v>
      </c>
      <c r="AB185" s="411">
        <f t="shared" si="17"/>
        <v>0</v>
      </c>
      <c r="AC185" s="411">
        <f t="shared" si="17"/>
        <v>-86.01874249999986</v>
      </c>
      <c r="AD185" s="355"/>
      <c r="AE185" s="334"/>
    </row>
    <row r="186" spans="1:31" s="408" customFormat="1" ht="13.5" thickTop="1" x14ac:dyDescent="0.2">
      <c r="A186" s="320" t="str">
        <f>IFERROR(VLOOKUP(B186,mapping_one_neo!A:B,2,FALSE),"")</f>
        <v/>
      </c>
      <c r="E186" s="409">
        <v>0.17023361408393931</v>
      </c>
      <c r="G186" s="408">
        <v>-0.1395572912694007</v>
      </c>
      <c r="H186" s="408">
        <v>0.14595496269585756</v>
      </c>
      <c r="I186" s="408">
        <v>0.12442763665003939</v>
      </c>
      <c r="J186" s="408">
        <v>0.23553786205916724</v>
      </c>
      <c r="K186" s="408">
        <v>0.20834089102311387</v>
      </c>
      <c r="L186" s="408">
        <v>0.23022728151277719</v>
      </c>
      <c r="M186" s="408">
        <v>2.296659815619486E-2</v>
      </c>
      <c r="N186" s="408">
        <v>0.14945030311906116</v>
      </c>
      <c r="O186" s="408">
        <v>0.35450467469009223</v>
      </c>
      <c r="P186" s="408">
        <v>0.22213063957647869</v>
      </c>
      <c r="Q186" s="408">
        <v>0.21829793772579228</v>
      </c>
      <c r="R186" s="408">
        <v>0.10992658010645354</v>
      </c>
      <c r="S186" s="349"/>
      <c r="T186" s="346"/>
      <c r="U186" s="427">
        <v>0.10138171547854044</v>
      </c>
      <c r="V186" s="427" t="e">
        <v>#DIV/0!</v>
      </c>
      <c r="W186" s="427" t="e">
        <v>#DIV/0!</v>
      </c>
      <c r="X186" s="427" t="e">
        <v>#DIV/0!</v>
      </c>
      <c r="Y186" s="427">
        <v>-0.11464460809174173</v>
      </c>
      <c r="Z186" s="427"/>
      <c r="AA186" s="427"/>
      <c r="AB186" s="427" t="e">
        <v>#DIV/0!</v>
      </c>
      <c r="AC186" s="427">
        <v>-0.11464460809174173</v>
      </c>
      <c r="AD186" s="410"/>
      <c r="AE186" s="334"/>
    </row>
    <row r="187" spans="1:31" x14ac:dyDescent="0.2">
      <c r="A187" s="320" t="str">
        <f>IFERROR(VLOOKUP(B187,mapping_one_neo!A:B,2,FALSE),"")</f>
        <v/>
      </c>
      <c r="S187" s="349"/>
      <c r="T187" s="346"/>
      <c r="U187" s="351"/>
      <c r="V187" s="351"/>
      <c r="W187" s="351"/>
      <c r="X187" s="351"/>
      <c r="Y187" s="358"/>
      <c r="Z187" s="358"/>
      <c r="AA187" s="358"/>
      <c r="AB187" s="358"/>
      <c r="AC187" s="358"/>
      <c r="AD187" s="350"/>
    </row>
    <row r="188" spans="1:31" x14ac:dyDescent="0.2">
      <c r="A188" s="320" t="str">
        <f>IFERROR(VLOOKUP(B188,mapping_one_neo!A:B,2,FALSE),"")</f>
        <v>I/G exchange gains/(losses)</v>
      </c>
      <c r="B188" s="352" t="s">
        <v>126</v>
      </c>
      <c r="S188" s="349"/>
      <c r="T188" s="346"/>
      <c r="U188" s="428">
        <v>0.20479000000000003</v>
      </c>
      <c r="V188" s="412">
        <v>0</v>
      </c>
      <c r="W188" s="412">
        <v>0</v>
      </c>
      <c r="X188" s="412">
        <v>0</v>
      </c>
      <c r="Y188" s="401">
        <v>0.20479000000000003</v>
      </c>
      <c r="Z188" s="401"/>
      <c r="AA188" s="401"/>
      <c r="AB188" s="401"/>
      <c r="AC188" s="429">
        <v>0.20479000000000003</v>
      </c>
      <c r="AD188" s="350"/>
    </row>
    <row r="189" spans="1:31" x14ac:dyDescent="0.2">
      <c r="A189" s="320" t="str">
        <f>IFERROR(VLOOKUP(B189,mapping_one_neo!A:B,2,FALSE),"")</f>
        <v>I/G exchange gains/(losses)</v>
      </c>
      <c r="B189" s="334" t="s">
        <v>126</v>
      </c>
      <c r="C189" s="337">
        <v>768003</v>
      </c>
      <c r="G189" s="335">
        <v>-46.894470833333337</v>
      </c>
      <c r="S189" s="349"/>
      <c r="T189" s="346"/>
      <c r="U189" s="430">
        <v>0.13264000000000001</v>
      </c>
      <c r="V189" s="351"/>
      <c r="W189" s="351"/>
      <c r="X189" s="351"/>
      <c r="Y189" s="358"/>
      <c r="Z189" s="358"/>
      <c r="AA189" s="358"/>
      <c r="AB189" s="358"/>
      <c r="AC189" s="431">
        <v>0</v>
      </c>
      <c r="AD189" s="350"/>
    </row>
    <row r="190" spans="1:31" x14ac:dyDescent="0.2">
      <c r="A190" s="320">
        <f>IFERROR(VLOOKUP(B190,mapping_one_neo!A:B,2,FALSE),"")</f>
        <v>0</v>
      </c>
      <c r="B190" s="334" t="s">
        <v>127</v>
      </c>
      <c r="C190" s="337">
        <v>758000</v>
      </c>
      <c r="S190" s="349"/>
      <c r="T190" s="346"/>
      <c r="U190" s="432">
        <v>7.2150000000000006E-2</v>
      </c>
      <c r="V190" s="413"/>
      <c r="W190" s="413"/>
      <c r="X190" s="413"/>
      <c r="Y190" s="433"/>
      <c r="Z190" s="433"/>
      <c r="AA190" s="433"/>
      <c r="AB190" s="433"/>
      <c r="AC190" s="434">
        <v>0</v>
      </c>
      <c r="AD190" s="350"/>
    </row>
    <row r="191" spans="1:31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8"/>
      <c r="AD191" s="350"/>
    </row>
    <row r="192" spans="1:31" x14ac:dyDescent="0.2">
      <c r="A192" s="320" t="str">
        <f>IFERROR(VLOOKUP(B192,mapping_one_neo!A:B,2,FALSE),"")</f>
        <v>I/G exchange gains/(losses)</v>
      </c>
      <c r="B192" s="352" t="s">
        <v>128</v>
      </c>
      <c r="S192" s="349"/>
      <c r="T192" s="346"/>
      <c r="U192" s="428">
        <v>-1.1089999999999999E-2</v>
      </c>
      <c r="V192" s="412">
        <v>0</v>
      </c>
      <c r="W192" s="412">
        <v>0</v>
      </c>
      <c r="X192" s="412">
        <v>0</v>
      </c>
      <c r="Y192" s="401">
        <v>-1.1089999999999999E-2</v>
      </c>
      <c r="Z192" s="401"/>
      <c r="AA192" s="401"/>
      <c r="AB192" s="401"/>
      <c r="AC192" s="429">
        <v>-1.1089999999999999E-2</v>
      </c>
      <c r="AD192" s="350"/>
    </row>
    <row r="193" spans="1:31" x14ac:dyDescent="0.2">
      <c r="A193" s="320" t="str">
        <f>IFERROR(VLOOKUP(B193,mapping_one_neo!A:B,2,FALSE),"")</f>
        <v>I/G exchange gains/(losses)</v>
      </c>
      <c r="B193" s="334" t="s">
        <v>129</v>
      </c>
      <c r="C193" s="337">
        <v>666000</v>
      </c>
      <c r="S193" s="349"/>
      <c r="T193" s="346"/>
      <c r="U193" s="430">
        <v>-1.1089999999999999E-2</v>
      </c>
      <c r="V193" s="351"/>
      <c r="W193" s="351"/>
      <c r="X193" s="351"/>
      <c r="Y193" s="358"/>
      <c r="Z193" s="358"/>
      <c r="AA193" s="358"/>
      <c r="AB193" s="358"/>
      <c r="AC193" s="431">
        <v>0</v>
      </c>
      <c r="AD193" s="350"/>
    </row>
    <row r="194" spans="1:31" x14ac:dyDescent="0.2">
      <c r="A194" s="320">
        <f>IFERROR(VLOOKUP(B194,mapping_one_neo!A:B,2,FALSE),"")</f>
        <v>0</v>
      </c>
      <c r="B194" s="334" t="s">
        <v>127</v>
      </c>
      <c r="C194" s="414" t="s">
        <v>758</v>
      </c>
      <c r="S194" s="349"/>
      <c r="T194" s="346"/>
      <c r="U194" s="432"/>
      <c r="V194" s="413"/>
      <c r="W194" s="413"/>
      <c r="X194" s="413"/>
      <c r="Y194" s="433"/>
      <c r="Z194" s="433"/>
      <c r="AA194" s="433"/>
      <c r="AB194" s="433"/>
      <c r="AC194" s="434">
        <v>0</v>
      </c>
      <c r="AD194" s="350"/>
    </row>
    <row r="195" spans="1:31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8" t="s">
        <v>134</v>
      </c>
      <c r="AD195" s="350"/>
    </row>
    <row r="196" spans="1:31" x14ac:dyDescent="0.2">
      <c r="A196" s="320">
        <f>IFERROR(VLOOKUP(B196,mapping_one_neo!A:B,2,FALSE),"")</f>
        <v>0</v>
      </c>
      <c r="B196" s="352" t="s">
        <v>130</v>
      </c>
      <c r="S196" s="349"/>
      <c r="T196" s="346"/>
      <c r="U196" s="415">
        <f>U185+U188+U192</f>
        <v>-33.192419999999949</v>
      </c>
      <c r="V196" s="415">
        <v>-18.01709</v>
      </c>
      <c r="W196" s="415">
        <v>-40.399666666666661</v>
      </c>
      <c r="X196" s="415">
        <v>-26.774865833333333</v>
      </c>
      <c r="Y196" s="435">
        <v>-45.017272499999848</v>
      </c>
      <c r="Z196" s="435">
        <v>0</v>
      </c>
      <c r="AA196" s="435"/>
      <c r="AB196" s="435">
        <v>0</v>
      </c>
      <c r="AC196" s="435">
        <v>-45.017272499999848</v>
      </c>
      <c r="AD196" s="350"/>
    </row>
    <row r="197" spans="1:31" x14ac:dyDescent="0.2">
      <c r="A197" s="320" t="str">
        <f>IFERROR(VLOOKUP(B197,mapping_one_neo!A:B,2,FALSE),"")</f>
        <v/>
      </c>
      <c r="S197" s="349"/>
      <c r="T197" s="346"/>
      <c r="U197" s="351"/>
      <c r="V197" s="351"/>
      <c r="W197" s="351"/>
      <c r="X197" s="351"/>
      <c r="Y197" s="358"/>
      <c r="Z197" s="358"/>
      <c r="AA197" s="358"/>
      <c r="AB197" s="358"/>
      <c r="AC197" s="358"/>
      <c r="AD197" s="350"/>
    </row>
    <row r="198" spans="1:31" s="352" customFormat="1" x14ac:dyDescent="0.2">
      <c r="A198" s="320">
        <f>IFERROR(VLOOKUP(B198,mapping_one_neo!A:B,2,FALSE),"")</f>
        <v>0</v>
      </c>
      <c r="B198" s="352" t="s">
        <v>131</v>
      </c>
      <c r="C198" s="353"/>
      <c r="E198" s="356"/>
      <c r="G198" s="335"/>
      <c r="H198" s="335"/>
      <c r="I198" s="335"/>
      <c r="J198" s="335"/>
      <c r="K198" s="335"/>
      <c r="L198" s="335"/>
      <c r="M198" s="335"/>
      <c r="N198" s="335"/>
      <c r="O198" s="335"/>
      <c r="P198" s="335"/>
      <c r="Q198" s="335"/>
      <c r="R198" s="335"/>
      <c r="S198" s="349"/>
      <c r="T198" s="346"/>
      <c r="U198" s="415">
        <v>-33.192419999999949</v>
      </c>
      <c r="V198" s="354"/>
      <c r="W198" s="354"/>
      <c r="X198" s="415">
        <v>-26.774865833333333</v>
      </c>
      <c r="Y198" s="435">
        <v>0</v>
      </c>
      <c r="Z198" s="435">
        <v>0</v>
      </c>
      <c r="AA198" s="435"/>
      <c r="AB198" s="435">
        <v>0</v>
      </c>
      <c r="AC198" s="435">
        <v>0</v>
      </c>
      <c r="AD198" s="355"/>
    </row>
    <row r="199" spans="1:31" ht="13.5" thickBot="1" x14ac:dyDescent="0.25">
      <c r="A199" s="320" t="str">
        <f>IFERROR(VLOOKUP(B199,mapping_one_neo!A:B,2,FALSE),"")</f>
        <v/>
      </c>
      <c r="S199" s="349"/>
      <c r="T199" s="416"/>
      <c r="U199" s="418"/>
      <c r="V199" s="418"/>
      <c r="W199" s="418"/>
      <c r="X199" s="418"/>
      <c r="Y199" s="436"/>
      <c r="Z199" s="436"/>
      <c r="AA199" s="436"/>
      <c r="AB199" s="436"/>
      <c r="AC199" s="436"/>
      <c r="AD199" s="417"/>
    </row>
    <row r="200" spans="1:31" x14ac:dyDescent="0.2">
      <c r="A200" s="320" t="str">
        <f>IFERROR(VLOOKUP(B200,mapping_one_neo!A:B,2,FALSE),"")</f>
        <v/>
      </c>
    </row>
    <row r="201" spans="1:31" s="352" customFormat="1" x14ac:dyDescent="0.2">
      <c r="A201" s="320">
        <f>IFERROR(VLOOKUP(B201,mapping_one_neo!A:B,2,FALSE),"")</f>
        <v>0</v>
      </c>
      <c r="B201" s="352" t="s">
        <v>132</v>
      </c>
      <c r="C201" s="353"/>
      <c r="E201" s="356"/>
      <c r="G201" s="356"/>
      <c r="H201" s="356"/>
      <c r="I201" s="356"/>
      <c r="J201" s="356"/>
      <c r="K201" s="356"/>
      <c r="L201" s="356"/>
      <c r="M201" s="356"/>
      <c r="N201" s="356"/>
      <c r="O201" s="356"/>
      <c r="P201" s="356"/>
      <c r="Q201" s="356"/>
      <c r="R201" s="356"/>
      <c r="U201" s="356"/>
      <c r="V201" s="356"/>
      <c r="W201" s="356"/>
      <c r="X201" s="356"/>
      <c r="Y201" s="437"/>
      <c r="Z201" s="437"/>
      <c r="AA201" s="437"/>
      <c r="AB201" s="437"/>
      <c r="AC201" s="437">
        <f>AC6+AC49+AC58+AC81+AC102+AC135+AC166+AC179+U183+U188+U192-AC163</f>
        <v>-45.425375833333192</v>
      </c>
      <c r="AE201" s="352" t="s">
        <v>759</v>
      </c>
    </row>
    <row r="202" spans="1:31" x14ac:dyDescent="0.2">
      <c r="A202" s="320" t="str">
        <f>IFERROR(VLOOKUP(B202,mapping_one_neo!A:B,2,FALSE),"")</f>
        <v/>
      </c>
    </row>
    <row r="203" spans="1:31" s="352" customFormat="1" x14ac:dyDescent="0.2">
      <c r="A203" s="320">
        <f>IFERROR(VLOOKUP(B203,mapping_one_neo!A:B,2,FALSE),"")</f>
        <v>0</v>
      </c>
      <c r="B203" s="352" t="s">
        <v>133</v>
      </c>
      <c r="C203" s="353"/>
      <c r="E203" s="356"/>
      <c r="G203" s="356"/>
      <c r="H203" s="356"/>
      <c r="I203" s="356"/>
      <c r="J203" s="356"/>
      <c r="K203" s="356"/>
      <c r="L203" s="356"/>
      <c r="M203" s="356"/>
      <c r="N203" s="356"/>
      <c r="O203" s="356"/>
      <c r="P203" s="356"/>
      <c r="Q203" s="356"/>
      <c r="R203" s="356"/>
      <c r="U203" s="335"/>
      <c r="V203" s="335"/>
      <c r="W203" s="356"/>
      <c r="X203" s="356"/>
      <c r="Y203" s="437"/>
      <c r="Z203" s="437"/>
      <c r="AA203" s="437"/>
      <c r="AB203" s="437"/>
      <c r="AC203" s="437"/>
    </row>
    <row r="204" spans="1:31" x14ac:dyDescent="0.2">
      <c r="A204" s="320" t="str">
        <f>IFERROR(VLOOKUP(B204,mapping_one_neo!A:B,2,FALSE),"")</f>
        <v/>
      </c>
    </row>
    <row r="206" spans="1:31" x14ac:dyDescent="0.2">
      <c r="B206" s="334" t="s">
        <v>794</v>
      </c>
    </row>
    <row r="211" spans="1:31" s="335" customFormat="1" x14ac:dyDescent="0.2">
      <c r="A211" s="320"/>
      <c r="C211" s="337"/>
      <c r="D211" s="334"/>
      <c r="F211" s="334"/>
      <c r="S211" s="334"/>
      <c r="T211" s="334"/>
      <c r="Y211" s="420"/>
      <c r="Z211" s="420"/>
      <c r="AA211" s="420"/>
      <c r="AB211" s="420"/>
      <c r="AC211" s="420"/>
      <c r="AD211" s="334"/>
      <c r="AE211" s="334"/>
    </row>
    <row r="212" spans="1:31" s="335" customFormat="1" x14ac:dyDescent="0.2">
      <c r="A212" s="320"/>
      <c r="C212" s="337"/>
      <c r="D212" s="334"/>
      <c r="F212" s="334"/>
      <c r="S212" s="334"/>
      <c r="T212" s="334"/>
      <c r="Y212" s="420"/>
      <c r="Z212" s="420"/>
      <c r="AA212" s="420"/>
      <c r="AB212" s="420"/>
      <c r="AC212" s="420"/>
      <c r="AD212" s="334"/>
      <c r="AE212" s="334"/>
    </row>
    <row r="213" spans="1:31" s="335" customFormat="1" x14ac:dyDescent="0.2">
      <c r="A213" s="320"/>
      <c r="C213" s="337"/>
      <c r="D213" s="334"/>
      <c r="F213" s="334"/>
      <c r="S213" s="334"/>
      <c r="T213" s="334"/>
      <c r="Y213" s="420"/>
      <c r="Z213" s="420"/>
      <c r="AA213" s="420"/>
      <c r="AB213" s="420"/>
      <c r="AC213" s="420"/>
      <c r="AD213" s="334"/>
      <c r="AE213" s="334"/>
    </row>
    <row r="214" spans="1:31" s="335" customFormat="1" x14ac:dyDescent="0.2">
      <c r="A214" s="320"/>
      <c r="C214" s="337"/>
      <c r="D214" s="334"/>
      <c r="F214" s="334"/>
      <c r="S214" s="334"/>
      <c r="T214" s="334"/>
      <c r="Y214" s="420"/>
      <c r="Z214" s="420"/>
      <c r="AA214" s="420"/>
      <c r="AB214" s="420"/>
      <c r="AC214" s="420"/>
      <c r="AD214" s="334"/>
      <c r="AE214" s="334"/>
    </row>
    <row r="215" spans="1:31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420"/>
      <c r="AD215" s="334"/>
      <c r="AE215" s="334"/>
    </row>
  </sheetData>
  <mergeCells count="1">
    <mergeCell ref="AE9:AE10"/>
  </mergeCells>
  <pageMargins left="0.7" right="0.7" top="0.75" bottom="0.75" header="0.3" footer="0.3"/>
  <pageSetup paperSize="121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  <pageSetUpPr fitToPage="1"/>
  </sheetPr>
  <dimension ref="A1:N75"/>
  <sheetViews>
    <sheetView showGridLines="0" topLeftCell="A51" workbookViewId="0">
      <selection activeCell="J28" sqref="J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322" t="s">
        <v>795</v>
      </c>
      <c r="E13" s="324">
        <f ca="1">NOW()</f>
        <v>43075.51473761574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SUMIF(Janv!$A:$A,'p&amp;l Janv'!D16,Janv!$Y:$Y)</f>
        <v>354.92509999999999</v>
      </c>
      <c r="F16" s="289">
        <f>SUMIF(Janv!$A:$A,'p&amp;l Janv'!D16,Janv!$X:$X)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SUMIF(Janv!$A:$A,'p&amp;l Janv'!D19,Janv!$Y:$Y)</f>
        <v>-191.87943999999987</v>
      </c>
      <c r="F19" s="316">
        <f>SUMIF(Janv!$A:$A,'p&amp;l Janv'!D19,Janv!$X:$X)</f>
        <v>5.1603500000000002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SUMIF(Janv!$A:$A,'p&amp;l Janv'!D20,Janv!$Y:$Y)</f>
        <v>-83.940502499999994</v>
      </c>
      <c r="F20" s="316">
        <f>SUMIF(Janv!$A:$A,'p&amp;l Janv'!D20,Janv!$X:$X)</f>
        <v>2.5402575000000001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SUMIF(Janv!$A:$A,'p&amp;l Janv'!D21,Janv!$Y:$Y)</f>
        <v>-19.368000000000002</v>
      </c>
      <c r="F21" s="316">
        <f>SUMIF(Janv!$A:$A,'p&amp;l Janv'!D21,Janv!$X:$X)</f>
        <v>0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SUMIF(Janv!$A:$A,'p&amp;l Janv'!D22,Janv!$Y:$Y)</f>
        <v>0</v>
      </c>
      <c r="F22" s="316">
        <f>SUMIF(Janv!$A:$A,'p&amp;l Janv'!D22,Janv!$X:$X)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SUMIF(Janv!$A:$A,'p&amp;l Janv'!D23,Janv!$Y:$Y)</f>
        <v>0</v>
      </c>
      <c r="F23" s="316">
        <f>SUMIF(Janv!$A:$A,'p&amp;l Janv'!D23,Janv!$X:$X)</f>
        <v>0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SUMIF(Janv!$A:$A,'p&amp;l Janv'!D24,Janv!$Y:$Y)</f>
        <v>0</v>
      </c>
      <c r="F24" s="316">
        <f>SUMIF(Janv!$A:$A,'p&amp;l Janv'!D24,Janv!$X:$X)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SUMIF(Janv!$A:$A,'p&amp;l Janv'!D25,Janv!$Y:$Y)</f>
        <v>0</v>
      </c>
      <c r="F25" s="316">
        <f>SUMIF(Janv!$A:$A,'p&amp;l Janv'!D25,Janv!$X:$X)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SUMIF(Janv!$A:$A,'p&amp;l Janv'!D26,Janv!$Y:$Y)</f>
        <v>-3.07639</v>
      </c>
      <c r="F26" s="316">
        <f>SUMIF(Janv!$A:$A,'p&amp;l Janv'!D26,Janv!$X:$X)</f>
        <v>0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SUMIF(Janv!$A:$A,'p&amp;l Janv'!D27,Janv!$Y:$Y)</f>
        <v>-1.02</v>
      </c>
      <c r="F27" s="316">
        <f>SUMIF(Janv!$A:$A,'p&amp;l Janv'!D27,Janv!$X:$X)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SUMIF(Janv!$A:$A,'p&amp;l Janv'!D28,Janv!$Y:$Y)</f>
        <v>0</v>
      </c>
      <c r="F28" s="316">
        <f>SUMIF(Janv!$A:$A,'p&amp;l Janv'!D28,Janv!$X:$X)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-299.28433249999983</v>
      </c>
      <c r="F29" s="317">
        <f>SUMIF(Janv!$A:$A,'p&amp;l Janv'!D29,Janv!$X:$X)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SUMIF(Janv!$A:$A,'p&amp;l Janv'!D31,Janv!$Y:$Y)</f>
        <v>-23.084000000000003</v>
      </c>
      <c r="F31" s="316">
        <f>SUMIF(Janv!$A:$A,'p&amp;l Janv'!D31,Janv!$X:$X)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SUMIF(Janv!$A:$A,'p&amp;l Janv'!D32,Janv!$Y:$Y)</f>
        <v>-0.44686999999999999</v>
      </c>
      <c r="F32" s="316">
        <f>SUMIF(Janv!$A:$A,'p&amp;l Janv'!D32,Janv!$X:$X)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-23.530870000000004</v>
      </c>
      <c r="F33" s="317">
        <f>SUMIF(Janv!$A:$A,'p&amp;l Janv'!D33,Janv!$X:$X)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SUMIF(Janv!$A:$A,'p&amp;l Janv'!D34,Janv!$Y:$Y)</f>
        <v>-3.4584799999999998</v>
      </c>
      <c r="F34" s="316">
        <f>SUMIF(Janv!$A:$A,'p&amp;l Janv'!D34,Janv!$X:$X)</f>
        <v>0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SUMIF(Janv!$A:$A,'p&amp;l Janv'!D35,Janv!$Y:$Y)</f>
        <v>-14.694970000000001</v>
      </c>
      <c r="F35" s="316">
        <f>SUMIF(Janv!$A:$A,'p&amp;l Janv'!D35,Janv!$X:$X)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SUMIF(Janv!$A:$A,'p&amp;l Janv'!D36,Janv!$Y:$Y)</f>
        <v>-0.5</v>
      </c>
      <c r="F36" s="316">
        <f>SUMIF(Janv!$A:$A,'p&amp;l Janv'!D36,Janv!$X:$X)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SUMIF(Janv!$A:$A,'p&amp;l Janv'!D37,Janv!$Y:$Y)</f>
        <v>-1.3</v>
      </c>
      <c r="F37" s="316">
        <f>SUMIF(Janv!$A:$A,'p&amp;l Janv'!D37,Janv!$X:$X)</f>
        <v>0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-19.95345</v>
      </c>
      <c r="F38" s="317">
        <f>SUMIF(Janv!$A:$A,'p&amp;l Janv'!D38,Janv!$X:$X)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SUMIF(Janv!$A:$A,'p&amp;l Janv'!D40,Janv!$Y:$Y)</f>
        <v>0</v>
      </c>
      <c r="F40" s="316">
        <f>SUMIF(Janv!$A:$A,'p&amp;l Janv'!D40,Janv!$X:$X)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SUMIF(Janv!$A:$A,'p&amp;l Janv'!D41,Janv!$Y:$Y)</f>
        <v>-0.53791999999999995</v>
      </c>
      <c r="F41" s="316">
        <f>SUMIF(Janv!$A:$A,'p&amp;l Janv'!D41,Janv!$X:$X)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SUMIF(Janv!$A:$A,'p&amp;l Janv'!D42,Janv!$Y:$Y)</f>
        <v>-22.916666666666668</v>
      </c>
      <c r="F42" s="316">
        <f>SUMIF(Janv!$A:$A,'p&amp;l Janv'!D42,Janv!$X:$X)</f>
        <v>1.9333333333193536E-4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SUMIF(Janv!$A:$A,'p&amp;l Janv'!D43,Janv!$Y:$Y)</f>
        <v>-5.1669999999999998</v>
      </c>
      <c r="F43" s="316">
        <f>SUMIF(Janv!$A:$A,'p&amp;l Janv'!D43,Janv!$X:$X)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-28.621586666666666</v>
      </c>
      <c r="F44" s="317">
        <f>SUMIF(Janv!$A:$A,'p&amp;l Janv'!D44,Janv!$X:$X)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SUMIF(Janv!$A:$A,'p&amp;l Janv'!D46,Janv!$Y:$Y)</f>
        <v>-0.91249999999999998</v>
      </c>
      <c r="F46" s="316">
        <f>SUMIF(Janv!$A:$A,'p&amp;l Janv'!D46,Janv!$X:$X)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SUMIF(Janv!$A:$A,'p&amp;l Janv'!D47,Janv!$Y:$Y)</f>
        <v>-0.13</v>
      </c>
      <c r="F47" s="316">
        <f>SUMIF(Janv!$A:$A,'p&amp;l Janv'!D47,Janv!$X:$X)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SUMIF(Janv!$A:$A,'p&amp;l Janv'!D48,Janv!$Y:$Y)</f>
        <v>-12.063786666666665</v>
      </c>
      <c r="F48" s="316">
        <f>SUMIF(Janv!$A:$A,'p&amp;l Janv'!D48,Janv!$X:$X)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SUMIF(Janv!$A:$A,'p&amp;l Janv'!D49,Janv!$Y:$Y)</f>
        <v>-1.242</v>
      </c>
      <c r="F49" s="316">
        <f>SUMIF(Janv!$A:$A,'p&amp;l Janv'!D49,Janv!$X:$X)</f>
        <v>0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SUMIF(Janv!$A:$A,'p&amp;l Janv'!D50,Janv!$Y:$Y)</f>
        <v>-8.3000000000000004E-2</v>
      </c>
      <c r="F50" s="316">
        <f>SUMIF(Janv!$A:$A,'p&amp;l Janv'!D50,Janv!$X:$X)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SUMIF(Janv!$A:$A,'p&amp;l Janv'!D51,Janv!$Y:$Y)</f>
        <v>-5.8082300000000009</v>
      </c>
      <c r="F51" s="316">
        <f>SUMIF(Janv!$A:$A,'p&amp;l Janv'!D51,Janv!$X:$X)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525</v>
      </c>
      <c r="E52" s="327">
        <f>SUMIF(Janv!$A:$A,'p&amp;l Janv'!D52,Janv!$Y:$Y)</f>
        <v>0</v>
      </c>
      <c r="F52" s="316">
        <f>SUMIF(Janv!$A:$A,'p&amp;l Janv'!D52,Janv!$X:$X)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SUMIF(Janv!$A:$A,'p&amp;l Janv'!D53,Janv!$Y:$Y)</f>
        <v>0</v>
      </c>
      <c r="F53" s="316">
        <f>SUMIF(Janv!$A:$A,'p&amp;l Janv'!D53,Janv!$X:$X)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SUMIF(Janv!$A:$A,'p&amp;l Janv'!D54,Janv!$Y:$Y)</f>
        <v>-1.9166666666666667</v>
      </c>
      <c r="F54" s="316">
        <f>SUMIF(Janv!$A:$A,'p&amp;l Janv'!D54,Janv!$X:$X)</f>
        <v>-1.9166666666666667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-22.156183333333335</v>
      </c>
      <c r="F55" s="317">
        <f>SUMIF(Janv!$A:$A,'p&amp;l Janv'!D55,Janv!$X:$X)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SUMIF(Janv!$A:$A,'p&amp;l Janv'!D57,Janv!$Y:$Y)</f>
        <v>-0.375</v>
      </c>
      <c r="F57" s="316">
        <f>SUMIF(Janv!$A:$A,'p&amp;l Janv'!D57,Janv!$X:$X)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SUMIF(Janv!$A:$A,'p&amp;l Janv'!D58,Janv!$Y:$Y)</f>
        <v>-0.33333333333333331</v>
      </c>
      <c r="F58" s="316">
        <f>SUMIF(Janv!$A:$A,'p&amp;l Janv'!D58,Janv!$X:$X)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SUMIF(Janv!$A:$A,'p&amp;l Janv'!D59,Janv!$Y:$Y)</f>
        <v>-0.625</v>
      </c>
      <c r="F59" s="316">
        <f>SUMIF(Janv!$A:$A,'p&amp;l Janv'!D59,Janv!$X:$X)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SUMIF(Janv!$A:$A,'p&amp;l Janv'!D60,Janv!$Y:$Y)</f>
        <v>-0.24742</v>
      </c>
      <c r="F60" s="316">
        <f>SUMIF(Janv!$A:$A,'p&amp;l Janv'!D60,Janv!$X:$X)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SUMIF(Janv!$A:$A,'p&amp;l Janv'!D61,Janv!$Y:$Y)</f>
        <v>0</v>
      </c>
      <c r="F61" s="316">
        <f>SUMIF(Janv!$A:$A,'p&amp;l Janv'!D61,Janv!$X:$X)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-1.5807533333333332</v>
      </c>
      <c r="F62" s="317">
        <f>SUMIF(Janv!$A:$A,'p&amp;l Janv'!D62,Janv!$X:$X)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SUMIF(Janv!$A:$U,'p&amp;l Janv'!D64,Janv!$U:$U)</f>
        <v>-3.9169999999999998</v>
      </c>
      <c r="F64" s="316">
        <f>SUMIF(Janv!$A:$A,'p&amp;l Janv'!D64,Janv!$X:$X)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-3.9169999999999998</v>
      </c>
      <c r="F65" s="317">
        <f>SUMIF(Janv!$A:$A,'p&amp;l Janv'!D65,Janv!$X:$X)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SUMIF(Janv!$A:$A,'p&amp;l Janv'!D67,Janv!$Y:$Y)</f>
        <v>0.19370000000000004</v>
      </c>
      <c r="F67" s="316">
        <f>SUMIF(Janv!$A:$A,'p&amp;l Janv'!D67,Janv!$X:$X)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0.19370000000000004</v>
      </c>
      <c r="F68" s="317">
        <f>SUMIF(Janv!$A:$A,'p&amp;l Janv'!D68,Janv!$X:$X)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-398.85047583333312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-43.925375833333135</v>
      </c>
    </row>
    <row r="74" spans="1:8" x14ac:dyDescent="0.25">
      <c r="D74" t="s">
        <v>762</v>
      </c>
      <c r="E74" s="331">
        <f>Janv!AC201</f>
        <v>-45.425375833333192</v>
      </c>
    </row>
    <row r="75" spans="1:8" x14ac:dyDescent="0.25">
      <c r="D75" s="315" t="s">
        <v>763</v>
      </c>
      <c r="E75" s="319">
        <f ca="1">E73-E74</f>
        <v>1.5000000000000568</v>
      </c>
    </row>
  </sheetData>
  <dataValidations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E215"/>
  <sheetViews>
    <sheetView showGridLines="0" topLeftCell="A172" workbookViewId="0">
      <selection activeCell="J28" sqref="J28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7" width="13.85546875" style="420" hidden="1" customWidth="1" outlineLevel="1"/>
    <col min="28" max="28" width="13.42578125" style="420" hidden="1" customWidth="1" outlineLevel="1"/>
    <col min="29" max="29" width="13.85546875" style="420" customWidth="1" collapsed="1"/>
    <col min="30" max="30" width="1.7109375" style="334" customWidth="1"/>
    <col min="31" max="31" width="38.140625" style="334" customWidth="1" outlineLevel="1"/>
    <col min="32" max="16384" width="11.42578125" style="334"/>
  </cols>
  <sheetData>
    <row r="1" spans="1:31" x14ac:dyDescent="0.2">
      <c r="A1" s="320" t="s">
        <v>760</v>
      </c>
      <c r="B1" s="332" t="s">
        <v>800</v>
      </c>
      <c r="C1" s="333"/>
      <c r="F1" s="335"/>
      <c r="X1" s="335" t="s">
        <v>134</v>
      </c>
    </row>
    <row r="2" spans="1:31" ht="13.5" thickBot="1" x14ac:dyDescent="0.25">
      <c r="J2" s="335" t="s">
        <v>134</v>
      </c>
      <c r="V2" s="335" t="s">
        <v>134</v>
      </c>
    </row>
    <row r="3" spans="1:31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421"/>
      <c r="AD3" s="339"/>
    </row>
    <row r="4" spans="1:31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743</v>
      </c>
      <c r="AA4" s="423" t="s">
        <v>765</v>
      </c>
      <c r="AB4" s="423" t="s">
        <v>744</v>
      </c>
      <c r="AC4" s="423" t="s">
        <v>139</v>
      </c>
      <c r="AD4" s="347"/>
    </row>
    <row r="5" spans="1:31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8"/>
      <c r="AD5" s="350"/>
    </row>
    <row r="6" spans="1:31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38">
        <f>840631.27/1000</f>
        <v>840.63126999999997</v>
      </c>
      <c r="V6" s="438"/>
      <c r="W6" s="438"/>
      <c r="X6" s="438"/>
      <c r="Y6" s="438">
        <v>840.63126999999997</v>
      </c>
      <c r="Z6" s="438">
        <v>840.63126999999997</v>
      </c>
      <c r="AA6" s="438">
        <v>840.63126999999997</v>
      </c>
      <c r="AB6" s="438">
        <v>840.63126999999997</v>
      </c>
      <c r="AC6" s="438">
        <v>840.63126999999997</v>
      </c>
      <c r="AD6" s="355"/>
      <c r="AE6" s="334"/>
    </row>
    <row r="7" spans="1:31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8"/>
      <c r="AD7" s="350"/>
      <c r="AE7" s="334" t="s">
        <v>134</v>
      </c>
    </row>
    <row r="8" spans="1:31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8"/>
      <c r="AD8" s="350"/>
    </row>
    <row r="9" spans="1:31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-399.73696999999981</v>
      </c>
      <c r="V9" s="362">
        <v>1.6775</v>
      </c>
      <c r="W9" s="362"/>
      <c r="X9" s="351">
        <v>-2.82464</v>
      </c>
      <c r="Y9" s="363">
        <v>-400.88410999999979</v>
      </c>
      <c r="Z9" s="363"/>
      <c r="AA9" s="363"/>
      <c r="AB9" s="363"/>
      <c r="AC9" s="363">
        <v>-400.88410999999979</v>
      </c>
      <c r="AD9" s="355"/>
      <c r="AE9" s="485" t="s">
        <v>782</v>
      </c>
    </row>
    <row r="10" spans="1:31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-170.27711999999997</v>
      </c>
      <c r="V10" s="362">
        <v>0.78854999999999986</v>
      </c>
      <c r="W10" s="362"/>
      <c r="X10" s="351">
        <v>-1.271088</v>
      </c>
      <c r="Y10" s="363">
        <v>-170.75965799999997</v>
      </c>
      <c r="Z10" s="363"/>
      <c r="AA10" s="363"/>
      <c r="AB10" s="363"/>
      <c r="AC10" s="363">
        <v>-170.75965799999997</v>
      </c>
      <c r="AD10" s="355"/>
      <c r="AE10" s="485"/>
    </row>
    <row r="11" spans="1:31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6.25</v>
      </c>
      <c r="W11" s="362"/>
      <c r="X11" s="351"/>
      <c r="Y11" s="363">
        <v>6.25</v>
      </c>
      <c r="Z11" s="363"/>
      <c r="AA11" s="363"/>
      <c r="AB11" s="363"/>
      <c r="AC11" s="363">
        <v>6.25</v>
      </c>
      <c r="AD11" s="355"/>
      <c r="AE11" s="366" t="s">
        <v>783</v>
      </c>
    </row>
    <row r="12" spans="1:31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2.8125</v>
      </c>
      <c r="W12" s="362"/>
      <c r="X12" s="351"/>
      <c r="Y12" s="363">
        <v>2.8125</v>
      </c>
      <c r="Z12" s="363"/>
      <c r="AA12" s="363"/>
      <c r="AB12" s="363"/>
      <c r="AC12" s="363">
        <v>2.8125</v>
      </c>
      <c r="AD12" s="355"/>
      <c r="AE12" s="366" t="s">
        <v>783</v>
      </c>
    </row>
    <row r="13" spans="1:31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/>
      <c r="Z13" s="363"/>
      <c r="AA13" s="363"/>
      <c r="AB13" s="363"/>
      <c r="AC13" s="363"/>
      <c r="AD13" s="355"/>
      <c r="AE13" s="334"/>
    </row>
    <row r="14" spans="1:31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/>
      <c r="AC14" s="363">
        <v>0</v>
      </c>
      <c r="AD14" s="355"/>
      <c r="AE14" s="334"/>
    </row>
    <row r="15" spans="1:31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/>
      <c r="AC15" s="363">
        <v>6.2080000000000002</v>
      </c>
      <c r="AD15" s="355"/>
      <c r="AE15" s="334"/>
    </row>
    <row r="16" spans="1:31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/>
      <c r="AC16" s="363">
        <v>2.9798399999999998</v>
      </c>
      <c r="AD16" s="355"/>
      <c r="AE16" s="334"/>
    </row>
    <row r="17" spans="1:31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1.0620000000000001</v>
      </c>
      <c r="W17" s="362"/>
      <c r="X17" s="362"/>
      <c r="Y17" s="363">
        <v>1.0620000000000001</v>
      </c>
      <c r="Z17" s="363"/>
      <c r="AA17" s="363"/>
      <c r="AB17" s="363"/>
      <c r="AC17" s="363">
        <v>1.0620000000000001</v>
      </c>
      <c r="AD17" s="355"/>
      <c r="AE17" s="334"/>
    </row>
    <row r="18" spans="1:31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0.51</v>
      </c>
      <c r="V18" s="362"/>
      <c r="W18" s="362"/>
      <c r="X18" s="362">
        <v>0</v>
      </c>
      <c r="Y18" s="363">
        <v>0.51</v>
      </c>
      <c r="Z18" s="363"/>
      <c r="AA18" s="363"/>
      <c r="AB18" s="363"/>
      <c r="AC18" s="363">
        <v>0.51</v>
      </c>
      <c r="AD18" s="355"/>
      <c r="AE18" s="334"/>
    </row>
    <row r="19" spans="1:31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/>
      <c r="V19" s="362"/>
      <c r="W19" s="362"/>
      <c r="X19" s="362"/>
      <c r="Y19" s="363"/>
      <c r="Z19" s="363"/>
      <c r="AA19" s="363"/>
      <c r="AB19" s="363"/>
      <c r="AC19" s="363"/>
      <c r="AD19" s="355"/>
      <c r="AE19" s="334"/>
    </row>
    <row r="20" spans="1:31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/>
      <c r="V20" s="362"/>
      <c r="W20" s="362"/>
      <c r="X20" s="362"/>
      <c r="Y20" s="363"/>
      <c r="Z20" s="363"/>
      <c r="AA20" s="363"/>
      <c r="AB20" s="363"/>
      <c r="AC20" s="363"/>
      <c r="AD20" s="355"/>
      <c r="AE20" s="334" t="s">
        <v>134</v>
      </c>
    </row>
    <row r="21" spans="1:31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/>
      <c r="Z21" s="363"/>
      <c r="AA21" s="363"/>
      <c r="AB21" s="363"/>
      <c r="AC21" s="363"/>
      <c r="AD21" s="355"/>
      <c r="AE21" s="334"/>
    </row>
    <row r="22" spans="1:31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/>
      <c r="V22" s="362"/>
      <c r="W22" s="362"/>
      <c r="X22" s="362"/>
      <c r="Y22" s="363"/>
      <c r="Z22" s="363"/>
      <c r="AA22" s="363"/>
      <c r="AB22" s="363"/>
      <c r="AC22" s="363"/>
      <c r="AD22" s="355"/>
      <c r="AE22" s="334"/>
    </row>
    <row r="23" spans="1:31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/>
      <c r="Z23" s="363"/>
      <c r="AA23" s="363"/>
      <c r="AB23" s="363"/>
      <c r="AC23" s="363"/>
      <c r="AD23" s="355"/>
      <c r="AE23" s="334"/>
    </row>
    <row r="24" spans="1:31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-10.907999999999999</v>
      </c>
      <c r="V24" s="362"/>
      <c r="W24" s="362"/>
      <c r="X24" s="362">
        <v>0</v>
      </c>
      <c r="Y24" s="363">
        <v>-10.907999999999999</v>
      </c>
      <c r="Z24" s="363"/>
      <c r="AA24" s="363"/>
      <c r="AB24" s="363"/>
      <c r="AC24" s="363">
        <v>-10.907999999999999</v>
      </c>
      <c r="AD24" s="355"/>
      <c r="AE24" s="369"/>
    </row>
    <row r="25" spans="1:31" s="352" customFormat="1" x14ac:dyDescent="0.2">
      <c r="A25" s="320" t="str">
        <f>IFERROR(VLOOKUP(B25,mapping_one_neo!A:B,2,FALSE),"")</f>
        <v/>
      </c>
      <c r="B25" s="352" t="s">
        <v>14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/>
      <c r="V25" s="362"/>
      <c r="W25" s="362"/>
      <c r="X25" s="362">
        <v>0</v>
      </c>
      <c r="Y25" s="363">
        <v>0</v>
      </c>
      <c r="Z25" s="363"/>
      <c r="AA25" s="363"/>
      <c r="AB25" s="363"/>
      <c r="AC25" s="363">
        <v>0</v>
      </c>
      <c r="AD25" s="355"/>
      <c r="AE25" s="334"/>
    </row>
    <row r="26" spans="1:31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-5.8170000000000002</v>
      </c>
      <c r="V26" s="362"/>
      <c r="W26" s="362"/>
      <c r="X26" s="362">
        <v>0</v>
      </c>
      <c r="Y26" s="363">
        <v>-5.8170000000000002</v>
      </c>
      <c r="Z26" s="363"/>
      <c r="AA26" s="363"/>
      <c r="AB26" s="363"/>
      <c r="AC26" s="363">
        <v>-5.8170000000000002</v>
      </c>
      <c r="AD26" s="355"/>
      <c r="AE26" s="334"/>
    </row>
    <row r="27" spans="1:31" s="352" customFormat="1" x14ac:dyDescent="0.2">
      <c r="A27" s="320" t="str">
        <f>IFERROR(VLOOKUP(B27,mapping_one_neo!A:B,2,FALSE),"")</f>
        <v/>
      </c>
      <c r="B27" s="352" t="s">
        <v>16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/>
      <c r="V27" s="362"/>
      <c r="W27" s="362"/>
      <c r="X27" s="362"/>
      <c r="Y27" s="363">
        <v>0</v>
      </c>
      <c r="Z27" s="363"/>
      <c r="AA27" s="363"/>
      <c r="AB27" s="363"/>
      <c r="AC27" s="363">
        <v>0</v>
      </c>
      <c r="AD27" s="355"/>
      <c r="AE27" s="334"/>
    </row>
    <row r="28" spans="1:31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-6</v>
      </c>
      <c r="V28" s="362"/>
      <c r="W28" s="362"/>
      <c r="X28" s="362">
        <v>6</v>
      </c>
      <c r="Y28" s="363">
        <v>0</v>
      </c>
      <c r="Z28" s="363"/>
      <c r="AA28" s="363"/>
      <c r="AB28" s="363"/>
      <c r="AC28" s="363">
        <v>0</v>
      </c>
      <c r="AD28" s="355"/>
      <c r="AE28" s="334"/>
    </row>
    <row r="29" spans="1:31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/>
      <c r="V29" s="362"/>
      <c r="W29" s="362"/>
      <c r="X29" s="362"/>
      <c r="Y29" s="363">
        <v>0</v>
      </c>
      <c r="Z29" s="363"/>
      <c r="AA29" s="363"/>
      <c r="AB29" s="363"/>
      <c r="AC29" s="363">
        <v>0</v>
      </c>
      <c r="AD29" s="355"/>
      <c r="AE29" s="334"/>
    </row>
    <row r="30" spans="1:31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-6.1574999999999998</v>
      </c>
      <c r="V30" s="362"/>
      <c r="W30" s="362"/>
      <c r="X30" s="363">
        <v>-2.3000000000000007</v>
      </c>
      <c r="Y30" s="363">
        <v>-8.4574999999999996</v>
      </c>
      <c r="Z30" s="363"/>
      <c r="AA30" s="363"/>
      <c r="AB30" s="363"/>
      <c r="AC30" s="363">
        <v>-8.4574999999999996</v>
      </c>
      <c r="AD30" s="355"/>
      <c r="AE30" s="334"/>
    </row>
    <row r="31" spans="1:31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-18.867999999999999</v>
      </c>
      <c r="V31" s="362"/>
      <c r="W31" s="362"/>
      <c r="X31" s="362"/>
      <c r="Y31" s="363">
        <v>-18.867999999999999</v>
      </c>
      <c r="Z31" s="363"/>
      <c r="AA31" s="363"/>
      <c r="AB31" s="363"/>
      <c r="AC31" s="363">
        <v>-18.867999999999999</v>
      </c>
      <c r="AD31" s="355"/>
      <c r="AE31" s="334"/>
    </row>
    <row r="32" spans="1:31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/>
      <c r="AC32" s="363"/>
      <c r="AD32" s="355"/>
      <c r="AE32" s="334"/>
    </row>
    <row r="33" spans="1:31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/>
      <c r="AC33" s="363"/>
      <c r="AD33" s="355"/>
      <c r="AE33" s="334"/>
    </row>
    <row r="34" spans="1:31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/>
      <c r="Y34" s="363"/>
      <c r="Z34" s="363"/>
      <c r="AA34" s="363"/>
      <c r="AB34" s="363"/>
      <c r="AC34" s="363"/>
      <c r="AD34" s="355"/>
      <c r="AE34" s="334"/>
    </row>
    <row r="35" spans="1:31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/>
      <c r="AC35" s="363"/>
      <c r="AD35" s="355"/>
      <c r="AE35" s="334"/>
    </row>
    <row r="36" spans="1:31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/>
      <c r="AC36" s="363"/>
      <c r="AD36" s="355"/>
      <c r="AE36" s="334"/>
    </row>
    <row r="37" spans="1:31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-6.3167300000000006</v>
      </c>
      <c r="V37" s="351"/>
      <c r="W37" s="351"/>
      <c r="X37" s="351">
        <v>-0.91320000000000001</v>
      </c>
      <c r="Y37" s="363">
        <v>-7.2299300000000004</v>
      </c>
      <c r="Z37" s="363"/>
      <c r="AA37" s="363"/>
      <c r="AB37" s="363"/>
      <c r="AC37" s="363">
        <v>-7.2299300000000004</v>
      </c>
      <c r="AD37" s="355"/>
      <c r="AE37" s="334"/>
    </row>
    <row r="38" spans="1:31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-5.1016300000000001</v>
      </c>
      <c r="V38" s="351"/>
      <c r="W38" s="351"/>
      <c r="X38" s="351"/>
      <c r="Y38" s="363"/>
      <c r="Z38" s="363"/>
      <c r="AA38" s="363"/>
      <c r="AB38" s="363"/>
      <c r="AC38" s="363">
        <v>0</v>
      </c>
      <c r="AD38" s="350"/>
    </row>
    <row r="39" spans="1:31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-0.73</v>
      </c>
      <c r="V39" s="351"/>
      <c r="W39" s="351"/>
      <c r="X39" s="351"/>
      <c r="Y39" s="363"/>
      <c r="Z39" s="363"/>
      <c r="AA39" s="363"/>
      <c r="AB39" s="363"/>
      <c r="AC39" s="363">
        <v>0</v>
      </c>
      <c r="AD39" s="350"/>
    </row>
    <row r="40" spans="1:31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-0.42409999999999998</v>
      </c>
      <c r="V40" s="362"/>
      <c r="W40" s="351"/>
      <c r="X40" s="351"/>
      <c r="Y40" s="363"/>
      <c r="Z40" s="363"/>
      <c r="AA40" s="363"/>
      <c r="AB40" s="363"/>
      <c r="AC40" s="363">
        <v>0</v>
      </c>
      <c r="AD40" s="350"/>
      <c r="AE40" s="334" t="s">
        <v>134</v>
      </c>
    </row>
    <row r="41" spans="1:31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-6.0999999999999999E-2</v>
      </c>
      <c r="V41" s="362"/>
      <c r="W41" s="362"/>
      <c r="X41" s="351">
        <v>-0.91320000000000001</v>
      </c>
      <c r="Y41" s="363"/>
      <c r="Z41" s="363"/>
      <c r="AA41" s="363"/>
      <c r="AB41" s="363"/>
      <c r="AC41" s="363">
        <v>0</v>
      </c>
      <c r="AD41" s="350"/>
    </row>
    <row r="42" spans="1:31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-2.04</v>
      </c>
      <c r="V42" s="362"/>
      <c r="W42" s="362"/>
      <c r="X42" s="351"/>
      <c r="Y42" s="363">
        <v>-2.04</v>
      </c>
      <c r="Z42" s="363"/>
      <c r="AA42" s="363"/>
      <c r="AB42" s="363"/>
      <c r="AC42" s="363">
        <v>-2.04</v>
      </c>
      <c r="AD42" s="355"/>
      <c r="AE42" s="334"/>
    </row>
    <row r="43" spans="1:31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D43" s="355"/>
      <c r="AE43" s="334"/>
    </row>
    <row r="44" spans="1:31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/>
      <c r="V44" s="351"/>
      <c r="W44" s="351"/>
      <c r="X44" s="351"/>
      <c r="Y44" s="363"/>
      <c r="Z44" s="363"/>
      <c r="AA44" s="363"/>
      <c r="AB44" s="363"/>
      <c r="AC44" s="363"/>
      <c r="AD44" s="350"/>
    </row>
    <row r="45" spans="1:31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/>
      <c r="V45" s="351"/>
      <c r="W45" s="351"/>
      <c r="X45" s="351"/>
      <c r="Y45" s="363"/>
      <c r="Z45" s="363"/>
      <c r="AA45" s="363"/>
      <c r="AB45" s="363"/>
      <c r="AC45" s="363"/>
      <c r="AD45" s="350"/>
      <c r="AE45" s="334" t="s">
        <v>134</v>
      </c>
    </row>
    <row r="46" spans="1:31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78"/>
      <c r="AC46" s="378"/>
      <c r="AD46" s="377"/>
      <c r="AE46" s="334"/>
    </row>
    <row r="47" spans="1:31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/>
      <c r="AA47" s="378"/>
      <c r="AB47" s="363"/>
      <c r="AC47" s="378"/>
      <c r="AD47" s="377"/>
      <c r="AE47" s="334"/>
    </row>
    <row r="48" spans="1:31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8"/>
      <c r="AD48" s="377"/>
      <c r="AE48" s="334"/>
    </row>
    <row r="49" spans="1:31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U9+U10+U18+U24+U26+U28+U30+U31+U37+U42</f>
        <v>-625.61131999999986</v>
      </c>
      <c r="V49" s="383">
        <f>SUM(V8:V17)</f>
        <v>21.778390000000002</v>
      </c>
      <c r="W49" s="383">
        <v>0</v>
      </c>
      <c r="X49" s="383">
        <f>SUM(X9:X37)</f>
        <v>-1.308928000000001</v>
      </c>
      <c r="Y49" s="383">
        <f>SUM(Y9:AB42)</f>
        <v>-605.14185799999984</v>
      </c>
      <c r="Z49" s="383">
        <v>0</v>
      </c>
      <c r="AA49" s="383"/>
      <c r="AB49" s="383">
        <v>0</v>
      </c>
      <c r="AC49" s="383">
        <f>SUM(AC9:AC42)</f>
        <v>-605.14185799999984</v>
      </c>
      <c r="AD49" s="377"/>
      <c r="AE49" s="382" t="s">
        <v>134</v>
      </c>
    </row>
    <row r="50" spans="1:31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8"/>
      <c r="AD50" s="377"/>
      <c r="AE50" s="334"/>
    </row>
    <row r="51" spans="1:31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8"/>
      <c r="AD51" s="350"/>
    </row>
    <row r="52" spans="1:31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-33.334000000000003</v>
      </c>
      <c r="V52" s="362"/>
      <c r="W52" s="362"/>
      <c r="X52" s="362"/>
      <c r="Y52" s="363">
        <v>-33.334000000000003</v>
      </c>
      <c r="Z52" s="363"/>
      <c r="AA52" s="363"/>
      <c r="AB52" s="363"/>
      <c r="AC52" s="363">
        <v>-33.334000000000003</v>
      </c>
      <c r="AD52" s="355"/>
      <c r="AE52" s="334"/>
    </row>
    <row r="53" spans="1:31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-8</v>
      </c>
      <c r="V53" s="362"/>
      <c r="W53" s="362"/>
      <c r="X53" s="362"/>
      <c r="Y53" s="363">
        <v>-8</v>
      </c>
      <c r="Z53" s="363"/>
      <c r="AA53" s="363"/>
      <c r="AB53" s="363"/>
      <c r="AC53" s="363">
        <v>-8</v>
      </c>
      <c r="AD53" s="355"/>
      <c r="AE53" s="334"/>
    </row>
    <row r="54" spans="1:31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-4.8339999999999996</v>
      </c>
      <c r="V54" s="362"/>
      <c r="W54" s="362"/>
      <c r="X54" s="362"/>
      <c r="Y54" s="363">
        <v>-4.8339999999999996</v>
      </c>
      <c r="Z54" s="363"/>
      <c r="AA54" s="363"/>
      <c r="AB54" s="363"/>
      <c r="AC54" s="363">
        <v>-4.8339999999999996</v>
      </c>
      <c r="AD54" s="355"/>
      <c r="AE54" s="334"/>
    </row>
    <row r="55" spans="1:31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-0.85048999999999997</v>
      </c>
      <c r="V55" s="362"/>
      <c r="W55" s="362"/>
      <c r="X55" s="362"/>
      <c r="Y55" s="363">
        <v>-0.85048999999999997</v>
      </c>
      <c r="Z55" s="363"/>
      <c r="AA55" s="363"/>
      <c r="AB55" s="363"/>
      <c r="AC55" s="363">
        <v>-0.85048999999999997</v>
      </c>
      <c r="AD55" s="355"/>
      <c r="AE55" s="334" t="s">
        <v>134</v>
      </c>
    </row>
    <row r="56" spans="1:31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/>
      <c r="AA56" s="363"/>
      <c r="AB56" s="363"/>
      <c r="AC56" s="363">
        <v>0</v>
      </c>
      <c r="AD56" s="355"/>
      <c r="AE56" s="334"/>
    </row>
    <row r="57" spans="1:31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/>
      <c r="AC57" s="363">
        <v>0</v>
      </c>
      <c r="AD57" s="355"/>
      <c r="AE57" s="334"/>
    </row>
    <row r="58" spans="1:31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-47.018490000000007</v>
      </c>
      <c r="V58" s="354">
        <v>0</v>
      </c>
      <c r="W58" s="354">
        <v>0</v>
      </c>
      <c r="X58" s="354"/>
      <c r="Y58" s="357">
        <f>SUM(Y52:Y57)</f>
        <v>-47.018490000000007</v>
      </c>
      <c r="Z58" s="357">
        <v>0</v>
      </c>
      <c r="AA58" s="357"/>
      <c r="AB58" s="357">
        <v>0</v>
      </c>
      <c r="AC58" s="357">
        <f>SUM(AC52:AC57)</f>
        <v>-47.018490000000007</v>
      </c>
      <c r="AD58" s="355"/>
      <c r="AE58" s="334"/>
    </row>
    <row r="59" spans="1:31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8"/>
      <c r="AD59" s="350"/>
    </row>
    <row r="60" spans="1:31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8"/>
      <c r="AD60" s="350"/>
    </row>
    <row r="61" spans="1:31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8"/>
      <c r="AD61" s="350"/>
    </row>
    <row r="62" spans="1:31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-1.8407</v>
      </c>
      <c r="V62" s="351">
        <v>-4.2872700000000004</v>
      </c>
      <c r="W62" s="351"/>
      <c r="X62" s="351">
        <v>-2.9300000000000104E-2</v>
      </c>
      <c r="Y62" s="363">
        <v>-6.1572700000000005</v>
      </c>
      <c r="Z62" s="363"/>
      <c r="AA62" s="363"/>
      <c r="AB62" s="363"/>
      <c r="AC62" s="363">
        <v>-6.1572700000000005</v>
      </c>
      <c r="AD62" s="355"/>
      <c r="AE62" s="334"/>
    </row>
    <row r="63" spans="1:31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-24.474019999999999</v>
      </c>
      <c r="W63" s="351"/>
      <c r="X63" s="351"/>
      <c r="Y63" s="363">
        <v>-24.474019999999999</v>
      </c>
      <c r="Z63" s="363"/>
      <c r="AA63" s="363"/>
      <c r="AB63" s="363"/>
      <c r="AC63" s="363">
        <v>-24.474019999999999</v>
      </c>
      <c r="AD63" s="355"/>
      <c r="AE63" s="334"/>
    </row>
    <row r="64" spans="1:31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-1.9339999999999999</v>
      </c>
      <c r="V64" s="351"/>
      <c r="W64" s="351"/>
      <c r="X64" s="351"/>
      <c r="Y64" s="363">
        <v>-1.9339999999999999</v>
      </c>
      <c r="Z64" s="363"/>
      <c r="AA64" s="363"/>
      <c r="AB64" s="363"/>
      <c r="AC64" s="363">
        <v>-1.9339999999999999</v>
      </c>
      <c r="AD64" s="355"/>
      <c r="AE64" s="334"/>
    </row>
    <row r="65" spans="1:31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-0.38400000000000001</v>
      </c>
      <c r="V65" s="351"/>
      <c r="W65" s="351"/>
      <c r="X65" s="351"/>
      <c r="Y65" s="363">
        <v>-0.38400000000000001</v>
      </c>
      <c r="Z65" s="363"/>
      <c r="AA65" s="363"/>
      <c r="AB65" s="363"/>
      <c r="AC65" s="363">
        <v>-0.38400000000000001</v>
      </c>
      <c r="AD65" s="355"/>
      <c r="AE65" s="334"/>
    </row>
    <row r="66" spans="1:31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/>
      <c r="AC66" s="363">
        <v>0</v>
      </c>
      <c r="AD66" s="355"/>
      <c r="AE66" s="334"/>
    </row>
    <row r="67" spans="1:31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/>
      <c r="V67" s="351"/>
      <c r="W67" s="351"/>
      <c r="X67" s="351"/>
      <c r="Y67" s="363">
        <v>0</v>
      </c>
      <c r="Z67" s="363"/>
      <c r="AA67" s="363"/>
      <c r="AB67" s="363"/>
      <c r="AC67" s="363">
        <v>0</v>
      </c>
      <c r="AD67" s="355"/>
      <c r="AE67" s="334"/>
    </row>
    <row r="68" spans="1:31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-0.13203000000000001</v>
      </c>
      <c r="V68" s="351"/>
      <c r="W68" s="351"/>
      <c r="X68" s="351"/>
      <c r="Y68" s="363">
        <v>-0.13203000000000001</v>
      </c>
      <c r="Z68" s="363"/>
      <c r="AA68" s="363"/>
      <c r="AB68" s="363"/>
      <c r="AC68" s="363">
        <v>-0.13203000000000001</v>
      </c>
      <c r="AD68" s="355"/>
      <c r="AE68" s="334"/>
    </row>
    <row r="69" spans="1:31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-0.33804000000000023</v>
      </c>
      <c r="V69" s="351"/>
      <c r="W69" s="351"/>
      <c r="X69" s="351"/>
      <c r="Y69" s="363">
        <v>-0.33804000000000023</v>
      </c>
      <c r="Z69" s="363"/>
      <c r="AA69" s="363"/>
      <c r="AB69" s="363"/>
      <c r="AC69" s="363">
        <v>-0.33804000000000023</v>
      </c>
      <c r="AD69" s="355"/>
      <c r="AE69" s="334"/>
    </row>
    <row r="70" spans="1:31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-2.25</v>
      </c>
      <c r="V70" s="351"/>
      <c r="W70" s="351"/>
      <c r="X70" s="351"/>
      <c r="Y70" s="363">
        <v>-2.25</v>
      </c>
      <c r="Z70" s="363"/>
      <c r="AA70" s="363"/>
      <c r="AB70" s="363"/>
      <c r="AC70" s="363">
        <v>-2.25</v>
      </c>
      <c r="AD70" s="355"/>
      <c r="AE70" s="334"/>
    </row>
    <row r="71" spans="1:31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/>
      <c r="AC71" s="363">
        <v>0</v>
      </c>
      <c r="AD71" s="355"/>
      <c r="AE71" s="334"/>
    </row>
    <row r="72" spans="1:31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-6.8787700000000012</v>
      </c>
      <c r="V72" s="393">
        <f t="shared" ref="V72:AC72" si="0">SUM(V62:V71)</f>
        <v>-28.761289999999999</v>
      </c>
      <c r="W72" s="393">
        <f t="shared" si="0"/>
        <v>0</v>
      </c>
      <c r="X72" s="393">
        <f t="shared" si="0"/>
        <v>-2.9300000000000104E-2</v>
      </c>
      <c r="Y72" s="395">
        <f t="shared" si="0"/>
        <v>-35.669359999999998</v>
      </c>
      <c r="Z72" s="395">
        <f t="shared" si="0"/>
        <v>0</v>
      </c>
      <c r="AA72" s="395">
        <f t="shared" si="0"/>
        <v>0</v>
      </c>
      <c r="AB72" s="395">
        <f t="shared" si="0"/>
        <v>0</v>
      </c>
      <c r="AC72" s="395">
        <f t="shared" si="0"/>
        <v>-35.669359999999998</v>
      </c>
      <c r="AD72" s="394"/>
      <c r="AE72" s="334"/>
    </row>
    <row r="73" spans="1:31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8"/>
      <c r="AD73" s="350"/>
    </row>
    <row r="74" spans="1:31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8"/>
      <c r="AD74" s="350"/>
    </row>
    <row r="75" spans="1:31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-1.9112</v>
      </c>
      <c r="V75" s="351"/>
      <c r="W75" s="351"/>
      <c r="X75" s="351">
        <v>-1</v>
      </c>
      <c r="Y75" s="363">
        <v>-2.9112</v>
      </c>
      <c r="Z75" s="363"/>
      <c r="AA75" s="363"/>
      <c r="AB75" s="363"/>
      <c r="AC75" s="363">
        <v>-2.9112</v>
      </c>
      <c r="AD75" s="355" t="s">
        <v>134</v>
      </c>
      <c r="AE75" s="334"/>
    </row>
    <row r="76" spans="1:31" s="352" customFormat="1" x14ac:dyDescent="0.2">
      <c r="A76" s="320" t="str">
        <f>IFERROR(VLOOKUP(B76,mapping_one_neo!A:B,2,FALSE),"")</f>
        <v/>
      </c>
      <c r="B76" s="388" t="s">
        <v>780</v>
      </c>
      <c r="C76" s="396" t="s">
        <v>750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0</v>
      </c>
      <c r="V76" s="351"/>
      <c r="W76" s="351"/>
      <c r="X76" s="351"/>
      <c r="Y76" s="363">
        <v>0</v>
      </c>
      <c r="Z76" s="363"/>
      <c r="AA76" s="363"/>
      <c r="AB76" s="363"/>
      <c r="AC76" s="363">
        <v>0</v>
      </c>
      <c r="AD76" s="355"/>
      <c r="AE76" s="334"/>
    </row>
    <row r="77" spans="1:31" s="352" customFormat="1" x14ac:dyDescent="0.2">
      <c r="A77" s="320" t="str">
        <f>IFERROR(VLOOKUP(B77,mapping_one_neo!A:B,2,FALSE),"")</f>
        <v>Allowance &amp; subsistence</v>
      </c>
      <c r="B77" s="388" t="s">
        <v>751</v>
      </c>
      <c r="C77" s="353">
        <v>625700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-1.51841</v>
      </c>
      <c r="V77" s="351"/>
      <c r="W77" s="351"/>
      <c r="X77" s="351"/>
      <c r="Y77" s="363">
        <v>-1.51841</v>
      </c>
      <c r="Z77" s="363"/>
      <c r="AA77" s="363"/>
      <c r="AB77" s="363"/>
      <c r="AC77" s="363">
        <v>-1.51841</v>
      </c>
      <c r="AD77" s="355"/>
      <c r="AE77" s="334"/>
    </row>
    <row r="78" spans="1:31" s="352" customFormat="1" x14ac:dyDescent="0.2">
      <c r="A78" s="320" t="str">
        <f>IFERROR(VLOOKUP(B78,mapping_one_neo!A:B,2,FALSE),"")</f>
        <v/>
      </c>
      <c r="B78" s="388" t="s">
        <v>787</v>
      </c>
      <c r="C78" s="353">
        <v>625650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-0.32568999999999998</v>
      </c>
      <c r="V78" s="351"/>
      <c r="W78" s="351"/>
      <c r="X78" s="351">
        <v>-1</v>
      </c>
      <c r="Y78" s="363">
        <v>-1.32569</v>
      </c>
      <c r="Z78" s="363"/>
      <c r="AA78" s="363"/>
      <c r="AB78" s="363"/>
      <c r="AC78" s="363">
        <v>-1.32569</v>
      </c>
      <c r="AD78" s="355"/>
      <c r="AE78" s="334"/>
    </row>
    <row r="79" spans="1:31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-3.7553000000000001</v>
      </c>
      <c r="V79" s="393">
        <f t="shared" ref="V79:AC79" si="1">SUM(V75:V78)</f>
        <v>0</v>
      </c>
      <c r="W79" s="393">
        <f t="shared" si="1"/>
        <v>0</v>
      </c>
      <c r="X79" s="393">
        <f t="shared" si="1"/>
        <v>-2</v>
      </c>
      <c r="Y79" s="393">
        <f t="shared" si="1"/>
        <v>-5.7553000000000001</v>
      </c>
      <c r="Z79" s="393">
        <f t="shared" si="1"/>
        <v>0</v>
      </c>
      <c r="AA79" s="393">
        <f t="shared" si="1"/>
        <v>0</v>
      </c>
      <c r="AB79" s="393">
        <f t="shared" si="1"/>
        <v>0</v>
      </c>
      <c r="AC79" s="393">
        <f t="shared" si="1"/>
        <v>-5.7553000000000001</v>
      </c>
      <c r="AD79" s="394"/>
      <c r="AE79" s="334"/>
    </row>
    <row r="80" spans="1:31" x14ac:dyDescent="0.2">
      <c r="A80" s="320" t="str">
        <f>IFERROR(VLOOKUP(B80,mapping_one_neo!A:B,2,FALSE),"")</f>
        <v/>
      </c>
      <c r="G80" s="336"/>
      <c r="H80" s="336"/>
      <c r="I80" s="336"/>
      <c r="J80" s="336">
        <v>0</v>
      </c>
      <c r="K80" s="336"/>
      <c r="L80" s="336"/>
      <c r="M80" s="336">
        <v>0</v>
      </c>
      <c r="N80" s="336"/>
      <c r="O80" s="336"/>
      <c r="P80" s="336"/>
      <c r="Q80" s="336"/>
      <c r="R80" s="336"/>
      <c r="S80" s="349"/>
      <c r="T80" s="346"/>
      <c r="U80" s="351"/>
      <c r="V80" s="351"/>
      <c r="W80" s="351"/>
      <c r="X80" s="351"/>
      <c r="Y80" s="358"/>
      <c r="Z80" s="358"/>
      <c r="AA80" s="358"/>
      <c r="AB80" s="358"/>
      <c r="AC80" s="358"/>
      <c r="AD80" s="350"/>
    </row>
    <row r="81" spans="1:31" x14ac:dyDescent="0.2">
      <c r="A81" s="320">
        <f>IFERROR(VLOOKUP(B81,mapping_one_neo!A:B,2,FALSE),"")</f>
        <v>0</v>
      </c>
      <c r="B81" s="352" t="s">
        <v>57</v>
      </c>
      <c r="C81" s="353"/>
      <c r="E81" s="354">
        <v>-260.00366843793921</v>
      </c>
      <c r="G81" s="354">
        <v>-14.901219999999999</v>
      </c>
      <c r="H81" s="354">
        <v>-24.423729999999995</v>
      </c>
      <c r="I81" s="354">
        <v>-23.112830000000002</v>
      </c>
      <c r="J81" s="354">
        <v>-19.212610000000002</v>
      </c>
      <c r="K81" s="354">
        <v>-16.32507</v>
      </c>
      <c r="L81" s="354">
        <v>-19.04739</v>
      </c>
      <c r="M81" s="354">
        <v>-24.760217295586671</v>
      </c>
      <c r="N81" s="354">
        <v>-21.925321462253336</v>
      </c>
      <c r="O81" s="354">
        <v>-22.242061045586674</v>
      </c>
      <c r="P81" s="354">
        <v>-24.338092295586669</v>
      </c>
      <c r="Q81" s="354">
        <v>-22.638092295586667</v>
      </c>
      <c r="R81" s="354">
        <v>-27.077034043339125</v>
      </c>
      <c r="S81" s="349"/>
      <c r="T81" s="346"/>
      <c r="U81" s="354">
        <f>U72+U79</f>
        <v>-10.634070000000001</v>
      </c>
      <c r="V81" s="354">
        <f t="shared" ref="V81:AC81" si="2">V72+V79</f>
        <v>-28.761289999999999</v>
      </c>
      <c r="W81" s="354">
        <f t="shared" si="2"/>
        <v>0</v>
      </c>
      <c r="X81" s="354">
        <f t="shared" si="2"/>
        <v>-2.0293000000000001</v>
      </c>
      <c r="Y81" s="354">
        <f t="shared" si="2"/>
        <v>-41.424659999999996</v>
      </c>
      <c r="Z81" s="354">
        <f t="shared" si="2"/>
        <v>0</v>
      </c>
      <c r="AA81" s="354">
        <f t="shared" si="2"/>
        <v>0</v>
      </c>
      <c r="AB81" s="354">
        <f t="shared" si="2"/>
        <v>0</v>
      </c>
      <c r="AC81" s="354">
        <f t="shared" si="2"/>
        <v>-41.424659999999996</v>
      </c>
      <c r="AD81" s="350"/>
    </row>
    <row r="82" spans="1:31" x14ac:dyDescent="0.2">
      <c r="A82" s="320" t="str">
        <f>IFERROR(VLOOKUP(B82,mapping_one_neo!A:B,2,FALSE),"")</f>
        <v/>
      </c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8"/>
      <c r="AD82" s="350"/>
    </row>
    <row r="83" spans="1:31" x14ac:dyDescent="0.2">
      <c r="A83" s="320">
        <f>IFERROR(VLOOKUP(B83,mapping_one_neo!A:B,2,FALSE),"")</f>
        <v>0</v>
      </c>
      <c r="B83" s="352" t="s">
        <v>58</v>
      </c>
      <c r="C83" s="353"/>
      <c r="S83" s="349"/>
      <c r="T83" s="346"/>
      <c r="U83" s="351"/>
      <c r="V83" s="351"/>
      <c r="W83" s="351"/>
      <c r="X83" s="351"/>
      <c r="Y83" s="358"/>
      <c r="Z83" s="358"/>
      <c r="AA83" s="358"/>
      <c r="AB83" s="358"/>
      <c r="AC83" s="358"/>
      <c r="AD83" s="350"/>
    </row>
    <row r="84" spans="1:31" x14ac:dyDescent="0.2">
      <c r="A84" s="320">
        <f>IFERROR(VLOOKUP(B84,mapping_one_neo!A:B,2,FALSE),"")</f>
        <v>0</v>
      </c>
      <c r="B84" s="387" t="s">
        <v>59</v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8"/>
      <c r="AD84" s="350"/>
    </row>
    <row r="85" spans="1:31" s="352" customFormat="1" x14ac:dyDescent="0.2">
      <c r="A85" s="320" t="str">
        <f>IFERROR(VLOOKUP(B85,mapping_one_neo!A:B,2,FALSE),"")</f>
        <v>New business/client presentation costs</v>
      </c>
      <c r="B85" s="388" t="s">
        <v>60</v>
      </c>
      <c r="C85" s="353" t="s">
        <v>153</v>
      </c>
      <c r="E85" s="356">
        <v>-9.3027399999999982</v>
      </c>
      <c r="G85" s="419">
        <v>-0.41615999999999997</v>
      </c>
      <c r="H85" s="419">
        <v>-0.42371000000000003</v>
      </c>
      <c r="I85" s="419">
        <v>-0.41617000000000004</v>
      </c>
      <c r="J85" s="419">
        <v>-0.45894999999999997</v>
      </c>
      <c r="K85" s="419">
        <v>-0.41615999999999986</v>
      </c>
      <c r="L85" s="419">
        <v>-0.4027400000000001</v>
      </c>
      <c r="M85" s="419">
        <v>-1.0356262499999989</v>
      </c>
      <c r="N85" s="419">
        <v>-0.5</v>
      </c>
      <c r="O85" s="419">
        <v>-1.3083059374999999</v>
      </c>
      <c r="P85" s="419">
        <v>-1.3083059374999999</v>
      </c>
      <c r="Q85" s="419">
        <v>-1.3083059374999999</v>
      </c>
      <c r="R85" s="419">
        <v>-1.3083059374999999</v>
      </c>
      <c r="S85" s="345"/>
      <c r="T85" s="361"/>
      <c r="U85" s="351"/>
      <c r="V85" s="351"/>
      <c r="W85" s="351"/>
      <c r="X85" s="351"/>
      <c r="Y85" s="363"/>
      <c r="Z85" s="363"/>
      <c r="AA85" s="363"/>
      <c r="AB85" s="363"/>
      <c r="AC85" s="363"/>
      <c r="AD85" s="355"/>
      <c r="AE85" s="334"/>
    </row>
    <row r="86" spans="1:31" s="352" customFormat="1" x14ac:dyDescent="0.2">
      <c r="A86" s="320" t="str">
        <f>IFERROR(VLOOKUP(B86,mapping_one_neo!A:B,2,FALSE),"")</f>
        <v>New business/client presentation costs</v>
      </c>
      <c r="B86" s="388" t="s">
        <v>61</v>
      </c>
      <c r="C86" s="342">
        <v>625131</v>
      </c>
      <c r="E86" s="356">
        <v>-2.3610500000000005</v>
      </c>
      <c r="G86" s="419">
        <v>-0.4224</v>
      </c>
      <c r="H86" s="419">
        <v>0</v>
      </c>
      <c r="I86" s="419">
        <v>0</v>
      </c>
      <c r="J86" s="419">
        <v>0</v>
      </c>
      <c r="K86" s="419">
        <v>0</v>
      </c>
      <c r="L86" s="419">
        <v>-0.16105000000000003</v>
      </c>
      <c r="M86" s="419">
        <v>-0.29626666666666668</v>
      </c>
      <c r="N86" s="419">
        <v>-0.29626666666666668</v>
      </c>
      <c r="O86" s="419">
        <v>-0.29626666666666668</v>
      </c>
      <c r="P86" s="419">
        <v>-0.29626666666666668</v>
      </c>
      <c r="Q86" s="419">
        <v>-0.29626666666666668</v>
      </c>
      <c r="R86" s="419">
        <v>-0.29626666666666668</v>
      </c>
      <c r="S86" s="345"/>
      <c r="T86" s="361"/>
      <c r="U86" s="351"/>
      <c r="V86" s="351"/>
      <c r="W86" s="351"/>
      <c r="X86" s="351"/>
      <c r="Y86" s="363"/>
      <c r="Z86" s="363"/>
      <c r="AA86" s="363"/>
      <c r="AB86" s="363"/>
      <c r="AC86" s="363"/>
      <c r="AD86" s="355"/>
      <c r="AE86" s="334"/>
    </row>
    <row r="87" spans="1:31" s="352" customFormat="1" x14ac:dyDescent="0.2">
      <c r="A87" s="320" t="str">
        <f>IFERROR(VLOOKUP(B87,mapping_one_neo!A:B,2,FALSE),"")</f>
        <v>New business/client presentation costs</v>
      </c>
      <c r="B87" s="388" t="s">
        <v>788</v>
      </c>
      <c r="C87" s="353" t="s">
        <v>789</v>
      </c>
      <c r="E87" s="356">
        <v>-1.7195299999999998</v>
      </c>
      <c r="G87" s="419">
        <v>0</v>
      </c>
      <c r="H87" s="419">
        <v>-0.21934999999999999</v>
      </c>
      <c r="I87" s="419">
        <v>0</v>
      </c>
      <c r="J87" s="419">
        <v>-0.21328000000000003</v>
      </c>
      <c r="K87" s="419">
        <v>-4.2419999999999958E-2</v>
      </c>
      <c r="L87" s="419">
        <v>-5.4440000000000044E-2</v>
      </c>
      <c r="M87" s="419">
        <v>-0.19833999999999999</v>
      </c>
      <c r="N87" s="419">
        <v>-0.19833999999999999</v>
      </c>
      <c r="O87" s="419">
        <v>-0.19833999999999999</v>
      </c>
      <c r="P87" s="419">
        <v>-0.19833999999999999</v>
      </c>
      <c r="Q87" s="419">
        <v>-0.19833999999999999</v>
      </c>
      <c r="R87" s="419">
        <v>-0.19833999999999999</v>
      </c>
      <c r="S87" s="345"/>
      <c r="T87" s="361"/>
      <c r="U87" s="351">
        <v>-8.5550000000000001E-2</v>
      </c>
      <c r="V87" s="351"/>
      <c r="W87" s="351"/>
      <c r="X87" s="351"/>
      <c r="Y87" s="363">
        <v>-8.5550000000000001E-2</v>
      </c>
      <c r="Z87" s="363"/>
      <c r="AA87" s="363"/>
      <c r="AB87" s="363"/>
      <c r="AC87" s="363">
        <v>-8.5550000000000001E-2</v>
      </c>
      <c r="AD87" s="355"/>
      <c r="AE87" s="334"/>
    </row>
    <row r="88" spans="1:31" s="387" customFormat="1" x14ac:dyDescent="0.2">
      <c r="A88" s="320">
        <f>IFERROR(VLOOKUP(B88,mapping_one_neo!A:B,2,FALSE),"")</f>
        <v>0</v>
      </c>
      <c r="B88" s="387" t="s">
        <v>63</v>
      </c>
      <c r="C88" s="392"/>
      <c r="E88" s="393">
        <v>-13.383319999999998</v>
      </c>
      <c r="G88" s="393">
        <v>-0.83855999999999997</v>
      </c>
      <c r="H88" s="393">
        <v>-0.64305999999999996</v>
      </c>
      <c r="I88" s="393">
        <v>-0.41617000000000004</v>
      </c>
      <c r="J88" s="393">
        <v>-0.67222999999999999</v>
      </c>
      <c r="K88" s="393">
        <v>-0.45857999999999982</v>
      </c>
      <c r="L88" s="393">
        <v>-0.61823000000000017</v>
      </c>
      <c r="M88" s="393">
        <v>-1.5302329166666655</v>
      </c>
      <c r="N88" s="393">
        <v>-0.99460666666666664</v>
      </c>
      <c r="O88" s="393">
        <v>-1.8029126041666665</v>
      </c>
      <c r="P88" s="393">
        <v>-1.8029126041666665</v>
      </c>
      <c r="Q88" s="393">
        <v>-1.8029126041666665</v>
      </c>
      <c r="R88" s="393">
        <v>-1.8029126041666665</v>
      </c>
      <c r="S88" s="349"/>
      <c r="T88" s="346"/>
      <c r="U88" s="393"/>
      <c r="V88" s="393"/>
      <c r="W88" s="393"/>
      <c r="X88" s="393"/>
      <c r="Y88" s="395"/>
      <c r="Z88" s="395"/>
      <c r="AA88" s="395"/>
      <c r="AB88" s="395"/>
      <c r="AC88" s="395"/>
      <c r="AD88" s="394"/>
      <c r="AE88" s="334"/>
    </row>
    <row r="89" spans="1:31" x14ac:dyDescent="0.2">
      <c r="A89" s="320" t="str">
        <f>IFERROR(VLOOKUP(B89,mapping_one_neo!A:B,2,FALSE),"")</f>
        <v/>
      </c>
      <c r="J89" s="335">
        <v>0</v>
      </c>
      <c r="M89" s="335">
        <v>0</v>
      </c>
      <c r="S89" s="349"/>
      <c r="T89" s="346"/>
      <c r="U89" s="351"/>
      <c r="V89" s="351"/>
      <c r="W89" s="351"/>
      <c r="X89" s="351"/>
      <c r="Y89" s="358"/>
      <c r="Z89" s="358"/>
      <c r="AA89" s="358"/>
      <c r="AB89" s="358"/>
      <c r="AC89" s="358"/>
      <c r="AD89" s="350"/>
    </row>
    <row r="90" spans="1:31" x14ac:dyDescent="0.2">
      <c r="A90" s="320">
        <f>IFERROR(VLOOKUP(B90,mapping_one_neo!A:B,2,FALSE),"")</f>
        <v>0</v>
      </c>
      <c r="B90" s="387" t="s">
        <v>64</v>
      </c>
      <c r="J90" s="335">
        <v>0</v>
      </c>
      <c r="M90" s="335">
        <v>0</v>
      </c>
      <c r="S90" s="349"/>
      <c r="T90" s="346"/>
      <c r="U90" s="351"/>
      <c r="V90" s="351"/>
      <c r="W90" s="351"/>
      <c r="X90" s="351"/>
      <c r="Y90" s="358">
        <v>0</v>
      </c>
      <c r="Z90" s="358"/>
      <c r="AA90" s="358"/>
      <c r="AB90" s="358"/>
      <c r="AC90" s="358"/>
      <c r="AD90" s="350"/>
    </row>
    <row r="91" spans="1:31" s="352" customFormat="1" x14ac:dyDescent="0.2">
      <c r="A91" s="320" t="str">
        <f>IFERROR(VLOOKUP(B91,mapping_one_neo!A:B,2,FALSE),"")</f>
        <v>Advert/promotion</v>
      </c>
      <c r="B91" s="388" t="s">
        <v>65</v>
      </c>
      <c r="C91" s="396" t="s">
        <v>790</v>
      </c>
      <c r="E91" s="356">
        <v>-23.226660000000003</v>
      </c>
      <c r="G91" s="419">
        <v>-1</v>
      </c>
      <c r="H91" s="419">
        <v>-1</v>
      </c>
      <c r="I91" s="419">
        <v>-3.4225000000000003</v>
      </c>
      <c r="J91" s="419">
        <v>-1.3041599999999995</v>
      </c>
      <c r="K91" s="419">
        <v>-1</v>
      </c>
      <c r="L91" s="419">
        <v>-3.5000000000000009</v>
      </c>
      <c r="M91" s="419">
        <v>-5</v>
      </c>
      <c r="N91" s="419">
        <v>-2.5</v>
      </c>
      <c r="O91" s="419">
        <v>-1</v>
      </c>
      <c r="P91" s="419">
        <v>-1</v>
      </c>
      <c r="Q91" s="419">
        <v>-1</v>
      </c>
      <c r="R91" s="419">
        <v>-1.5</v>
      </c>
      <c r="S91" s="345"/>
      <c r="T91" s="361"/>
      <c r="U91" s="351">
        <v>-0.48812</v>
      </c>
      <c r="V91" s="351"/>
      <c r="W91" s="351"/>
      <c r="X91" s="351">
        <v>0</v>
      </c>
      <c r="Y91" s="363">
        <v>-0.48812</v>
      </c>
      <c r="Z91" s="363"/>
      <c r="AA91" s="363"/>
      <c r="AB91" s="363"/>
      <c r="AC91" s="363">
        <v>-0.48812</v>
      </c>
      <c r="AD91" s="355"/>
    </row>
    <row r="92" spans="1:31" s="352" customFormat="1" x14ac:dyDescent="0.2">
      <c r="A92" s="320" t="str">
        <f>IFERROR(VLOOKUP(B92,mapping_one_neo!A:B,2,FALSE),"")</f>
        <v>Advert/promotion</v>
      </c>
      <c r="B92" s="388" t="s">
        <v>66</v>
      </c>
      <c r="C92" s="353">
        <v>623400</v>
      </c>
      <c r="E92" s="356">
        <v>-3</v>
      </c>
      <c r="G92" s="419">
        <v>0</v>
      </c>
      <c r="H92" s="419">
        <v>0</v>
      </c>
      <c r="I92" s="419">
        <v>0</v>
      </c>
      <c r="J92" s="419">
        <v>0</v>
      </c>
      <c r="K92" s="419">
        <v>0</v>
      </c>
      <c r="L92" s="419">
        <v>0</v>
      </c>
      <c r="M92" s="419">
        <v>0</v>
      </c>
      <c r="N92" s="419">
        <v>0</v>
      </c>
      <c r="O92" s="419"/>
      <c r="P92" s="419"/>
      <c r="Q92" s="419"/>
      <c r="R92" s="419">
        <v>-3</v>
      </c>
      <c r="S92" s="345"/>
      <c r="T92" s="361"/>
      <c r="U92" s="351">
        <v>-4.9799999999999997E-2</v>
      </c>
      <c r="V92" s="362"/>
      <c r="W92" s="362"/>
      <c r="X92" s="362">
        <v>0</v>
      </c>
      <c r="Y92" s="363">
        <v>-4.9799999999999997E-2</v>
      </c>
      <c r="Z92" s="363"/>
      <c r="AA92" s="363"/>
      <c r="AB92" s="363"/>
      <c r="AC92" s="363">
        <v>-4.9799999999999997E-2</v>
      </c>
      <c r="AD92" s="355"/>
      <c r="AE92" s="334"/>
    </row>
    <row r="93" spans="1:31" s="387" customFormat="1" x14ac:dyDescent="0.2">
      <c r="A93" s="320">
        <f>IFERROR(VLOOKUP(B93,mapping_one_neo!A:B,2,FALSE),"")</f>
        <v>0</v>
      </c>
      <c r="B93" s="387" t="s">
        <v>67</v>
      </c>
      <c r="C93" s="392"/>
      <c r="E93" s="393">
        <v>-26.226660000000003</v>
      </c>
      <c r="G93" s="393">
        <v>-1</v>
      </c>
      <c r="H93" s="393">
        <v>-1</v>
      </c>
      <c r="I93" s="393">
        <v>-3.4225000000000003</v>
      </c>
      <c r="J93" s="393">
        <v>-1.3041599999999995</v>
      </c>
      <c r="K93" s="393">
        <v>-1</v>
      </c>
      <c r="L93" s="393">
        <v>-3.5000000000000009</v>
      </c>
      <c r="M93" s="393">
        <v>-5</v>
      </c>
      <c r="N93" s="393">
        <v>-2.5</v>
      </c>
      <c r="O93" s="393">
        <v>-1</v>
      </c>
      <c r="P93" s="393">
        <v>-1</v>
      </c>
      <c r="Q93" s="393">
        <v>-1</v>
      </c>
      <c r="R93" s="393">
        <v>-4.5</v>
      </c>
      <c r="S93" s="349"/>
      <c r="T93" s="346"/>
      <c r="U93" s="393">
        <f>SUM(U91:U92)</f>
        <v>-0.53791999999999995</v>
      </c>
      <c r="V93" s="393">
        <f t="shared" ref="V93:AC93" si="3">SUM(V91:V92)</f>
        <v>0</v>
      </c>
      <c r="W93" s="393">
        <f t="shared" si="3"/>
        <v>0</v>
      </c>
      <c r="X93" s="393">
        <f t="shared" si="3"/>
        <v>0</v>
      </c>
      <c r="Y93" s="393">
        <f t="shared" si="3"/>
        <v>-0.53791999999999995</v>
      </c>
      <c r="Z93" s="393">
        <f t="shared" si="3"/>
        <v>0</v>
      </c>
      <c r="AA93" s="393">
        <f t="shared" si="3"/>
        <v>0</v>
      </c>
      <c r="AB93" s="393">
        <f t="shared" si="3"/>
        <v>0</v>
      </c>
      <c r="AC93" s="393">
        <f t="shared" si="3"/>
        <v>-0.53791999999999995</v>
      </c>
      <c r="AD93" s="394"/>
      <c r="AE93" s="334"/>
    </row>
    <row r="94" spans="1:31" x14ac:dyDescent="0.2">
      <c r="A94" s="320" t="str">
        <f>IFERROR(VLOOKUP(B94,mapping_one_neo!A:B,2,FALSE),"")</f>
        <v/>
      </c>
      <c r="J94" s="335">
        <v>0</v>
      </c>
      <c r="M94" s="335">
        <v>0</v>
      </c>
      <c r="S94" s="349"/>
      <c r="T94" s="346"/>
      <c r="U94" s="351"/>
      <c r="V94" s="351"/>
      <c r="W94" s="351"/>
      <c r="X94" s="351"/>
      <c r="Y94" s="358"/>
      <c r="Z94" s="358"/>
      <c r="AA94" s="358"/>
      <c r="AB94" s="358"/>
      <c r="AC94" s="358"/>
      <c r="AD94" s="350"/>
    </row>
    <row r="95" spans="1:31" x14ac:dyDescent="0.2">
      <c r="A95" s="320">
        <f>IFERROR(VLOOKUP(B95,mapping_one_neo!A:B,2,FALSE),"")</f>
        <v>0</v>
      </c>
      <c r="B95" s="387" t="s">
        <v>68</v>
      </c>
      <c r="J95" s="335">
        <v>0</v>
      </c>
      <c r="M95" s="335">
        <v>0</v>
      </c>
      <c r="S95" s="349"/>
      <c r="T95" s="346"/>
      <c r="U95" s="351"/>
      <c r="V95" s="351"/>
      <c r="W95" s="351"/>
      <c r="X95" s="351"/>
      <c r="Y95" s="358"/>
      <c r="Z95" s="358"/>
      <c r="AA95" s="358"/>
      <c r="AB95" s="358"/>
      <c r="AC95" s="358"/>
      <c r="AD95" s="350"/>
    </row>
    <row r="96" spans="1:31" s="352" customFormat="1" x14ac:dyDescent="0.2">
      <c r="A96" s="320" t="str">
        <f>IFERROR(VLOOKUP(B96,mapping_one_neo!A:B,2,FALSE),"")</f>
        <v>Research costs</v>
      </c>
      <c r="B96" s="388" t="s">
        <v>753</v>
      </c>
      <c r="C96" s="353" t="s">
        <v>154</v>
      </c>
      <c r="E96" s="356">
        <v>-236.99979333333306</v>
      </c>
      <c r="G96" s="419">
        <v>-17.916666666666668</v>
      </c>
      <c r="H96" s="419">
        <v>-18.916780000000003</v>
      </c>
      <c r="I96" s="419">
        <v>-19.405189999999997</v>
      </c>
      <c r="J96" s="419">
        <v>-20.084492592592561</v>
      </c>
      <c r="K96" s="419">
        <v>-20.084492592592554</v>
      </c>
      <c r="L96" s="419">
        <v>-16.85770481481488</v>
      </c>
      <c r="M96" s="419">
        <v>-23.311487037036901</v>
      </c>
      <c r="N96" s="419">
        <v>-20.084595925925889</v>
      </c>
      <c r="O96" s="419">
        <v>-20.084595925925889</v>
      </c>
      <c r="P96" s="419">
        <v>-20.084595925925889</v>
      </c>
      <c r="Q96" s="419">
        <v>-20.084595925925889</v>
      </c>
      <c r="R96" s="419">
        <v>-20.084595925925889</v>
      </c>
      <c r="S96" s="345"/>
      <c r="T96" s="361"/>
      <c r="U96" s="397">
        <v>-16.602689999999999</v>
      </c>
      <c r="V96" s="362"/>
      <c r="W96" s="362"/>
      <c r="X96" s="351">
        <v>-29.230643333333337</v>
      </c>
      <c r="Y96" s="363">
        <v>-45.833333333333336</v>
      </c>
      <c r="Z96" s="363"/>
      <c r="AA96" s="363"/>
      <c r="AB96" s="363"/>
      <c r="AC96" s="363">
        <v>-45.833333333333336</v>
      </c>
      <c r="AD96" s="355"/>
      <c r="AE96" s="334"/>
    </row>
    <row r="97" spans="1:31" s="352" customFormat="1" x14ac:dyDescent="0.2">
      <c r="A97" s="320" t="str">
        <f>IFERROR(VLOOKUP(B97,mapping_one_neo!A:B,2,FALSE),"")</f>
        <v>Other commercial costs</v>
      </c>
      <c r="B97" s="388" t="s">
        <v>754</v>
      </c>
      <c r="C97" s="353">
        <v>607178</v>
      </c>
      <c r="E97" s="356">
        <v>-57</v>
      </c>
      <c r="G97" s="419">
        <v>-4.75</v>
      </c>
      <c r="H97" s="419">
        <v>-4.75</v>
      </c>
      <c r="I97" s="419">
        <v>-4.75</v>
      </c>
      <c r="J97" s="419">
        <v>-4.75</v>
      </c>
      <c r="K97" s="419">
        <v>-4.75</v>
      </c>
      <c r="L97" s="419">
        <v>-4.0189999999999984</v>
      </c>
      <c r="M97" s="419">
        <v>-4.75</v>
      </c>
      <c r="N97" s="419">
        <v>-4.75</v>
      </c>
      <c r="O97" s="419">
        <v>-4.75</v>
      </c>
      <c r="P97" s="419">
        <v>-4.75</v>
      </c>
      <c r="Q97" s="419">
        <v>-4.75</v>
      </c>
      <c r="R97" s="419">
        <v>-5.4809999999999999</v>
      </c>
      <c r="S97" s="345" t="s">
        <v>134</v>
      </c>
      <c r="T97" s="361"/>
      <c r="U97" s="397">
        <v>-10.334</v>
      </c>
      <c r="V97" s="362"/>
      <c r="W97" s="362"/>
      <c r="X97" s="362"/>
      <c r="Y97" s="363">
        <v>-10.334</v>
      </c>
      <c r="Z97" s="363"/>
      <c r="AA97" s="363"/>
      <c r="AB97" s="363"/>
      <c r="AC97" s="363">
        <v>-10.334</v>
      </c>
      <c r="AD97" s="355"/>
      <c r="AE97" s="334"/>
    </row>
    <row r="98" spans="1:31" s="387" customFormat="1" x14ac:dyDescent="0.2">
      <c r="A98" s="320">
        <f>IFERROR(VLOOKUP(B98,mapping_one_neo!A:B,2,FALSE),"")</f>
        <v>0</v>
      </c>
      <c r="B98" s="387" t="s">
        <v>69</v>
      </c>
      <c r="C98" s="392"/>
      <c r="E98" s="393">
        <v>-293.99979333333306</v>
      </c>
      <c r="G98" s="393">
        <v>-22.666666666666668</v>
      </c>
      <c r="H98" s="393">
        <v>-23.666780000000003</v>
      </c>
      <c r="I98" s="393">
        <v>-24.155189999999997</v>
      </c>
      <c r="J98" s="393">
        <v>-24.834492592592561</v>
      </c>
      <c r="K98" s="393">
        <v>-24.834492592592554</v>
      </c>
      <c r="L98" s="393">
        <v>-20.876704814814879</v>
      </c>
      <c r="M98" s="393">
        <v>-28.061487037036901</v>
      </c>
      <c r="N98" s="393">
        <v>-24.834595925925889</v>
      </c>
      <c r="O98" s="393">
        <v>-24.834595925925889</v>
      </c>
      <c r="P98" s="393">
        <v>-24.834595925925889</v>
      </c>
      <c r="Q98" s="393">
        <v>-24.834595925925889</v>
      </c>
      <c r="R98" s="393">
        <v>-25.565595925925891</v>
      </c>
      <c r="S98" s="349"/>
      <c r="T98" s="346"/>
      <c r="U98" s="393">
        <f>SUM(U96:U97)</f>
        <v>-26.936689999999999</v>
      </c>
      <c r="V98" s="393">
        <f t="shared" ref="V98:AC98" si="4">SUM(V96:V97)</f>
        <v>0</v>
      </c>
      <c r="W98" s="393">
        <f t="shared" si="4"/>
        <v>0</v>
      </c>
      <c r="X98" s="393">
        <f t="shared" si="4"/>
        <v>-29.230643333333337</v>
      </c>
      <c r="Y98" s="393">
        <f t="shared" si="4"/>
        <v>-56.167333333333332</v>
      </c>
      <c r="Z98" s="393">
        <f t="shared" si="4"/>
        <v>0</v>
      </c>
      <c r="AA98" s="393">
        <f t="shared" si="4"/>
        <v>0</v>
      </c>
      <c r="AB98" s="393">
        <f t="shared" si="4"/>
        <v>0</v>
      </c>
      <c r="AC98" s="393">
        <f t="shared" si="4"/>
        <v>-56.167333333333332</v>
      </c>
      <c r="AD98" s="394"/>
      <c r="AE98" s="334"/>
    </row>
    <row r="99" spans="1:31" x14ac:dyDescent="0.2">
      <c r="A99" s="320" t="str">
        <f>IFERROR(VLOOKUP(B99,mapping_one_neo!A:B,2,FALSE),"")</f>
        <v/>
      </c>
      <c r="G99" s="336"/>
      <c r="H99" s="336"/>
      <c r="I99" s="336"/>
      <c r="J99" s="336">
        <v>0</v>
      </c>
      <c r="K99" s="336"/>
      <c r="L99" s="336"/>
      <c r="M99" s="336">
        <v>0</v>
      </c>
      <c r="N99" s="336"/>
      <c r="O99" s="336"/>
      <c r="P99" s="336"/>
      <c r="Q99" s="336"/>
      <c r="R99" s="336"/>
      <c r="S99" s="349"/>
      <c r="T99" s="346"/>
      <c r="U99" s="351"/>
      <c r="V99" s="351"/>
      <c r="W99" s="351"/>
      <c r="X99" s="351"/>
      <c r="Y99" s="358"/>
      <c r="Z99" s="358"/>
      <c r="AA99" s="358"/>
      <c r="AB99" s="358"/>
      <c r="AC99" s="358"/>
      <c r="AD99" s="350"/>
    </row>
    <row r="100" spans="1:31" x14ac:dyDescent="0.2">
      <c r="A100" s="320">
        <f>IFERROR(VLOOKUP(B100,mapping_one_neo!A:B,2,FALSE),"")</f>
        <v>0</v>
      </c>
      <c r="B100" s="334" t="s">
        <v>70</v>
      </c>
      <c r="G100" s="336"/>
      <c r="H100" s="336"/>
      <c r="I100" s="336"/>
      <c r="J100" s="336"/>
      <c r="K100" s="336"/>
      <c r="L100" s="336"/>
      <c r="M100" s="336"/>
      <c r="N100" s="336"/>
      <c r="O100" s="336"/>
      <c r="P100" s="336"/>
      <c r="Q100" s="336"/>
      <c r="R100" s="336"/>
      <c r="S100" s="349"/>
      <c r="T100" s="346"/>
      <c r="U100" s="351"/>
      <c r="V100" s="351"/>
      <c r="W100" s="351"/>
      <c r="X100" s="351"/>
      <c r="Y100" s="358"/>
      <c r="Z100" s="358"/>
      <c r="AA100" s="358"/>
      <c r="AB100" s="358"/>
      <c r="AC100" s="363">
        <v>0</v>
      </c>
      <c r="AD100" s="350"/>
    </row>
    <row r="101" spans="1:31" x14ac:dyDescent="0.2">
      <c r="A101" s="320" t="str">
        <f>IFERROR(VLOOKUP(B101,mapping_one_neo!A:B,2,FALSE),"")</f>
        <v/>
      </c>
      <c r="G101" s="336"/>
      <c r="H101" s="336"/>
      <c r="I101" s="336"/>
      <c r="J101" s="336"/>
      <c r="K101" s="336"/>
      <c r="L101" s="336"/>
      <c r="M101" s="336"/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8"/>
      <c r="AD101" s="350"/>
    </row>
    <row r="102" spans="1:31" x14ac:dyDescent="0.2">
      <c r="A102" s="320">
        <f>IFERROR(VLOOKUP(B102,mapping_one_neo!A:B,2,FALSE),"")</f>
        <v>0</v>
      </c>
      <c r="B102" s="352" t="s">
        <v>71</v>
      </c>
      <c r="C102" s="353"/>
      <c r="E102" s="354">
        <v>-333.60977333333301</v>
      </c>
      <c r="G102" s="354">
        <v>-24.505226666666669</v>
      </c>
      <c r="H102" s="354">
        <v>-25.309840000000001</v>
      </c>
      <c r="I102" s="354">
        <v>-27.993859999999998</v>
      </c>
      <c r="J102" s="354">
        <v>-26.810882592592559</v>
      </c>
      <c r="K102" s="354">
        <v>-26.293072592592555</v>
      </c>
      <c r="L102" s="354">
        <v>-24.994934814814879</v>
      </c>
      <c r="M102" s="354">
        <v>-34.59171995370356</v>
      </c>
      <c r="N102" s="354">
        <v>-28.329202592592555</v>
      </c>
      <c r="O102" s="354">
        <v>-27.637508530092557</v>
      </c>
      <c r="P102" s="354">
        <v>-27.637508530092557</v>
      </c>
      <c r="Q102" s="354">
        <v>-27.637508530092557</v>
      </c>
      <c r="R102" s="354">
        <v>-31.868508530092559</v>
      </c>
      <c r="S102" s="349"/>
      <c r="T102" s="346"/>
      <c r="U102" s="354">
        <f>U93+U98</f>
        <v>-27.474609999999998</v>
      </c>
      <c r="V102" s="354">
        <f t="shared" ref="V102:AC102" si="5">V93+V98</f>
        <v>0</v>
      </c>
      <c r="W102" s="354">
        <f t="shared" si="5"/>
        <v>0</v>
      </c>
      <c r="X102" s="354">
        <f t="shared" si="5"/>
        <v>-29.230643333333337</v>
      </c>
      <c r="Y102" s="354">
        <f t="shared" si="5"/>
        <v>-56.705253333333332</v>
      </c>
      <c r="Z102" s="354">
        <f t="shared" si="5"/>
        <v>0</v>
      </c>
      <c r="AA102" s="354">
        <f t="shared" si="5"/>
        <v>0</v>
      </c>
      <c r="AB102" s="354">
        <f t="shared" si="5"/>
        <v>0</v>
      </c>
      <c r="AC102" s="354">
        <f t="shared" si="5"/>
        <v>-56.705253333333332</v>
      </c>
      <c r="AD102" s="350"/>
    </row>
    <row r="103" spans="1:31" x14ac:dyDescent="0.2">
      <c r="A103" s="320" t="str">
        <f>IFERROR(VLOOKUP(B103,mapping_one_neo!A:B,2,FALSE),"")</f>
        <v/>
      </c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8"/>
      <c r="AD103" s="350"/>
    </row>
    <row r="104" spans="1:31" x14ac:dyDescent="0.2">
      <c r="A104" s="320">
        <f>IFERROR(VLOOKUP(B104,mapping_one_neo!A:B,2,FALSE),"")</f>
        <v>0</v>
      </c>
      <c r="B104" s="352" t="s">
        <v>72</v>
      </c>
      <c r="S104" s="349"/>
      <c r="T104" s="346"/>
      <c r="U104" s="351"/>
      <c r="V104" s="351"/>
      <c r="W104" s="351"/>
      <c r="X104" s="351"/>
      <c r="Y104" s="358"/>
      <c r="Z104" s="358"/>
      <c r="AA104" s="358"/>
      <c r="AB104" s="358"/>
      <c r="AC104" s="358"/>
      <c r="AD104" s="350"/>
    </row>
    <row r="105" spans="1:31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8"/>
      <c r="AD105" s="350"/>
    </row>
    <row r="106" spans="1:31" x14ac:dyDescent="0.2">
      <c r="A106" s="320">
        <f>IFERROR(VLOOKUP(B106,mapping_one_neo!A:B,2,FALSE),"")</f>
        <v>0</v>
      </c>
      <c r="B106" s="387" t="s">
        <v>73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8"/>
      <c r="AD106" s="350"/>
    </row>
    <row r="107" spans="1:31" s="352" customFormat="1" x14ac:dyDescent="0.2">
      <c r="A107" s="320" t="str">
        <f>IFERROR(VLOOKUP(B107,mapping_one_neo!A:B,2,FALSE),"")</f>
        <v>Stationery/art &amp; materials AU=0.INP</v>
      </c>
      <c r="B107" s="388" t="s">
        <v>74</v>
      </c>
      <c r="C107" s="342" t="s">
        <v>791</v>
      </c>
      <c r="E107" s="356">
        <v>-2.4363999999999999</v>
      </c>
      <c r="G107" s="419">
        <v>-5.7919999999999999E-2</v>
      </c>
      <c r="H107" s="419">
        <v>-7.1679999999999994E-2</v>
      </c>
      <c r="I107" s="419">
        <v>-6.5049999999999997E-2</v>
      </c>
      <c r="J107" s="419">
        <v>-0.6</v>
      </c>
      <c r="K107" s="419">
        <v>-5.8430000000000093E-2</v>
      </c>
      <c r="L107" s="419">
        <v>-8.3319999999999839E-2</v>
      </c>
      <c r="M107" s="419">
        <v>-0.5</v>
      </c>
      <c r="N107" s="419">
        <v>0</v>
      </c>
      <c r="O107" s="419">
        <v>-0.5</v>
      </c>
      <c r="P107" s="419">
        <v>0</v>
      </c>
      <c r="Q107" s="419">
        <v>0</v>
      </c>
      <c r="R107" s="419">
        <v>-0.5</v>
      </c>
      <c r="S107" s="345"/>
      <c r="T107" s="361"/>
      <c r="U107" s="351">
        <v>-1.2399999999999967E-2</v>
      </c>
      <c r="V107" s="351"/>
      <c r="W107" s="351"/>
      <c r="X107" s="351">
        <v>0</v>
      </c>
      <c r="Y107" s="363">
        <v>-1.2399999999999967E-2</v>
      </c>
      <c r="Z107" s="363"/>
      <c r="AA107" s="363"/>
      <c r="AB107" s="363"/>
      <c r="AC107" s="363">
        <v>-1.2399999999999967E-2</v>
      </c>
      <c r="AD107" s="355"/>
      <c r="AE107" s="334"/>
    </row>
    <row r="108" spans="1:31" s="352" customFormat="1" x14ac:dyDescent="0.2">
      <c r="A108" s="320" t="str">
        <f>IFERROR(VLOOKUP(B108,mapping_one_neo!A:B,2,FALSE),"")</f>
        <v>Stationery/art &amp; materials AU=0.INP</v>
      </c>
      <c r="B108" s="388" t="s">
        <v>75</v>
      </c>
      <c r="C108" s="342" t="s">
        <v>155</v>
      </c>
      <c r="E108" s="356">
        <v>-1.5</v>
      </c>
      <c r="G108" s="419">
        <v>-0.125</v>
      </c>
      <c r="H108" s="419">
        <v>-0.125</v>
      </c>
      <c r="I108" s="419">
        <v>-0.125</v>
      </c>
      <c r="J108" s="419">
        <v>-0.125</v>
      </c>
      <c r="K108" s="419">
        <v>-0.125</v>
      </c>
      <c r="L108" s="419">
        <v>-0.125</v>
      </c>
      <c r="M108" s="419">
        <v>-0.125</v>
      </c>
      <c r="N108" s="419">
        <v>-0.125</v>
      </c>
      <c r="O108" s="419">
        <v>-0.125</v>
      </c>
      <c r="P108" s="419">
        <v>-0.125</v>
      </c>
      <c r="Q108" s="419">
        <v>-0.125</v>
      </c>
      <c r="R108" s="419">
        <v>-0.125</v>
      </c>
      <c r="S108" s="389" t="s">
        <v>134</v>
      </c>
      <c r="T108" s="361"/>
      <c r="U108" s="351">
        <v>-0.33400000000000002</v>
      </c>
      <c r="V108" s="351"/>
      <c r="W108" s="351"/>
      <c r="X108" s="351"/>
      <c r="Y108" s="363">
        <v>-0.33400000000000002</v>
      </c>
      <c r="Z108" s="363"/>
      <c r="AA108" s="363"/>
      <c r="AB108" s="363"/>
      <c r="AC108" s="363">
        <v>-0.33400000000000002</v>
      </c>
      <c r="AD108" s="355"/>
      <c r="AE108" s="334"/>
    </row>
    <row r="109" spans="1:31" s="352" customFormat="1" x14ac:dyDescent="0.2">
      <c r="A109" s="320" t="str">
        <f>IFERROR(VLOOKUP(B109,mapping_one_neo!A:B,2,FALSE),"")</f>
        <v>Stationery/art &amp; materials AU=0.INP</v>
      </c>
      <c r="B109" s="388" t="s">
        <v>76</v>
      </c>
      <c r="C109" s="342" t="s">
        <v>156</v>
      </c>
      <c r="E109" s="356">
        <v>-1.0475000000000001</v>
      </c>
      <c r="G109" s="419">
        <v>0</v>
      </c>
      <c r="H109" s="419">
        <v>0</v>
      </c>
      <c r="I109" s="419">
        <v>0</v>
      </c>
      <c r="J109" s="419">
        <v>0</v>
      </c>
      <c r="K109" s="419">
        <v>0</v>
      </c>
      <c r="L109" s="419">
        <v>-4.7500000000000001E-2</v>
      </c>
      <c r="M109" s="419">
        <v>-1</v>
      </c>
      <c r="N109" s="419">
        <v>0</v>
      </c>
      <c r="O109" s="419">
        <v>0</v>
      </c>
      <c r="P109" s="419">
        <v>0</v>
      </c>
      <c r="Q109" s="419">
        <v>0</v>
      </c>
      <c r="R109" s="419">
        <v>0</v>
      </c>
      <c r="S109" s="345"/>
      <c r="T109" s="361"/>
      <c r="U109" s="351">
        <v>0</v>
      </c>
      <c r="V109" s="351"/>
      <c r="W109" s="351"/>
      <c r="X109" s="351"/>
      <c r="Y109" s="363">
        <v>0</v>
      </c>
      <c r="Z109" s="363"/>
      <c r="AA109" s="363"/>
      <c r="AB109" s="363"/>
      <c r="AC109" s="363">
        <v>0</v>
      </c>
      <c r="AD109" s="355"/>
      <c r="AE109" s="334"/>
    </row>
    <row r="110" spans="1:31" s="387" customFormat="1" x14ac:dyDescent="0.2">
      <c r="A110" s="320">
        <f>IFERROR(VLOOKUP(B110,mapping_one_neo!A:B,2,FALSE),"")</f>
        <v>0</v>
      </c>
      <c r="B110" s="387" t="s">
        <v>77</v>
      </c>
      <c r="C110" s="392"/>
      <c r="E110" s="393">
        <v>-4.9839000000000002</v>
      </c>
      <c r="G110" s="393">
        <v>-0.18292</v>
      </c>
      <c r="H110" s="393">
        <v>-0.19667999999999999</v>
      </c>
      <c r="I110" s="393">
        <v>-0.19005</v>
      </c>
      <c r="J110" s="393">
        <v>-0.72499999999999998</v>
      </c>
      <c r="K110" s="393">
        <v>-0.18343000000000009</v>
      </c>
      <c r="L110" s="393">
        <v>-0.25581999999999983</v>
      </c>
      <c r="M110" s="393">
        <v>-1.625</v>
      </c>
      <c r="N110" s="393">
        <v>-0.125</v>
      </c>
      <c r="O110" s="393">
        <v>-0.625</v>
      </c>
      <c r="P110" s="393">
        <v>-0.125</v>
      </c>
      <c r="Q110" s="393">
        <v>-0.125</v>
      </c>
      <c r="R110" s="393">
        <v>-0.625</v>
      </c>
      <c r="S110" s="349"/>
      <c r="T110" s="346"/>
      <c r="U110" s="393">
        <f>SUM(U107:U109)</f>
        <v>-0.34639999999999999</v>
      </c>
      <c r="V110" s="393">
        <f t="shared" ref="V110:AC110" si="6">SUM(V107:V109)</f>
        <v>0</v>
      </c>
      <c r="W110" s="393">
        <f t="shared" si="6"/>
        <v>0</v>
      </c>
      <c r="X110" s="393">
        <f t="shared" si="6"/>
        <v>0</v>
      </c>
      <c r="Y110" s="393">
        <f t="shared" si="6"/>
        <v>-0.34639999999999999</v>
      </c>
      <c r="Z110" s="393">
        <f t="shared" si="6"/>
        <v>0</v>
      </c>
      <c r="AA110" s="393">
        <f t="shared" si="6"/>
        <v>0</v>
      </c>
      <c r="AB110" s="393">
        <f t="shared" si="6"/>
        <v>0</v>
      </c>
      <c r="AC110" s="393">
        <f t="shared" si="6"/>
        <v>-0.34639999999999999</v>
      </c>
      <c r="AD110" s="394"/>
      <c r="AE110" s="334"/>
    </row>
    <row r="111" spans="1:31" s="387" customFormat="1" x14ac:dyDescent="0.2">
      <c r="A111" s="320" t="str">
        <f>IFERROR(VLOOKUP(B111,mapping_one_neo!A:B,2,FALSE),"")</f>
        <v/>
      </c>
      <c r="C111" s="392"/>
      <c r="E111" s="397"/>
      <c r="G111" s="397"/>
      <c r="H111" s="397"/>
      <c r="I111" s="397"/>
      <c r="J111" s="397"/>
      <c r="K111" s="397"/>
      <c r="L111" s="397"/>
      <c r="M111" s="397"/>
      <c r="N111" s="397"/>
      <c r="O111" s="397"/>
      <c r="P111" s="397"/>
      <c r="Q111" s="397"/>
      <c r="R111" s="397"/>
      <c r="S111" s="349"/>
      <c r="T111" s="346"/>
      <c r="U111" s="397"/>
      <c r="V111" s="397"/>
      <c r="W111" s="397"/>
      <c r="X111" s="397"/>
      <c r="Y111" s="399"/>
      <c r="Z111" s="399"/>
      <c r="AA111" s="399"/>
      <c r="AB111" s="399"/>
      <c r="AC111" s="399"/>
      <c r="AD111" s="394"/>
      <c r="AE111" s="334"/>
    </row>
    <row r="112" spans="1:31" x14ac:dyDescent="0.2">
      <c r="A112" s="320">
        <f>IFERROR(VLOOKUP(B112,mapping_one_neo!A:B,2,FALSE),"")</f>
        <v>0</v>
      </c>
      <c r="B112" s="387" t="s">
        <v>78</v>
      </c>
      <c r="G112" s="398"/>
      <c r="H112" s="398"/>
      <c r="I112" s="398"/>
      <c r="J112" s="398"/>
      <c r="K112" s="398"/>
      <c r="L112" s="398"/>
      <c r="M112" s="398"/>
      <c r="N112" s="398"/>
      <c r="O112" s="398"/>
      <c r="P112" s="398"/>
      <c r="Q112" s="398"/>
      <c r="R112" s="398"/>
      <c r="S112" s="349"/>
      <c r="T112" s="346"/>
      <c r="U112" s="351"/>
      <c r="V112" s="351"/>
      <c r="W112" s="351"/>
      <c r="X112" s="351"/>
      <c r="Y112" s="358"/>
      <c r="Z112" s="358"/>
      <c r="AA112" s="358"/>
      <c r="AB112" s="358"/>
      <c r="AC112" s="358"/>
      <c r="AD112" s="350"/>
    </row>
    <row r="113" spans="1:31" s="352" customFormat="1" x14ac:dyDescent="0.2">
      <c r="A113" s="320" t="str">
        <f>IFERROR(VLOOKUP(B113,mapping_one_neo!A:B,2,FALSE),"")</f>
        <v>Postage &amp; courier</v>
      </c>
      <c r="B113" s="388" t="s">
        <v>79</v>
      </c>
      <c r="C113" s="353">
        <v>624210</v>
      </c>
      <c r="E113" s="356">
        <v>-0.78059999999999996</v>
      </c>
      <c r="G113" s="419">
        <v>0</v>
      </c>
      <c r="H113" s="419">
        <v>-2.58E-2</v>
      </c>
      <c r="I113" s="419">
        <v>0</v>
      </c>
      <c r="J113" s="419">
        <v>0</v>
      </c>
      <c r="K113" s="419">
        <v>-0.15480000000000002</v>
      </c>
      <c r="L113" s="419">
        <v>0</v>
      </c>
      <c r="M113" s="419">
        <v>-0.2</v>
      </c>
      <c r="N113" s="419">
        <v>0</v>
      </c>
      <c r="O113" s="419">
        <v>-0.2</v>
      </c>
      <c r="P113" s="419">
        <v>0</v>
      </c>
      <c r="Q113" s="419">
        <v>0</v>
      </c>
      <c r="R113" s="419">
        <v>-0.2</v>
      </c>
      <c r="S113" s="345"/>
      <c r="T113" s="361"/>
      <c r="U113" s="351">
        <v>-2.9059999999999999E-2</v>
      </c>
      <c r="V113" s="351"/>
      <c r="W113" s="351"/>
      <c r="X113" s="351">
        <v>0</v>
      </c>
      <c r="Y113" s="363">
        <v>-2.9059999999999999E-2</v>
      </c>
      <c r="Z113" s="363"/>
      <c r="AA113" s="363"/>
      <c r="AB113" s="363"/>
      <c r="AC113" s="363">
        <v>-2.9059999999999999E-2</v>
      </c>
      <c r="AD113" s="355"/>
      <c r="AE113" s="334"/>
    </row>
    <row r="114" spans="1:31" s="352" customFormat="1" x14ac:dyDescent="0.2">
      <c r="A114" s="320" t="str">
        <f>IFERROR(VLOOKUP(B114,mapping_one_neo!A:B,2,FALSE),"")</f>
        <v>Postage &amp; courier</v>
      </c>
      <c r="B114" s="388" t="s">
        <v>80</v>
      </c>
      <c r="C114" s="353">
        <v>626000</v>
      </c>
      <c r="E114" s="356">
        <v>-1.748021999999998</v>
      </c>
      <c r="G114" s="419">
        <v>-8.0930000000000002E-2</v>
      </c>
      <c r="H114" s="419">
        <v>-0.25918000000000002</v>
      </c>
      <c r="I114" s="419">
        <v>-0.13499999999999995</v>
      </c>
      <c r="J114" s="419">
        <v>-0.16423000000000004</v>
      </c>
      <c r="K114" s="419">
        <v>-6.9999999999999951E-2</v>
      </c>
      <c r="L114" s="419">
        <v>-9.4189999999999996E-2</v>
      </c>
      <c r="M114" s="419">
        <v>-0.15741533333333299</v>
      </c>
      <c r="N114" s="419">
        <v>-0.15741533333333299</v>
      </c>
      <c r="O114" s="419">
        <v>-0.15741533333333299</v>
      </c>
      <c r="P114" s="419">
        <v>-0.15741533333333299</v>
      </c>
      <c r="Q114" s="419">
        <v>-0.15741533333333299</v>
      </c>
      <c r="R114" s="419">
        <v>-0.15741533333333299</v>
      </c>
      <c r="S114" s="345"/>
      <c r="T114" s="361"/>
      <c r="U114" s="351">
        <v>-0.26179000000000002</v>
      </c>
      <c r="V114" s="351"/>
      <c r="W114" s="351"/>
      <c r="X114" s="351"/>
      <c r="Y114" s="363">
        <v>-0.26179000000000002</v>
      </c>
      <c r="Z114" s="363"/>
      <c r="AA114" s="363"/>
      <c r="AB114" s="363"/>
      <c r="AC114" s="363">
        <v>-0.26179000000000002</v>
      </c>
      <c r="AD114" s="355"/>
      <c r="AE114" s="334"/>
    </row>
    <row r="115" spans="1:31" s="387" customFormat="1" x14ac:dyDescent="0.2">
      <c r="A115" s="320">
        <f>IFERROR(VLOOKUP(B115,mapping_one_neo!A:B,2,FALSE),"")</f>
        <v>0</v>
      </c>
      <c r="B115" s="387" t="s">
        <v>81</v>
      </c>
      <c r="C115" s="392"/>
      <c r="E115" s="393">
        <v>-2.5286219999999977</v>
      </c>
      <c r="G115" s="393">
        <v>-8.0930000000000002E-2</v>
      </c>
      <c r="H115" s="393">
        <v>-0.28498000000000001</v>
      </c>
      <c r="I115" s="393">
        <v>-0.13499999999999995</v>
      </c>
      <c r="J115" s="393">
        <v>-0.16423000000000004</v>
      </c>
      <c r="K115" s="393">
        <v>-0.22479999999999997</v>
      </c>
      <c r="L115" s="393">
        <v>-9.4189999999999996E-2</v>
      </c>
      <c r="M115" s="393">
        <v>-0.35741533333333297</v>
      </c>
      <c r="N115" s="393">
        <v>-0.15741533333333299</v>
      </c>
      <c r="O115" s="393">
        <v>-0.35741533333333297</v>
      </c>
      <c r="P115" s="393">
        <v>-0.15741533333333299</v>
      </c>
      <c r="Q115" s="393">
        <v>-0.15741533333333299</v>
      </c>
      <c r="R115" s="393">
        <v>-0.35741533333333297</v>
      </c>
      <c r="S115" s="345"/>
      <c r="T115" s="346"/>
      <c r="U115" s="424">
        <f>SUM(U114)</f>
        <v>-0.26179000000000002</v>
      </c>
      <c r="V115" s="424">
        <f t="shared" ref="V115:AC115" si="7">SUM(V114)</f>
        <v>0</v>
      </c>
      <c r="W115" s="424">
        <f t="shared" si="7"/>
        <v>0</v>
      </c>
      <c r="X115" s="424">
        <f t="shared" si="7"/>
        <v>0</v>
      </c>
      <c r="Y115" s="424">
        <f t="shared" si="7"/>
        <v>-0.26179000000000002</v>
      </c>
      <c r="Z115" s="424">
        <f t="shared" si="7"/>
        <v>0</v>
      </c>
      <c r="AA115" s="424">
        <f t="shared" si="7"/>
        <v>0</v>
      </c>
      <c r="AB115" s="424">
        <f t="shared" si="7"/>
        <v>0</v>
      </c>
      <c r="AC115" s="424">
        <f t="shared" si="7"/>
        <v>-0.26179000000000002</v>
      </c>
      <c r="AD115" s="394"/>
      <c r="AE115" s="334"/>
    </row>
    <row r="116" spans="1:31" s="387" customFormat="1" x14ac:dyDescent="0.2">
      <c r="A116" s="320" t="str">
        <f>IFERROR(VLOOKUP(B116,mapping_one_neo!A:B,2,FALSE),"")</f>
        <v/>
      </c>
      <c r="C116" s="392"/>
      <c r="E116" s="397"/>
      <c r="G116" s="397"/>
      <c r="H116" s="397"/>
      <c r="I116" s="397"/>
      <c r="J116" s="397"/>
      <c r="K116" s="397"/>
      <c r="L116" s="397"/>
      <c r="M116" s="397"/>
      <c r="N116" s="397"/>
      <c r="O116" s="397"/>
      <c r="P116" s="397"/>
      <c r="Q116" s="397"/>
      <c r="R116" s="397"/>
      <c r="S116" s="349"/>
      <c r="T116" s="346"/>
      <c r="U116" s="397"/>
      <c r="V116" s="397"/>
      <c r="W116" s="397"/>
      <c r="X116" s="397"/>
      <c r="Y116" s="399"/>
      <c r="Z116" s="399"/>
      <c r="AA116" s="399"/>
      <c r="AB116" s="399"/>
      <c r="AC116" s="399"/>
      <c r="AD116" s="394"/>
      <c r="AE116" s="334"/>
    </row>
    <row r="117" spans="1:31" s="387" customFormat="1" x14ac:dyDescent="0.2">
      <c r="A117" s="320" t="str">
        <f>IFERROR(VLOOKUP(B117,mapping_one_neo!A:B,2,FALSE),"")</f>
        <v/>
      </c>
      <c r="B117" s="387" t="s">
        <v>777</v>
      </c>
      <c r="C117" s="392"/>
      <c r="E117" s="397"/>
      <c r="G117" s="397"/>
      <c r="H117" s="397"/>
      <c r="I117" s="397"/>
      <c r="J117" s="397"/>
      <c r="K117" s="397"/>
      <c r="L117" s="397"/>
      <c r="M117" s="397"/>
      <c r="N117" s="397"/>
      <c r="O117" s="397"/>
      <c r="P117" s="397"/>
      <c r="Q117" s="397"/>
      <c r="R117" s="397"/>
      <c r="S117" s="349"/>
      <c r="T117" s="346"/>
      <c r="U117" s="397"/>
      <c r="V117" s="397"/>
      <c r="W117" s="397"/>
      <c r="X117" s="397"/>
      <c r="Y117" s="399"/>
      <c r="Z117" s="399"/>
      <c r="AA117" s="399"/>
      <c r="AB117" s="399"/>
      <c r="AC117" s="399"/>
      <c r="AD117" s="394"/>
      <c r="AE117" s="334"/>
    </row>
    <row r="118" spans="1:31" s="387" customFormat="1" x14ac:dyDescent="0.2">
      <c r="A118" s="320" t="str">
        <f>IFERROR(VLOOKUP(B118,mapping_one_neo!A:B,2,FALSE),"")</f>
        <v>Other office costs AU=0.INP</v>
      </c>
      <c r="B118" s="352" t="s">
        <v>767</v>
      </c>
      <c r="C118" s="353">
        <v>615600</v>
      </c>
      <c r="E118" s="356">
        <v>-1.98</v>
      </c>
      <c r="G118" s="397"/>
      <c r="H118" s="397"/>
      <c r="I118" s="397"/>
      <c r="J118" s="397"/>
      <c r="K118" s="397">
        <v>-1.98</v>
      </c>
      <c r="L118" s="397"/>
      <c r="M118" s="397"/>
      <c r="N118" s="397"/>
      <c r="O118" s="397"/>
      <c r="P118" s="397"/>
      <c r="Q118" s="397"/>
      <c r="R118" s="397"/>
      <c r="S118" s="349"/>
      <c r="T118" s="346"/>
      <c r="U118" s="351">
        <v>-1.173</v>
      </c>
      <c r="V118" s="397"/>
      <c r="W118" s="397"/>
      <c r="X118" s="397"/>
      <c r="Y118" s="363">
        <v>-1.173</v>
      </c>
      <c r="Z118" s="399"/>
      <c r="AA118" s="399"/>
      <c r="AB118" s="399"/>
      <c r="AC118" s="363">
        <v>-1.173</v>
      </c>
      <c r="AD118" s="394"/>
      <c r="AE118" s="334"/>
    </row>
    <row r="119" spans="1:31" s="387" customFormat="1" x14ac:dyDescent="0.2">
      <c r="A119" s="320" t="str">
        <f>IFERROR(VLOOKUP(B119,mapping_one_neo!A:B,2,FALSE),"")</f>
        <v>Other office costs AU=0.INP</v>
      </c>
      <c r="B119" s="352" t="s">
        <v>778</v>
      </c>
      <c r="C119" s="353">
        <v>624211</v>
      </c>
      <c r="E119" s="356">
        <v>-0.98099999999999998</v>
      </c>
      <c r="G119" s="397"/>
      <c r="H119" s="397"/>
      <c r="I119" s="397"/>
      <c r="J119" s="397"/>
      <c r="K119" s="397">
        <v>-0.98099999999999998</v>
      </c>
      <c r="L119" s="397"/>
      <c r="M119" s="397"/>
      <c r="N119" s="397"/>
      <c r="O119" s="397"/>
      <c r="P119" s="397"/>
      <c r="Q119" s="397"/>
      <c r="R119" s="397"/>
      <c r="S119" s="349"/>
      <c r="T119" s="346"/>
      <c r="U119" s="351">
        <v>0</v>
      </c>
      <c r="V119" s="397"/>
      <c r="W119" s="397"/>
      <c r="X119" s="397"/>
      <c r="Y119" s="363">
        <v>0</v>
      </c>
      <c r="Z119" s="399"/>
      <c r="AA119" s="399"/>
      <c r="AB119" s="399"/>
      <c r="AC119" s="363">
        <v>0</v>
      </c>
      <c r="AD119" s="394"/>
      <c r="AE119" s="334"/>
    </row>
    <row r="120" spans="1:31" s="387" customFormat="1" x14ac:dyDescent="0.2">
      <c r="A120" s="320" t="str">
        <f>IFERROR(VLOOKUP(B120,mapping_one_neo!A:B,2,FALSE),"")</f>
        <v/>
      </c>
      <c r="B120" s="387" t="s">
        <v>779</v>
      </c>
      <c r="C120" s="392"/>
      <c r="E120" s="393">
        <v>-2.9609999999999999</v>
      </c>
      <c r="G120" s="393">
        <v>0</v>
      </c>
      <c r="H120" s="393">
        <v>0</v>
      </c>
      <c r="I120" s="393">
        <v>0</v>
      </c>
      <c r="J120" s="393">
        <v>0</v>
      </c>
      <c r="K120" s="393">
        <v>-2.9609999999999999</v>
      </c>
      <c r="L120" s="393">
        <v>0</v>
      </c>
      <c r="M120" s="393">
        <v>0</v>
      </c>
      <c r="N120" s="393">
        <v>0</v>
      </c>
      <c r="O120" s="393">
        <v>0</v>
      </c>
      <c r="P120" s="393">
        <v>0</v>
      </c>
      <c r="Q120" s="393">
        <v>0</v>
      </c>
      <c r="R120" s="393">
        <v>0</v>
      </c>
      <c r="S120" s="349"/>
      <c r="T120" s="346"/>
      <c r="U120" s="393">
        <f>SUM(U118:U119)</f>
        <v>-1.173</v>
      </c>
      <c r="V120" s="393">
        <f t="shared" ref="V120:AC120" si="8">SUM(V118:V119)</f>
        <v>0</v>
      </c>
      <c r="W120" s="393">
        <f t="shared" si="8"/>
        <v>0</v>
      </c>
      <c r="X120" s="393">
        <f t="shared" si="8"/>
        <v>0</v>
      </c>
      <c r="Y120" s="393">
        <f t="shared" si="8"/>
        <v>-1.173</v>
      </c>
      <c r="Z120" s="393">
        <f t="shared" si="8"/>
        <v>0</v>
      </c>
      <c r="AA120" s="393">
        <f t="shared" si="8"/>
        <v>0</v>
      </c>
      <c r="AB120" s="393">
        <f t="shared" si="8"/>
        <v>0</v>
      </c>
      <c r="AC120" s="393">
        <f t="shared" si="8"/>
        <v>-1.173</v>
      </c>
      <c r="AD120" s="394"/>
      <c r="AE120" s="334"/>
    </row>
    <row r="121" spans="1:31" s="387" customFormat="1" x14ac:dyDescent="0.2">
      <c r="A121" s="320" t="str">
        <f>IFERROR(VLOOKUP(B121,mapping_one_neo!A:B,2,FALSE),"")</f>
        <v/>
      </c>
      <c r="C121" s="392"/>
      <c r="E121" s="397"/>
      <c r="G121" s="397"/>
      <c r="H121" s="397"/>
      <c r="I121" s="397"/>
      <c r="J121" s="397"/>
      <c r="K121" s="397"/>
      <c r="L121" s="397"/>
      <c r="M121" s="397"/>
      <c r="N121" s="397"/>
      <c r="O121" s="397"/>
      <c r="P121" s="397"/>
      <c r="Q121" s="397"/>
      <c r="R121" s="397"/>
      <c r="S121" s="349"/>
      <c r="T121" s="346"/>
      <c r="U121" s="397"/>
      <c r="V121" s="397"/>
      <c r="W121" s="397"/>
      <c r="X121" s="397"/>
      <c r="Y121" s="399"/>
      <c r="Z121" s="399"/>
      <c r="AA121" s="399"/>
      <c r="AB121" s="399"/>
      <c r="AC121" s="399"/>
      <c r="AD121" s="394"/>
      <c r="AE121" s="334"/>
    </row>
    <row r="122" spans="1:31" x14ac:dyDescent="0.2">
      <c r="A122" s="320">
        <f>IFERROR(VLOOKUP(B122,mapping_one_neo!A:B,2,FALSE),"")</f>
        <v>0</v>
      </c>
      <c r="B122" s="387" t="s">
        <v>82</v>
      </c>
      <c r="J122" s="335">
        <v>0</v>
      </c>
      <c r="M122" s="335">
        <v>0</v>
      </c>
      <c r="S122" s="349"/>
      <c r="T122" s="346"/>
      <c r="U122" s="351"/>
      <c r="V122" s="351"/>
      <c r="W122" s="351"/>
      <c r="X122" s="351"/>
      <c r="Y122" s="358"/>
      <c r="Z122" s="358"/>
      <c r="AA122" s="358"/>
      <c r="AB122" s="358"/>
      <c r="AC122" s="358"/>
      <c r="AD122" s="350"/>
    </row>
    <row r="123" spans="1:31" s="352" customFormat="1" x14ac:dyDescent="0.2">
      <c r="A123" s="320" t="str">
        <f>IFERROR(VLOOKUP(B123,mapping_one_neo!A:B,2,FALSE),"")</f>
        <v>Other office costs AU=0.INP</v>
      </c>
      <c r="B123" s="388" t="s">
        <v>83</v>
      </c>
      <c r="C123" s="353">
        <v>618100</v>
      </c>
      <c r="E123" s="356">
        <v>-0.57225000000000004</v>
      </c>
      <c r="G123" s="419">
        <v>-4.9939999999999998E-2</v>
      </c>
      <c r="H123" s="419">
        <v>-4.6719999999999998E-2</v>
      </c>
      <c r="I123" s="419">
        <v>-4.9940000000000012E-2</v>
      </c>
      <c r="J123" s="419">
        <v>-4.8320000000000002E-2</v>
      </c>
      <c r="K123" s="419">
        <v>-4.9939999999999984E-2</v>
      </c>
      <c r="L123" s="419">
        <v>-2.7389999999999998E-2</v>
      </c>
      <c r="M123" s="419">
        <v>-0.05</v>
      </c>
      <c r="N123" s="419">
        <v>-0.05</v>
      </c>
      <c r="O123" s="419">
        <v>-0.05</v>
      </c>
      <c r="P123" s="419">
        <v>-0.05</v>
      </c>
      <c r="Q123" s="419">
        <v>-0.05</v>
      </c>
      <c r="R123" s="419">
        <v>-0.05</v>
      </c>
      <c r="S123" s="345"/>
      <c r="T123" s="361"/>
      <c r="U123" s="351">
        <v>-0.13614999999999999</v>
      </c>
      <c r="V123" s="351"/>
      <c r="W123" s="351"/>
      <c r="X123" s="351"/>
      <c r="Y123" s="363">
        <v>-0.13614999999999999</v>
      </c>
      <c r="Z123" s="363"/>
      <c r="AA123" s="363"/>
      <c r="AB123" s="363"/>
      <c r="AC123" s="363">
        <v>-0.13614999999999999</v>
      </c>
      <c r="AD123" s="355"/>
      <c r="AE123" s="334" t="s">
        <v>134</v>
      </c>
    </row>
    <row r="124" spans="1:31" s="352" customFormat="1" x14ac:dyDescent="0.2">
      <c r="A124" s="320" t="str">
        <f>IFERROR(VLOOKUP(B124,mapping_one_neo!A:B,2,FALSE),"")</f>
        <v>Other office costs AU=0.INP</v>
      </c>
      <c r="B124" s="388" t="s">
        <v>84</v>
      </c>
      <c r="C124" s="353">
        <v>635110</v>
      </c>
      <c r="E124" s="356">
        <v>-99.999999999999986</v>
      </c>
      <c r="G124" s="419">
        <v>-8.3333333333333339</v>
      </c>
      <c r="H124" s="419">
        <v>-8.3333333333333339</v>
      </c>
      <c r="I124" s="419">
        <v>-8.3333333333333321</v>
      </c>
      <c r="J124" s="419">
        <v>-8.3333333333333357</v>
      </c>
      <c r="K124" s="419">
        <v>-8.3333333333333357</v>
      </c>
      <c r="L124" s="419">
        <v>-8.3333333333333357</v>
      </c>
      <c r="M124" s="419">
        <v>-8.3333333333333339</v>
      </c>
      <c r="N124" s="419">
        <v>-8.3333333333333339</v>
      </c>
      <c r="O124" s="419">
        <v>-8.3333333333333339</v>
      </c>
      <c r="P124" s="419">
        <v>-8.3333333333333339</v>
      </c>
      <c r="Q124" s="419">
        <v>-8.3333333333333339</v>
      </c>
      <c r="R124" s="419">
        <v>-8.3333333333333339</v>
      </c>
      <c r="S124" s="345"/>
      <c r="T124" s="361"/>
      <c r="U124" s="351"/>
      <c r="V124" s="351">
        <v>-18.333333333333332</v>
      </c>
      <c r="W124" s="351"/>
      <c r="X124" s="351"/>
      <c r="Y124" s="363">
        <v>-18.333333333333332</v>
      </c>
      <c r="Z124" s="363"/>
      <c r="AA124" s="363"/>
      <c r="AB124" s="363"/>
      <c r="AC124" s="363">
        <v>-18.333333333333332</v>
      </c>
      <c r="AD124" s="355"/>
      <c r="AE124" s="334"/>
    </row>
    <row r="125" spans="1:31" s="352" customFormat="1" ht="14.25" customHeight="1" x14ac:dyDescent="0.2">
      <c r="A125" s="320" t="str">
        <f>IFERROR(VLOOKUP(B125,mapping_one_neo!A:B,2,FALSE),"")</f>
        <v>Other office costs AU=0.INP</v>
      </c>
      <c r="B125" s="388" t="s">
        <v>85</v>
      </c>
      <c r="C125" s="353">
        <v>635140</v>
      </c>
      <c r="E125" s="356">
        <v>-7.9999999999999991</v>
      </c>
      <c r="G125" s="419">
        <v>-0.57099999999999995</v>
      </c>
      <c r="H125" s="419">
        <v>-0.57099999999999995</v>
      </c>
      <c r="I125" s="419">
        <v>-0.57099999999999995</v>
      </c>
      <c r="J125" s="419">
        <v>-0.57099999999999995</v>
      </c>
      <c r="K125" s="419">
        <v>-0.57099999999999973</v>
      </c>
      <c r="L125" s="419">
        <v>-0.57100000000000017</v>
      </c>
      <c r="M125" s="419">
        <v>-0.57099999999999995</v>
      </c>
      <c r="N125" s="419">
        <v>-0.57099999999999995</v>
      </c>
      <c r="O125" s="419">
        <v>-0.57099999999999995</v>
      </c>
      <c r="P125" s="419">
        <v>-0.57099999999999995</v>
      </c>
      <c r="Q125" s="419">
        <v>-0.57099999999999995</v>
      </c>
      <c r="R125" s="419">
        <v>-1.7190000000000001</v>
      </c>
      <c r="S125" s="345"/>
      <c r="T125" s="361"/>
      <c r="U125" s="425">
        <v>-0.88400000000000001</v>
      </c>
      <c r="V125" s="351"/>
      <c r="W125" s="351"/>
      <c r="X125" s="351"/>
      <c r="Y125" s="363">
        <v>-0.88400000000000001</v>
      </c>
      <c r="Z125" s="363"/>
      <c r="AA125" s="363"/>
      <c r="AB125" s="363"/>
      <c r="AC125" s="363">
        <v>-0.88400000000000001</v>
      </c>
      <c r="AD125" s="355"/>
      <c r="AE125" s="334"/>
    </row>
    <row r="126" spans="1:31" s="352" customFormat="1" ht="14.25" customHeight="1" x14ac:dyDescent="0.2">
      <c r="A126" s="320" t="str">
        <f>IFERROR(VLOOKUP(B126,mapping_one_neo!A:B,2,FALSE),"")</f>
        <v>Other office costs AU=0.INP</v>
      </c>
      <c r="B126" s="388" t="s">
        <v>712</v>
      </c>
      <c r="C126" s="353">
        <v>635800</v>
      </c>
      <c r="E126" s="356">
        <v>-1.76</v>
      </c>
      <c r="G126" s="419">
        <v>0</v>
      </c>
      <c r="H126" s="419">
        <v>0</v>
      </c>
      <c r="I126" s="419">
        <v>0</v>
      </c>
      <c r="J126" s="419">
        <v>0</v>
      </c>
      <c r="K126" s="419">
        <v>0</v>
      </c>
      <c r="L126" s="419">
        <v>0</v>
      </c>
      <c r="M126" s="419"/>
      <c r="N126" s="419">
        <v>-1.76</v>
      </c>
      <c r="O126" s="419"/>
      <c r="P126" s="419"/>
      <c r="Q126" s="419"/>
      <c r="R126" s="419"/>
      <c r="S126" s="345"/>
      <c r="T126" s="361"/>
      <c r="U126" s="425">
        <v>0</v>
      </c>
      <c r="V126" s="351"/>
      <c r="W126" s="351"/>
      <c r="X126" s="351"/>
      <c r="Y126" s="363">
        <v>0</v>
      </c>
      <c r="Z126" s="363"/>
      <c r="AA126" s="363"/>
      <c r="AB126" s="363"/>
      <c r="AC126" s="363">
        <v>0</v>
      </c>
      <c r="AD126" s="355"/>
      <c r="AE126" s="334"/>
    </row>
    <row r="127" spans="1:31" s="352" customFormat="1" x14ac:dyDescent="0.2">
      <c r="A127" s="320" t="str">
        <f>IFERROR(VLOOKUP(B127,mapping_one_neo!A:B,2,FALSE),"")</f>
        <v>Other office costs AU=0.INP</v>
      </c>
      <c r="B127" s="388" t="s">
        <v>86</v>
      </c>
      <c r="C127" s="353">
        <v>637100</v>
      </c>
      <c r="E127" s="356">
        <v>0</v>
      </c>
      <c r="G127" s="419">
        <v>-0.8</v>
      </c>
      <c r="H127" s="419">
        <v>0.8</v>
      </c>
      <c r="I127" s="419">
        <v>0</v>
      </c>
      <c r="J127" s="419">
        <v>0</v>
      </c>
      <c r="K127" s="419">
        <v>0</v>
      </c>
      <c r="L127" s="419">
        <v>0</v>
      </c>
      <c r="M127" s="419">
        <v>0</v>
      </c>
      <c r="N127" s="419">
        <v>0</v>
      </c>
      <c r="O127" s="419">
        <v>0</v>
      </c>
      <c r="P127" s="419">
        <v>0</v>
      </c>
      <c r="Q127" s="419">
        <v>0</v>
      </c>
      <c r="R127" s="419">
        <v>0</v>
      </c>
      <c r="S127" s="345"/>
      <c r="T127" s="361"/>
      <c r="U127" s="351">
        <v>0</v>
      </c>
      <c r="V127" s="351"/>
      <c r="W127" s="351"/>
      <c r="X127" s="351"/>
      <c r="Y127" s="363">
        <v>0</v>
      </c>
      <c r="Z127" s="363"/>
      <c r="AA127" s="363"/>
      <c r="AB127" s="363"/>
      <c r="AC127" s="363">
        <v>0</v>
      </c>
      <c r="AD127" s="355"/>
      <c r="AE127" s="334"/>
    </row>
    <row r="128" spans="1:31" s="352" customFormat="1" x14ac:dyDescent="0.2">
      <c r="A128" s="320" t="str">
        <f>IFERROR(VLOOKUP(B128,mapping_one_neo!A:B,2,FALSE),"")</f>
        <v>Other office costs AU=0.INP</v>
      </c>
      <c r="B128" s="388" t="s">
        <v>87</v>
      </c>
      <c r="C128" s="353">
        <v>658201</v>
      </c>
      <c r="E128" s="356">
        <v>-4.9999999999999982</v>
      </c>
      <c r="G128" s="419">
        <v>-0.21203709999999998</v>
      </c>
      <c r="H128" s="419">
        <v>-0.28796289999999991</v>
      </c>
      <c r="I128" s="419">
        <v>-0.25000000000000011</v>
      </c>
      <c r="J128" s="419">
        <v>-0.24999999999999978</v>
      </c>
      <c r="K128" s="419">
        <v>-0.25000000000000022</v>
      </c>
      <c r="L128" s="419">
        <v>-0.25</v>
      </c>
      <c r="M128" s="419">
        <v>-0.58333333333333326</v>
      </c>
      <c r="N128" s="419">
        <v>-0.58333333333333326</v>
      </c>
      <c r="O128" s="419">
        <v>-0.58333333333333326</v>
      </c>
      <c r="P128" s="419">
        <v>-0.58333333333333326</v>
      </c>
      <c r="Q128" s="419">
        <v>-0.58333333333333326</v>
      </c>
      <c r="R128" s="419">
        <v>-0.58333333333333326</v>
      </c>
      <c r="S128" s="345"/>
      <c r="T128" s="361"/>
      <c r="U128" s="351">
        <v>-0.66599999999999993</v>
      </c>
      <c r="V128" s="351"/>
      <c r="W128" s="351"/>
      <c r="X128" s="351"/>
      <c r="Y128" s="363">
        <v>-0.66599999999999993</v>
      </c>
      <c r="Z128" s="363"/>
      <c r="AA128" s="363"/>
      <c r="AB128" s="363"/>
      <c r="AC128" s="363">
        <v>-0.66599999999999993</v>
      </c>
      <c r="AD128" s="355"/>
      <c r="AE128" s="334"/>
    </row>
    <row r="129" spans="1:31" s="352" customFormat="1" x14ac:dyDescent="0.2">
      <c r="A129" s="320" t="str">
        <f>IFERROR(VLOOKUP(B129,mapping_one_neo!A:B,2,FALSE),"")</f>
        <v>Other office costs AU=0.INP</v>
      </c>
      <c r="B129" s="388" t="s">
        <v>88</v>
      </c>
      <c r="C129" s="353">
        <v>658000</v>
      </c>
      <c r="E129" s="356">
        <v>-1.7569999999999999E-2</v>
      </c>
      <c r="G129" s="419">
        <v>-3.13E-3</v>
      </c>
      <c r="H129" s="419">
        <v>-2.8000000000000004E-3</v>
      </c>
      <c r="I129" s="419">
        <v>-3.0199999999999992E-3</v>
      </c>
      <c r="J129" s="419">
        <v>-6.5999999999999913E-4</v>
      </c>
      <c r="K129" s="419">
        <v>-3.9600000000000017E-3</v>
      </c>
      <c r="L129" s="419">
        <v>-3.9999999999999983E-3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-3.7799999999999999E-3</v>
      </c>
      <c r="V129" s="351"/>
      <c r="W129" s="351"/>
      <c r="X129" s="351"/>
      <c r="Y129" s="363">
        <v>-3.7799999999999999E-3</v>
      </c>
      <c r="Z129" s="363"/>
      <c r="AA129" s="363"/>
      <c r="AB129" s="363"/>
      <c r="AC129" s="363">
        <v>-3.7799999999999999E-3</v>
      </c>
      <c r="AD129" s="355"/>
      <c r="AE129" s="334"/>
    </row>
    <row r="130" spans="1:31" s="352" customFormat="1" x14ac:dyDescent="0.2">
      <c r="A130" s="320" t="str">
        <f>IFERROR(VLOOKUP(B130,mapping_one_neo!A:B,2,FALSE),"")</f>
        <v>Other office costs AU=0.INP</v>
      </c>
      <c r="B130" s="388" t="s">
        <v>89</v>
      </c>
      <c r="C130" s="353">
        <v>681124</v>
      </c>
      <c r="E130" s="356">
        <v>-2.8426974999999994</v>
      </c>
      <c r="G130" s="419">
        <v>-0.20135</v>
      </c>
      <c r="H130" s="419">
        <v>-0.18837000000000001</v>
      </c>
      <c r="I130" s="419">
        <v>-0.20132999999999995</v>
      </c>
      <c r="J130" s="419">
        <v>-0.19486000000000003</v>
      </c>
      <c r="K130" s="419">
        <v>-0.20135999999999998</v>
      </c>
      <c r="L130" s="419">
        <v>-0.19485999999999992</v>
      </c>
      <c r="M130" s="419">
        <v>-0.27676125000000001</v>
      </c>
      <c r="N130" s="419">
        <v>-0.27676125000000001</v>
      </c>
      <c r="O130" s="419">
        <v>-0.27676125000000001</v>
      </c>
      <c r="P130" s="419">
        <v>-0.27676125000000001</v>
      </c>
      <c r="Q130" s="419">
        <v>-0.27676125000000001</v>
      </c>
      <c r="R130" s="419">
        <v>-0.27676125000000001</v>
      </c>
      <c r="S130" s="345"/>
      <c r="T130" s="361"/>
      <c r="U130" s="351">
        <v>-0.55157</v>
      </c>
      <c r="V130" s="351"/>
      <c r="W130" s="351"/>
      <c r="X130" s="351"/>
      <c r="Y130" s="363">
        <v>-0.55157</v>
      </c>
      <c r="Z130" s="363"/>
      <c r="AA130" s="363"/>
      <c r="AB130" s="363"/>
      <c r="AC130" s="363">
        <v>-0.55157</v>
      </c>
      <c r="AD130" s="355"/>
      <c r="AE130" s="334"/>
    </row>
    <row r="131" spans="1:31" s="352" customFormat="1" x14ac:dyDescent="0.2">
      <c r="A131" s="320" t="str">
        <f>IFERROR(VLOOKUP(B131,mapping_one_neo!A:B,2,FALSE),"")</f>
        <v>Other office costs AU=0.INP</v>
      </c>
      <c r="B131" s="388" t="s">
        <v>90</v>
      </c>
      <c r="C131" s="353"/>
      <c r="E131" s="356">
        <v>0</v>
      </c>
      <c r="G131" s="419">
        <v>0</v>
      </c>
      <c r="H131" s="419">
        <v>0</v>
      </c>
      <c r="I131" s="419">
        <v>0</v>
      </c>
      <c r="J131" s="419">
        <v>0</v>
      </c>
      <c r="K131" s="419">
        <v>0</v>
      </c>
      <c r="L131" s="419">
        <v>0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/>
      <c r="V131" s="351"/>
      <c r="W131" s="351"/>
      <c r="X131" s="351"/>
      <c r="Y131" s="363">
        <v>0</v>
      </c>
      <c r="Z131" s="363"/>
      <c r="AA131" s="363"/>
      <c r="AB131" s="363"/>
      <c r="AC131" s="363">
        <v>0</v>
      </c>
      <c r="AD131" s="355"/>
      <c r="AE131" s="334"/>
    </row>
    <row r="132" spans="1:31" s="352" customFormat="1" x14ac:dyDescent="0.2">
      <c r="A132" s="320" t="str">
        <f>IFERROR(VLOOKUP(B132,mapping_one_neo!A:B,2,FALSE),"")</f>
        <v>Staff Welfare</v>
      </c>
      <c r="B132" s="388" t="s">
        <v>53</v>
      </c>
      <c r="C132" s="353"/>
      <c r="E132" s="356">
        <v>0</v>
      </c>
      <c r="G132" s="419">
        <v>0</v>
      </c>
      <c r="H132" s="419">
        <v>0</v>
      </c>
      <c r="I132" s="419">
        <v>0</v>
      </c>
      <c r="J132" s="419">
        <v>0</v>
      </c>
      <c r="K132" s="419">
        <v>0</v>
      </c>
      <c r="L132" s="419">
        <v>0</v>
      </c>
      <c r="M132" s="419"/>
      <c r="N132" s="419"/>
      <c r="O132" s="419"/>
      <c r="P132" s="419"/>
      <c r="Q132" s="419"/>
      <c r="R132" s="419"/>
      <c r="S132" s="345"/>
      <c r="T132" s="361"/>
      <c r="U132" s="351"/>
      <c r="V132" s="351"/>
      <c r="W132" s="351"/>
      <c r="X132" s="351"/>
      <c r="Y132" s="363">
        <v>0</v>
      </c>
      <c r="Z132" s="363"/>
      <c r="AA132" s="363"/>
      <c r="AB132" s="363"/>
      <c r="AC132" s="363">
        <v>0</v>
      </c>
      <c r="AD132" s="355"/>
      <c r="AE132" s="334"/>
    </row>
    <row r="133" spans="1:31" s="387" customFormat="1" x14ac:dyDescent="0.2">
      <c r="A133" s="320">
        <f>IFERROR(VLOOKUP(B133,mapping_one_neo!A:B,2,FALSE),"")</f>
        <v>0</v>
      </c>
      <c r="B133" s="387" t="s">
        <v>91</v>
      </c>
      <c r="C133" s="392"/>
      <c r="E133" s="393">
        <v>-118.19251749999999</v>
      </c>
      <c r="G133" s="393">
        <v>-10.170790433333334</v>
      </c>
      <c r="H133" s="393">
        <v>-8.630186233333335</v>
      </c>
      <c r="I133" s="393">
        <v>-9.4086233333333311</v>
      </c>
      <c r="J133" s="393">
        <v>-9.3981733333333359</v>
      </c>
      <c r="K133" s="393">
        <v>-9.4095933333333335</v>
      </c>
      <c r="L133" s="393">
        <v>-9.3805833333333357</v>
      </c>
      <c r="M133" s="393">
        <v>-9.8144279166666681</v>
      </c>
      <c r="N133" s="393">
        <v>-11.574427916666668</v>
      </c>
      <c r="O133" s="393">
        <v>-9.8144279166666681</v>
      </c>
      <c r="P133" s="393">
        <v>-9.8144279166666681</v>
      </c>
      <c r="Q133" s="393">
        <v>-9.8144279166666681</v>
      </c>
      <c r="R133" s="393">
        <v>-10.962427916666668</v>
      </c>
      <c r="S133" s="349"/>
      <c r="T133" s="346"/>
      <c r="U133" s="393">
        <f>SUM(U123:U132)</f>
        <v>-2.2414999999999998</v>
      </c>
      <c r="V133" s="393">
        <f t="shared" ref="V133:AC133" si="9">SUM(V123:V132)</f>
        <v>-18.333333333333332</v>
      </c>
      <c r="W133" s="393">
        <f t="shared" si="9"/>
        <v>0</v>
      </c>
      <c r="X133" s="393">
        <f t="shared" si="9"/>
        <v>0</v>
      </c>
      <c r="Y133" s="393">
        <f t="shared" si="9"/>
        <v>-20.574833333333334</v>
      </c>
      <c r="Z133" s="393">
        <f t="shared" si="9"/>
        <v>0</v>
      </c>
      <c r="AA133" s="393">
        <f t="shared" si="9"/>
        <v>0</v>
      </c>
      <c r="AB133" s="393">
        <f t="shared" si="9"/>
        <v>0</v>
      </c>
      <c r="AC133" s="393">
        <f t="shared" si="9"/>
        <v>-20.574833333333334</v>
      </c>
      <c r="AD133" s="394"/>
      <c r="AE133" s="334"/>
    </row>
    <row r="134" spans="1:31" s="387" customFormat="1" x14ac:dyDescent="0.2">
      <c r="A134" s="320" t="str">
        <f>IFERROR(VLOOKUP(B134,mapping_one_neo!A:B,2,FALSE),"")</f>
        <v/>
      </c>
      <c r="C134" s="392"/>
      <c r="E134" s="397"/>
      <c r="G134" s="397"/>
      <c r="H134" s="397"/>
      <c r="I134" s="397"/>
      <c r="J134" s="397"/>
      <c r="K134" s="397"/>
      <c r="L134" s="397"/>
      <c r="M134" s="397"/>
      <c r="N134" s="397"/>
      <c r="O134" s="397"/>
      <c r="P134" s="397"/>
      <c r="Q134" s="397"/>
      <c r="R134" s="397"/>
      <c r="S134" s="349"/>
      <c r="T134" s="346"/>
      <c r="U134" s="397"/>
      <c r="V134" s="397"/>
      <c r="W134" s="397"/>
      <c r="X134" s="397"/>
      <c r="Y134" s="399"/>
      <c r="Z134" s="399"/>
      <c r="AA134" s="399"/>
      <c r="AB134" s="399"/>
      <c r="AC134" s="399"/>
      <c r="AD134" s="394"/>
      <c r="AE134" s="334"/>
    </row>
    <row r="135" spans="1:31" x14ac:dyDescent="0.2">
      <c r="A135" s="320">
        <f>IFERROR(VLOOKUP(B135,mapping_one_neo!A:B,2,FALSE),"")</f>
        <v>0</v>
      </c>
      <c r="B135" s="352" t="s">
        <v>92</v>
      </c>
      <c r="C135" s="353"/>
      <c r="E135" s="354">
        <v>-128.66603950000001</v>
      </c>
      <c r="G135" s="354">
        <v>-10.434640433333334</v>
      </c>
      <c r="H135" s="354">
        <v>-9.1118462333333348</v>
      </c>
      <c r="I135" s="354">
        <v>-9.7336733333333303</v>
      </c>
      <c r="J135" s="354">
        <v>-10.287403333333335</v>
      </c>
      <c r="K135" s="354">
        <v>-12.778823333333333</v>
      </c>
      <c r="L135" s="354">
        <v>-9.730593333333335</v>
      </c>
      <c r="M135" s="354">
        <v>-11.796843250000002</v>
      </c>
      <c r="N135" s="354">
        <v>-11.856843250000001</v>
      </c>
      <c r="O135" s="354">
        <v>-10.796843250000002</v>
      </c>
      <c r="P135" s="354">
        <v>-10.096843250000001</v>
      </c>
      <c r="Q135" s="354">
        <v>-10.096843250000001</v>
      </c>
      <c r="R135" s="354">
        <v>-11.944843250000002</v>
      </c>
      <c r="S135" s="349"/>
      <c r="T135" s="346"/>
      <c r="U135" s="354">
        <f>U133+U120+U115+U110</f>
        <v>-4.0226899999999999</v>
      </c>
      <c r="V135" s="354">
        <f t="shared" ref="V135:AC135" si="10">V133+V120+V115+V110</f>
        <v>-18.333333333333332</v>
      </c>
      <c r="W135" s="354">
        <f t="shared" si="10"/>
        <v>0</v>
      </c>
      <c r="X135" s="354">
        <f t="shared" si="10"/>
        <v>0</v>
      </c>
      <c r="Y135" s="354">
        <f t="shared" si="10"/>
        <v>-22.356023333333333</v>
      </c>
      <c r="Z135" s="354">
        <f t="shared" si="10"/>
        <v>0</v>
      </c>
      <c r="AA135" s="354">
        <f t="shared" si="10"/>
        <v>0</v>
      </c>
      <c r="AB135" s="354">
        <f t="shared" si="10"/>
        <v>0</v>
      </c>
      <c r="AC135" s="354">
        <f t="shared" si="10"/>
        <v>-22.356023333333333</v>
      </c>
      <c r="AD135" s="350"/>
    </row>
    <row r="136" spans="1:31" x14ac:dyDescent="0.2">
      <c r="A136" s="320" t="str">
        <f>IFERROR(VLOOKUP(B136,mapping_one_neo!A:B,2,FALSE),"")</f>
        <v/>
      </c>
      <c r="J136" s="335">
        <v>0</v>
      </c>
      <c r="M136" s="335">
        <v>0</v>
      </c>
      <c r="S136" s="349"/>
      <c r="T136" s="346"/>
      <c r="U136" s="351"/>
      <c r="V136" s="351"/>
      <c r="W136" s="351"/>
      <c r="X136" s="351"/>
      <c r="Y136" s="358"/>
      <c r="Z136" s="358"/>
      <c r="AA136" s="358"/>
      <c r="AB136" s="358"/>
      <c r="AC136" s="358"/>
      <c r="AD136" s="350"/>
    </row>
    <row r="137" spans="1:31" s="352" customFormat="1" x14ac:dyDescent="0.2">
      <c r="A137" s="320" t="str">
        <f>IFERROR(VLOOKUP(B137,mapping_one_neo!A:B,2,FALSE),"")</f>
        <v>Voice/fax communication costs</v>
      </c>
      <c r="B137" s="400" t="s">
        <v>93</v>
      </c>
      <c r="C137" s="353">
        <v>626110</v>
      </c>
      <c r="E137" s="356">
        <v>-8.0407407407407394</v>
      </c>
      <c r="G137" s="419">
        <v>-0.6</v>
      </c>
      <c r="H137" s="419">
        <v>-0.6</v>
      </c>
      <c r="I137" s="419">
        <v>-0.60000000000000009</v>
      </c>
      <c r="J137" s="419">
        <v>-0.7</v>
      </c>
      <c r="K137" s="419">
        <v>-0.36629999999999985</v>
      </c>
      <c r="L137" s="419">
        <v>-0.10000000000000053</v>
      </c>
      <c r="M137" s="419">
        <v>-0.84574012345678995</v>
      </c>
      <c r="N137" s="419">
        <v>-0.84574012345678995</v>
      </c>
      <c r="O137" s="419">
        <v>-0.84574012345678995</v>
      </c>
      <c r="P137" s="419">
        <v>-0.84574012345678995</v>
      </c>
      <c r="Q137" s="419">
        <v>-0.84574012345678995</v>
      </c>
      <c r="R137" s="419">
        <v>-0.84574012345678995</v>
      </c>
      <c r="S137" s="345"/>
      <c r="T137" s="361"/>
      <c r="U137" s="351">
        <v>0</v>
      </c>
      <c r="V137" s="351"/>
      <c r="W137" s="351"/>
      <c r="X137" s="351">
        <v>-1.9</v>
      </c>
      <c r="Y137" s="363">
        <v>-1.9</v>
      </c>
      <c r="Z137" s="363"/>
      <c r="AA137" s="363"/>
      <c r="AB137" s="363"/>
      <c r="AC137" s="363">
        <v>-1.9</v>
      </c>
      <c r="AD137" s="355"/>
      <c r="AE137" s="334"/>
    </row>
    <row r="138" spans="1:31" s="352" customFormat="1" x14ac:dyDescent="0.2">
      <c r="A138" s="320" t="str">
        <f>IFERROR(VLOOKUP(B138,mapping_one_neo!A:B,2,FALSE),"")</f>
        <v>Voice/fax communication costs</v>
      </c>
      <c r="B138" s="400" t="s">
        <v>94</v>
      </c>
      <c r="C138" s="353">
        <v>626110</v>
      </c>
      <c r="E138" s="356">
        <v>-4.0082500000000003</v>
      </c>
      <c r="G138" s="419">
        <v>-0.33300000000000002</v>
      </c>
      <c r="H138" s="419">
        <v>-0.33300000000000002</v>
      </c>
      <c r="I138" s="419">
        <v>-0.33300000000000007</v>
      </c>
      <c r="J138" s="419">
        <v>-0.33299999999999996</v>
      </c>
      <c r="K138" s="419">
        <v>-0.33299999999999996</v>
      </c>
      <c r="L138" s="419">
        <v>-0.33300000000000018</v>
      </c>
      <c r="M138" s="419">
        <v>-0.33475000000000005</v>
      </c>
      <c r="N138" s="419">
        <v>-0.33475000000000005</v>
      </c>
      <c r="O138" s="419">
        <v>-0.33475000000000005</v>
      </c>
      <c r="P138" s="419">
        <v>-0.33475000000000005</v>
      </c>
      <c r="Q138" s="419">
        <v>-0.33475000000000005</v>
      </c>
      <c r="R138" s="419">
        <v>-0.33650000000000002</v>
      </c>
      <c r="S138" s="389" t="s">
        <v>134</v>
      </c>
      <c r="T138" s="361"/>
      <c r="U138" s="351">
        <v>-1.0840000000000001</v>
      </c>
      <c r="V138" s="351"/>
      <c r="W138" s="351"/>
      <c r="X138" s="351"/>
      <c r="Y138" s="363">
        <v>-1.0840000000000001</v>
      </c>
      <c r="Z138" s="363"/>
      <c r="AA138" s="363"/>
      <c r="AB138" s="363"/>
      <c r="AC138" s="363">
        <v>-1.0840000000000001</v>
      </c>
      <c r="AD138" s="355"/>
      <c r="AE138" s="334"/>
    </row>
    <row r="139" spans="1:31" x14ac:dyDescent="0.2">
      <c r="A139" s="320" t="str">
        <f>IFERROR(VLOOKUP(B139,mapping_one_neo!A:B,2,FALSE),"")</f>
        <v/>
      </c>
      <c r="G139" s="398">
        <v>0</v>
      </c>
      <c r="H139" s="398">
        <v>0</v>
      </c>
      <c r="I139" s="398">
        <v>0</v>
      </c>
      <c r="J139" s="398">
        <v>0</v>
      </c>
      <c r="K139" s="398">
        <v>0</v>
      </c>
      <c r="L139" s="398">
        <v>0</v>
      </c>
      <c r="M139" s="398">
        <v>0</v>
      </c>
      <c r="N139" s="398">
        <v>0</v>
      </c>
      <c r="O139" s="398"/>
      <c r="P139" s="398"/>
      <c r="Q139" s="398"/>
      <c r="R139" s="398"/>
      <c r="S139" s="349"/>
      <c r="T139" s="346"/>
      <c r="U139" s="351"/>
      <c r="V139" s="351"/>
      <c r="W139" s="351"/>
      <c r="X139" s="351"/>
      <c r="Y139" s="358"/>
      <c r="Z139" s="358"/>
      <c r="AA139" s="358"/>
      <c r="AB139" s="358"/>
      <c r="AC139" s="358"/>
      <c r="AD139" s="350"/>
    </row>
    <row r="140" spans="1:31" s="352" customFormat="1" x14ac:dyDescent="0.2">
      <c r="A140" s="320" t="str">
        <f>IFERROR(VLOOKUP(B140,mapping_one_neo!A:B,2,FALSE),"")</f>
        <v>Data communication costs AU=0ADJ16</v>
      </c>
      <c r="B140" s="400" t="s">
        <v>95</v>
      </c>
      <c r="C140" s="353">
        <v>626400</v>
      </c>
      <c r="E140" s="356">
        <v>0</v>
      </c>
      <c r="G140" s="419">
        <v>0</v>
      </c>
      <c r="H140" s="419">
        <v>0</v>
      </c>
      <c r="I140" s="419">
        <v>0</v>
      </c>
      <c r="J140" s="419">
        <v>0</v>
      </c>
      <c r="K140" s="419">
        <v>0</v>
      </c>
      <c r="L140" s="419">
        <v>0</v>
      </c>
      <c r="M140" s="419">
        <v>0</v>
      </c>
      <c r="N140" s="419">
        <v>0</v>
      </c>
      <c r="O140" s="419">
        <v>0</v>
      </c>
      <c r="P140" s="419">
        <v>0</v>
      </c>
      <c r="Q140" s="419">
        <v>0</v>
      </c>
      <c r="R140" s="419">
        <v>0</v>
      </c>
      <c r="S140" s="345"/>
      <c r="T140" s="361"/>
      <c r="U140" s="351"/>
      <c r="V140" s="351"/>
      <c r="W140" s="351"/>
      <c r="X140" s="351"/>
      <c r="Y140" s="363">
        <v>0</v>
      </c>
      <c r="Z140" s="363"/>
      <c r="AA140" s="363"/>
      <c r="AB140" s="363"/>
      <c r="AC140" s="363">
        <v>0</v>
      </c>
      <c r="AD140" s="355"/>
      <c r="AE140" s="334"/>
    </row>
    <row r="141" spans="1:31" s="352" customFormat="1" x14ac:dyDescent="0.2">
      <c r="A141" s="320" t="str">
        <f>IFERROR(VLOOKUP(B141,mapping_one_neo!A:B,2,FALSE),"")</f>
        <v>Data communication costs AU=0ADJ16</v>
      </c>
      <c r="B141" s="400" t="s">
        <v>96</v>
      </c>
      <c r="C141" s="353">
        <v>626400</v>
      </c>
      <c r="E141" s="356">
        <v>-0.99833333333333341</v>
      </c>
      <c r="G141" s="419">
        <v>-8.3000000000000004E-2</v>
      </c>
      <c r="H141" s="419">
        <v>-8.3000000000000004E-2</v>
      </c>
      <c r="I141" s="419">
        <v>-8.299999999999999E-2</v>
      </c>
      <c r="J141" s="419">
        <v>-8.3000000000000018E-2</v>
      </c>
      <c r="K141" s="419">
        <v>-8.3000000000000018E-2</v>
      </c>
      <c r="L141" s="419">
        <v>-8.2999999999999963E-2</v>
      </c>
      <c r="M141" s="419">
        <v>-8.3333333333333329E-2</v>
      </c>
      <c r="N141" s="419">
        <v>-8.3333333333333329E-2</v>
      </c>
      <c r="O141" s="419">
        <v>-8.3333333333333329E-2</v>
      </c>
      <c r="P141" s="419">
        <v>-8.3333333333333329E-2</v>
      </c>
      <c r="Q141" s="419">
        <v>-8.3333333333333329E-2</v>
      </c>
      <c r="R141" s="419">
        <v>-8.3666666666666598E-2</v>
      </c>
      <c r="S141" s="345"/>
      <c r="T141" s="361"/>
      <c r="U141" s="351">
        <v>-0.16600000000000001</v>
      </c>
      <c r="V141" s="351"/>
      <c r="W141" s="351"/>
      <c r="X141" s="351"/>
      <c r="Y141" s="363">
        <v>-0.16600000000000001</v>
      </c>
      <c r="Z141" s="363"/>
      <c r="AA141" s="363"/>
      <c r="AB141" s="363"/>
      <c r="AC141" s="363">
        <v>-0.16600000000000001</v>
      </c>
      <c r="AD141" s="355"/>
      <c r="AE141" s="334"/>
    </row>
    <row r="142" spans="1:31" x14ac:dyDescent="0.2">
      <c r="A142" s="320" t="str">
        <f>IFERROR(VLOOKUP(B142,mapping_one_neo!A:B,2,FALSE),"")</f>
        <v/>
      </c>
      <c r="G142" s="398"/>
      <c r="H142" s="398"/>
      <c r="I142" s="398"/>
      <c r="J142" s="398"/>
      <c r="K142" s="398"/>
      <c r="L142" s="398"/>
      <c r="M142" s="398"/>
      <c r="N142" s="398"/>
      <c r="O142" s="398"/>
      <c r="P142" s="398"/>
      <c r="Q142" s="398"/>
      <c r="R142" s="398"/>
      <c r="S142" s="349"/>
      <c r="T142" s="346"/>
      <c r="U142" s="351"/>
      <c r="V142" s="351"/>
      <c r="W142" s="351"/>
      <c r="X142" s="351"/>
      <c r="Y142" s="358"/>
      <c r="Z142" s="358"/>
      <c r="AA142" s="358"/>
      <c r="AB142" s="358"/>
      <c r="AC142" s="358"/>
      <c r="AD142" s="350"/>
    </row>
    <row r="143" spans="1:31" x14ac:dyDescent="0.2">
      <c r="A143" s="320">
        <f>IFERROR(VLOOKUP(B143,mapping_one_neo!A:B,2,FALSE),"")</f>
        <v>0</v>
      </c>
      <c r="B143" s="387" t="s">
        <v>97</v>
      </c>
      <c r="J143" s="335">
        <v>0</v>
      </c>
      <c r="M143" s="335">
        <v>0</v>
      </c>
      <c r="S143" s="349"/>
      <c r="T143" s="346"/>
      <c r="U143" s="351"/>
      <c r="V143" s="351"/>
      <c r="W143" s="351"/>
      <c r="X143" s="351"/>
      <c r="Y143" s="358"/>
      <c r="Z143" s="358"/>
      <c r="AA143" s="358"/>
      <c r="AB143" s="358"/>
      <c r="AC143" s="358"/>
      <c r="AD143" s="350"/>
    </row>
    <row r="144" spans="1:31" s="352" customFormat="1" x14ac:dyDescent="0.2">
      <c r="A144" s="320" t="str">
        <f>IFERROR(VLOOKUP(B144,mapping_one_neo!A:B,2,FALSE),"")</f>
        <v>Outsourced business systems AU=0ADJ16</v>
      </c>
      <c r="B144" s="388" t="s">
        <v>755</v>
      </c>
      <c r="C144" s="353" t="s">
        <v>157</v>
      </c>
      <c r="E144" s="356">
        <v>0</v>
      </c>
      <c r="G144" s="356">
        <v>0</v>
      </c>
      <c r="H144" s="356">
        <v>0</v>
      </c>
      <c r="I144" s="356">
        <v>0</v>
      </c>
      <c r="J144" s="356">
        <v>0</v>
      </c>
      <c r="K144" s="356">
        <v>0</v>
      </c>
      <c r="L144" s="356">
        <v>0</v>
      </c>
      <c r="M144" s="356">
        <v>0</v>
      </c>
      <c r="N144" s="356">
        <v>0</v>
      </c>
      <c r="O144" s="356">
        <v>0</v>
      </c>
      <c r="P144" s="356">
        <v>0</v>
      </c>
      <c r="Q144" s="356">
        <v>0</v>
      </c>
      <c r="R144" s="356">
        <v>0</v>
      </c>
      <c r="S144" s="345"/>
      <c r="T144" s="361"/>
      <c r="U144" s="362"/>
      <c r="V144" s="362"/>
      <c r="W144" s="362"/>
      <c r="X144" s="351"/>
      <c r="Y144" s="363"/>
      <c r="Z144" s="363"/>
      <c r="AA144" s="363"/>
      <c r="AB144" s="363"/>
      <c r="AC144" s="363"/>
      <c r="AD144" s="355"/>
      <c r="AE144" s="334"/>
    </row>
    <row r="145" spans="1:31" s="352" customFormat="1" x14ac:dyDescent="0.2">
      <c r="A145" s="320" t="str">
        <f>IFERROR(VLOOKUP(B145,mapping_one_neo!A:B,2,FALSE),"")</f>
        <v>Outsourced business systems AU=0ADJ16</v>
      </c>
      <c r="B145" s="388" t="s">
        <v>98</v>
      </c>
      <c r="C145" s="353" t="s">
        <v>157</v>
      </c>
      <c r="E145" s="356">
        <v>-18</v>
      </c>
      <c r="G145" s="419">
        <v>-1.5</v>
      </c>
      <c r="H145" s="419">
        <v>-1.5</v>
      </c>
      <c r="I145" s="419">
        <v>-1.5</v>
      </c>
      <c r="J145" s="419">
        <v>-1.5</v>
      </c>
      <c r="K145" s="419">
        <v>-1.5</v>
      </c>
      <c r="L145" s="419">
        <v>-1.5</v>
      </c>
      <c r="M145" s="419">
        <v>-1.5</v>
      </c>
      <c r="N145" s="419">
        <v>-1.5</v>
      </c>
      <c r="O145" s="419">
        <v>-1.5</v>
      </c>
      <c r="P145" s="419">
        <v>-1.5</v>
      </c>
      <c r="Q145" s="419">
        <v>-1.5</v>
      </c>
      <c r="R145" s="419">
        <v>-1.5</v>
      </c>
      <c r="S145" s="345"/>
      <c r="T145" s="361"/>
      <c r="U145" s="351">
        <v>-3.5</v>
      </c>
      <c r="V145" s="351"/>
      <c r="W145" s="351"/>
      <c r="X145" s="351"/>
      <c r="Y145" s="363">
        <v>-3.5</v>
      </c>
      <c r="Z145" s="363"/>
      <c r="AA145" s="363"/>
      <c r="AB145" s="363"/>
      <c r="AC145" s="363">
        <v>-3.5</v>
      </c>
      <c r="AD145" s="355"/>
      <c r="AE145" s="334"/>
    </row>
    <row r="146" spans="1:31" s="352" customFormat="1" x14ac:dyDescent="0.2">
      <c r="A146" s="320" t="str">
        <f>IFERROR(VLOOKUP(B146,mapping_one_neo!A:B,2,FALSE),"")</f>
        <v>Outsourced business systems AU=0ADJ16</v>
      </c>
      <c r="B146" s="388" t="s">
        <v>799</v>
      </c>
      <c r="C146" s="353" t="s">
        <v>157</v>
      </c>
      <c r="E146" s="356"/>
      <c r="G146" s="419"/>
      <c r="H146" s="419"/>
      <c r="I146" s="419"/>
      <c r="J146" s="419"/>
      <c r="K146" s="419"/>
      <c r="L146" s="419"/>
      <c r="M146" s="419"/>
      <c r="N146" s="419"/>
      <c r="O146" s="419"/>
      <c r="P146" s="419"/>
      <c r="Q146" s="419"/>
      <c r="R146" s="419"/>
      <c r="S146" s="345"/>
      <c r="T146" s="361"/>
      <c r="U146" s="351">
        <v>-0.11600000000000001</v>
      </c>
      <c r="V146" s="351"/>
      <c r="W146" s="351"/>
      <c r="X146" s="351"/>
      <c r="Y146" s="363">
        <v>-0.11600000000000001</v>
      </c>
      <c r="Z146" s="363"/>
      <c r="AA146" s="363"/>
      <c r="AB146" s="363"/>
      <c r="AC146" s="363">
        <v>-0.11600000000000001</v>
      </c>
      <c r="AD146" s="355"/>
      <c r="AE146" s="334"/>
    </row>
    <row r="147" spans="1:31" s="352" customFormat="1" x14ac:dyDescent="0.2">
      <c r="A147" s="320" t="str">
        <f>IFERROR(VLOOKUP(B147,mapping_one_neo!A:B,2,FALSE),"")</f>
        <v>Computer equipment maintenance/service AU=0ADJ16</v>
      </c>
      <c r="B147" s="388" t="s">
        <v>99</v>
      </c>
      <c r="C147" s="353">
        <v>615620</v>
      </c>
      <c r="E147" s="356">
        <v>-0.61181084444444411</v>
      </c>
      <c r="G147" s="419">
        <v>0</v>
      </c>
      <c r="H147" s="419">
        <v>0</v>
      </c>
      <c r="I147" s="419">
        <v>0</v>
      </c>
      <c r="J147" s="419">
        <v>0</v>
      </c>
      <c r="K147" s="419">
        <v>0</v>
      </c>
      <c r="L147" s="419">
        <v>0</v>
      </c>
      <c r="M147" s="419">
        <v>-0.101968474074074</v>
      </c>
      <c r="N147" s="419">
        <v>-0.101968474074074</v>
      </c>
      <c r="O147" s="419">
        <v>-0.101968474074074</v>
      </c>
      <c r="P147" s="419">
        <v>-0.101968474074074</v>
      </c>
      <c r="Q147" s="419">
        <v>-0.101968474074074</v>
      </c>
      <c r="R147" s="419">
        <v>-0.101968474074074</v>
      </c>
      <c r="S147" s="345"/>
      <c r="T147" s="361"/>
      <c r="U147" s="351">
        <v>-1.0660700000000005</v>
      </c>
      <c r="V147" s="351"/>
      <c r="W147" s="351"/>
      <c r="X147" s="351"/>
      <c r="Y147" s="363">
        <v>-1.0660700000000005</v>
      </c>
      <c r="Z147" s="363"/>
      <c r="AA147" s="363"/>
      <c r="AB147" s="363"/>
      <c r="AC147" s="363">
        <v>-1.0660700000000005</v>
      </c>
      <c r="AD147" s="355"/>
      <c r="AE147" s="334"/>
    </row>
    <row r="148" spans="1:31" s="352" customFormat="1" x14ac:dyDescent="0.2">
      <c r="A148" s="320" t="str">
        <f>IFERROR(VLOOKUP(B148,mapping_one_neo!A:B,2,FALSE),"")</f>
        <v>Outsourced business systems AU=0ADJ16</v>
      </c>
      <c r="B148" s="388" t="s">
        <v>100</v>
      </c>
      <c r="C148" s="353" t="s">
        <v>157</v>
      </c>
      <c r="E148" s="356">
        <v>-5.7623066666666656</v>
      </c>
      <c r="G148" s="419">
        <v>-0.47642000000000029</v>
      </c>
      <c r="H148" s="419">
        <v>-0.44569000000000059</v>
      </c>
      <c r="I148" s="419">
        <v>-0.4764199999999994</v>
      </c>
      <c r="J148" s="419">
        <v>-0.46104999999999863</v>
      </c>
      <c r="K148" s="419">
        <v>-0.47642000000000095</v>
      </c>
      <c r="L148" s="419">
        <v>-0.46106000000000025</v>
      </c>
      <c r="M148" s="419">
        <v>-0.4916666666666667</v>
      </c>
      <c r="N148" s="419">
        <v>-0.4916666666666667</v>
      </c>
      <c r="O148" s="419">
        <v>-0.4916666666666667</v>
      </c>
      <c r="P148" s="419">
        <v>-0.4916666666666667</v>
      </c>
      <c r="Q148" s="419">
        <v>-0.4916666666666667</v>
      </c>
      <c r="R148" s="419">
        <v>-0.50691333333333199</v>
      </c>
      <c r="S148" s="345"/>
      <c r="T148" s="361"/>
      <c r="U148" s="351">
        <v>-5</v>
      </c>
      <c r="V148" s="351"/>
      <c r="W148" s="351"/>
      <c r="X148" s="351"/>
      <c r="Y148" s="363">
        <v>-5</v>
      </c>
      <c r="Z148" s="363"/>
      <c r="AA148" s="363"/>
      <c r="AB148" s="363"/>
      <c r="AC148" s="363">
        <v>-5</v>
      </c>
      <c r="AD148" s="355"/>
      <c r="AE148" s="334"/>
    </row>
    <row r="149" spans="1:31" s="352" customFormat="1" x14ac:dyDescent="0.2">
      <c r="A149" s="320" t="str">
        <f>IFERROR(VLOOKUP(B149,mapping_one_neo!A:B,2,FALSE),"")</f>
        <v>Outsourced business systems AU=0ADJ16</v>
      </c>
      <c r="B149" s="388" t="s">
        <v>101</v>
      </c>
      <c r="C149" s="353" t="s">
        <v>157</v>
      </c>
      <c r="E149" s="356">
        <v>-29.459999999999994</v>
      </c>
      <c r="G149" s="419">
        <v>-2.3999999999999995</v>
      </c>
      <c r="H149" s="419">
        <v>-2.5100000000000002</v>
      </c>
      <c r="I149" s="419">
        <v>-2.4550000000000001</v>
      </c>
      <c r="J149" s="419">
        <v>-2.4550000000000001</v>
      </c>
      <c r="K149" s="419">
        <v>-2.4550000000000001</v>
      </c>
      <c r="L149" s="419">
        <v>-2.4550000000000001</v>
      </c>
      <c r="M149" s="419">
        <v>-2.4550000000000001</v>
      </c>
      <c r="N149" s="419">
        <v>-2.4550000000000001</v>
      </c>
      <c r="O149" s="419">
        <v>-2.4550000000000001</v>
      </c>
      <c r="P149" s="419">
        <v>-2.4550000000000001</v>
      </c>
      <c r="Q149" s="419">
        <v>-2.4550000000000001</v>
      </c>
      <c r="R149" s="419">
        <v>-2.4550000000000001</v>
      </c>
      <c r="S149" s="345"/>
      <c r="T149" s="361"/>
      <c r="U149" s="351">
        <v>-1.05</v>
      </c>
      <c r="V149" s="351"/>
      <c r="W149" s="351"/>
      <c r="X149" s="351"/>
      <c r="Y149" s="363">
        <v>-1.05</v>
      </c>
      <c r="Z149" s="363"/>
      <c r="AA149" s="363"/>
      <c r="AB149" s="363"/>
      <c r="AC149" s="363">
        <v>-1.05</v>
      </c>
      <c r="AD149" s="355"/>
      <c r="AE149" s="334" t="s">
        <v>134</v>
      </c>
    </row>
    <row r="150" spans="1:31" s="352" customFormat="1" x14ac:dyDescent="0.2">
      <c r="A150" s="320" t="str">
        <f>IFERROR(VLOOKUP(B150,mapping_one_neo!A:B,2,FALSE),"")</f>
        <v>Outsourced business systems AU=0ADJ16</v>
      </c>
      <c r="B150" s="388" t="s">
        <v>102</v>
      </c>
      <c r="C150" s="353" t="s">
        <v>157</v>
      </c>
      <c r="E150" s="356">
        <v>-6.9993333333333316</v>
      </c>
      <c r="G150" s="419">
        <v>-0.58299999999999996</v>
      </c>
      <c r="H150" s="419">
        <v>-0.58299999999999996</v>
      </c>
      <c r="I150" s="419">
        <v>-0.58299999999999996</v>
      </c>
      <c r="J150" s="419">
        <v>-0.58299999999999996</v>
      </c>
      <c r="K150" s="419">
        <v>-0.58300000000000018</v>
      </c>
      <c r="L150" s="419">
        <v>-0.58299999999999974</v>
      </c>
      <c r="M150" s="419">
        <v>-0.58299999999999996</v>
      </c>
      <c r="N150" s="419">
        <v>-0.58299999999999996</v>
      </c>
      <c r="O150" s="419">
        <v>-0.58299999999999996</v>
      </c>
      <c r="P150" s="419">
        <v>-0.58299999999999996</v>
      </c>
      <c r="Q150" s="419">
        <v>-0.58299999999999996</v>
      </c>
      <c r="R150" s="419">
        <v>-0.58633333333333104</v>
      </c>
      <c r="S150" s="345"/>
      <c r="T150" s="361"/>
      <c r="U150" s="351"/>
      <c r="V150" s="351"/>
      <c r="W150" s="351"/>
      <c r="X150" s="351"/>
      <c r="Y150" s="363"/>
      <c r="Z150" s="363"/>
      <c r="AA150" s="363"/>
      <c r="AB150" s="363"/>
      <c r="AC150" s="363"/>
      <c r="AD150" s="355"/>
      <c r="AE150" s="334"/>
    </row>
    <row r="151" spans="1:31" s="352" customFormat="1" x14ac:dyDescent="0.2">
      <c r="A151" s="320" t="str">
        <f>IFERROR(VLOOKUP(B151,mapping_one_neo!A:B,2,FALSE),"")</f>
        <v>Outsourced business systems AU=0ADJ16</v>
      </c>
      <c r="B151" s="388" t="s">
        <v>103</v>
      </c>
      <c r="C151" s="353">
        <v>681202</v>
      </c>
      <c r="E151" s="356">
        <v>0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0</v>
      </c>
      <c r="N151" s="419">
        <v>0</v>
      </c>
      <c r="O151" s="419">
        <v>0</v>
      </c>
      <c r="P151" s="419">
        <v>0</v>
      </c>
      <c r="Q151" s="419">
        <v>0</v>
      </c>
      <c r="R151" s="419">
        <v>0</v>
      </c>
      <c r="S151" s="345"/>
      <c r="T151" s="361"/>
      <c r="U151" s="351"/>
      <c r="V151" s="351"/>
      <c r="W151" s="351"/>
      <c r="X151" s="351"/>
      <c r="Y151" s="363">
        <v>0</v>
      </c>
      <c r="Z151" s="363"/>
      <c r="AA151" s="363"/>
      <c r="AB151" s="363"/>
      <c r="AC151" s="363">
        <v>0</v>
      </c>
      <c r="AD151" s="355"/>
      <c r="AE151" s="334"/>
    </row>
    <row r="152" spans="1:31" s="352" customFormat="1" x14ac:dyDescent="0.2">
      <c r="A152" s="320" t="str">
        <f>IFERROR(VLOOKUP(B152,mapping_one_neo!A:B,2,FALSE),"")</f>
        <v>Outsourced business systems AU=0ADJ16</v>
      </c>
      <c r="B152" s="388" t="s">
        <v>104</v>
      </c>
      <c r="C152" s="353">
        <v>615625</v>
      </c>
      <c r="E152" s="356">
        <v>-3</v>
      </c>
      <c r="G152" s="419">
        <v>-0.25</v>
      </c>
      <c r="H152" s="419">
        <v>-0.25</v>
      </c>
      <c r="I152" s="419">
        <v>-0.25</v>
      </c>
      <c r="J152" s="419">
        <v>-0.25</v>
      </c>
      <c r="K152" s="419">
        <v>-0.25</v>
      </c>
      <c r="L152" s="419">
        <v>-0.25</v>
      </c>
      <c r="M152" s="419">
        <v>-0.25</v>
      </c>
      <c r="N152" s="419">
        <v>-0.25</v>
      </c>
      <c r="O152" s="419">
        <v>-0.25</v>
      </c>
      <c r="P152" s="419">
        <v>-0.25</v>
      </c>
      <c r="Q152" s="419">
        <v>-0.25</v>
      </c>
      <c r="R152" s="419">
        <v>-0.25</v>
      </c>
      <c r="S152" s="345"/>
      <c r="T152" s="361"/>
      <c r="U152" s="351"/>
      <c r="V152" s="351">
        <v>-0.75</v>
      </c>
      <c r="W152" s="351"/>
      <c r="X152" s="351"/>
      <c r="Y152" s="363">
        <v>-0.75</v>
      </c>
      <c r="Z152" s="363"/>
      <c r="AA152" s="363"/>
      <c r="AB152" s="363"/>
      <c r="AC152" s="363">
        <v>-0.75</v>
      </c>
      <c r="AD152" s="355"/>
      <c r="AE152" s="334"/>
    </row>
    <row r="153" spans="1:31" s="352" customFormat="1" x14ac:dyDescent="0.2">
      <c r="A153" s="320" t="str">
        <f>IFERROR(VLOOKUP(B153,mapping_one_neo!A:B,2,FALSE),"")</f>
        <v>WPP Business Services/IBM cost allocation</v>
      </c>
      <c r="B153" s="388" t="s">
        <v>105</v>
      </c>
      <c r="C153" s="353">
        <v>622617</v>
      </c>
      <c r="E153" s="356">
        <v>-22.998333333333335</v>
      </c>
      <c r="G153" s="419">
        <v>-1.9166666666666667</v>
      </c>
      <c r="H153" s="419">
        <v>-1.9163333333333334</v>
      </c>
      <c r="I153" s="419">
        <v>-1.9163333333333337</v>
      </c>
      <c r="J153" s="419">
        <v>-1.9163333333333341</v>
      </c>
      <c r="K153" s="419">
        <v>-1.9163333333333332</v>
      </c>
      <c r="L153" s="419">
        <v>-1.9163333333333323</v>
      </c>
      <c r="M153" s="419">
        <v>-1.9166666666666667</v>
      </c>
      <c r="N153" s="419">
        <v>-1.9166666666666667</v>
      </c>
      <c r="O153" s="419">
        <v>-1.9166666666666667</v>
      </c>
      <c r="P153" s="419">
        <v>-1.9166666666666667</v>
      </c>
      <c r="Q153" s="419">
        <v>-1.9166666666666667</v>
      </c>
      <c r="R153" s="419">
        <v>-1.9166666666666667</v>
      </c>
      <c r="S153" s="345"/>
      <c r="T153" s="361"/>
      <c r="U153" s="351"/>
      <c r="V153" s="351"/>
      <c r="W153" s="351"/>
      <c r="X153" s="351">
        <v>-3.8330000000000002</v>
      </c>
      <c r="Y153" s="363">
        <v>-3.8330000000000002</v>
      </c>
      <c r="Z153" s="363"/>
      <c r="AA153" s="363"/>
      <c r="AB153" s="363"/>
      <c r="AC153" s="363">
        <v>-3.8330000000000002</v>
      </c>
      <c r="AD153" s="355"/>
      <c r="AE153" s="334"/>
    </row>
    <row r="154" spans="1:31" s="387" customFormat="1" x14ac:dyDescent="0.2">
      <c r="A154" s="320">
        <f>IFERROR(VLOOKUP(B154,mapping_one_neo!A:B,2,FALSE),"")</f>
        <v>0</v>
      </c>
      <c r="B154" s="387" t="s">
        <v>106</v>
      </c>
      <c r="C154" s="392"/>
      <c r="E154" s="393">
        <v>-86.831784177777763</v>
      </c>
      <c r="G154" s="393">
        <v>-7.1260866666666667</v>
      </c>
      <c r="H154" s="393">
        <v>-7.205023333333334</v>
      </c>
      <c r="I154" s="393">
        <v>-7.1807533333333335</v>
      </c>
      <c r="J154" s="393">
        <v>-7.1653833333333328</v>
      </c>
      <c r="K154" s="393">
        <v>-7.1807533333333344</v>
      </c>
      <c r="L154" s="393">
        <v>-7.1653933333333324</v>
      </c>
      <c r="M154" s="393">
        <v>-7.298301807407408</v>
      </c>
      <c r="N154" s="393">
        <v>-7.298301807407408</v>
      </c>
      <c r="O154" s="393">
        <v>-7.298301807407408</v>
      </c>
      <c r="P154" s="393">
        <v>-7.298301807407408</v>
      </c>
      <c r="Q154" s="393">
        <v>-7.298301807407408</v>
      </c>
      <c r="R154" s="393">
        <v>-7.3168818074074045</v>
      </c>
      <c r="S154" s="349"/>
      <c r="T154" s="346"/>
      <c r="U154" s="393">
        <f>SUM(U144:U153)</f>
        <v>-10.73207</v>
      </c>
      <c r="V154" s="393">
        <f t="shared" ref="V154:AC154" si="11">SUM(V144:V153)</f>
        <v>-0.75</v>
      </c>
      <c r="W154" s="393">
        <f t="shared" si="11"/>
        <v>0</v>
      </c>
      <c r="X154" s="393">
        <f t="shared" si="11"/>
        <v>-3.8330000000000002</v>
      </c>
      <c r="Y154" s="393">
        <f t="shared" si="11"/>
        <v>-15.31507</v>
      </c>
      <c r="Z154" s="393">
        <f t="shared" si="11"/>
        <v>0</v>
      </c>
      <c r="AA154" s="393">
        <f t="shared" si="11"/>
        <v>0</v>
      </c>
      <c r="AB154" s="393">
        <f t="shared" si="11"/>
        <v>0</v>
      </c>
      <c r="AC154" s="393">
        <f t="shared" si="11"/>
        <v>-15.31507</v>
      </c>
      <c r="AD154" s="394"/>
      <c r="AE154" s="334"/>
    </row>
    <row r="155" spans="1:31" s="387" customFormat="1" x14ac:dyDescent="0.2">
      <c r="A155" s="320" t="str">
        <f>IFERROR(VLOOKUP(B155,mapping_one_neo!A:B,2,FALSE),"")</f>
        <v/>
      </c>
      <c r="C155" s="353"/>
      <c r="E155" s="397"/>
      <c r="G155" s="397"/>
      <c r="H155" s="397"/>
      <c r="I155" s="397"/>
      <c r="J155" s="397"/>
      <c r="K155" s="397"/>
      <c r="L155" s="397"/>
      <c r="M155" s="397"/>
      <c r="N155" s="397"/>
      <c r="O155" s="397"/>
      <c r="P155" s="397"/>
      <c r="Q155" s="397"/>
      <c r="R155" s="397"/>
      <c r="S155" s="349"/>
      <c r="T155" s="346"/>
      <c r="U155" s="397"/>
      <c r="V155" s="397"/>
      <c r="W155" s="397"/>
      <c r="X155" s="397"/>
      <c r="Y155" s="397"/>
      <c r="Z155" s="397"/>
      <c r="AA155" s="397"/>
      <c r="AB155" s="397"/>
      <c r="AC155" s="397"/>
      <c r="AD155" s="394"/>
      <c r="AE155" s="334"/>
    </row>
    <row r="156" spans="1:31" s="352" customFormat="1" x14ac:dyDescent="0.2">
      <c r="A156" s="320" t="str">
        <f>IFERROR(VLOOKUP(B156,mapping_one_neo!A:B,2,FALSE),"")</f>
        <v>Stationery/art &amp; materials AU=0.INP</v>
      </c>
      <c r="B156" s="388" t="s">
        <v>107</v>
      </c>
      <c r="C156" s="353" t="s">
        <v>158</v>
      </c>
      <c r="E156" s="356">
        <v>-1.5</v>
      </c>
      <c r="G156" s="419">
        <v>-0.125</v>
      </c>
      <c r="H156" s="419">
        <v>-0.125</v>
      </c>
      <c r="I156" s="419">
        <v>-0.125</v>
      </c>
      <c r="J156" s="419">
        <v>-0.125</v>
      </c>
      <c r="K156" s="419">
        <v>-0.125</v>
      </c>
      <c r="L156" s="419">
        <v>-0.125</v>
      </c>
      <c r="M156" s="419">
        <v>-0.125</v>
      </c>
      <c r="N156" s="419">
        <v>-0.125</v>
      </c>
      <c r="O156" s="419">
        <v>-0.125</v>
      </c>
      <c r="P156" s="419">
        <v>-0.125</v>
      </c>
      <c r="Q156" s="419">
        <v>-0.125</v>
      </c>
      <c r="R156" s="419">
        <v>-0.125</v>
      </c>
      <c r="S156" s="345"/>
      <c r="T156" s="361"/>
      <c r="U156" s="351">
        <v>-0.2</v>
      </c>
      <c r="V156" s="351"/>
      <c r="W156" s="351"/>
      <c r="X156" s="351"/>
      <c r="Y156" s="363">
        <v>-0.2</v>
      </c>
      <c r="Z156" s="363"/>
      <c r="AA156" s="363"/>
      <c r="AB156" s="363"/>
      <c r="AC156" s="363">
        <v>-0.2</v>
      </c>
      <c r="AD156" s="355"/>
      <c r="AE156" s="334"/>
    </row>
    <row r="157" spans="1:31" s="352" customFormat="1" x14ac:dyDescent="0.2">
      <c r="A157" s="320" t="str">
        <f>IFERROR(VLOOKUP(B157,mapping_one_neo!A:B,2,FALSE),"")</f>
        <v>Software/hardware expenses</v>
      </c>
      <c r="B157" s="388" t="s">
        <v>108</v>
      </c>
      <c r="C157" s="353">
        <v>606420</v>
      </c>
      <c r="E157" s="356">
        <v>-3.9547024999999989</v>
      </c>
      <c r="G157" s="419">
        <v>-0.44634000000000001</v>
      </c>
      <c r="H157" s="419">
        <v>0</v>
      </c>
      <c r="I157" s="419">
        <v>-0.68500000000000005</v>
      </c>
      <c r="J157" s="419">
        <v>0</v>
      </c>
      <c r="K157" s="419">
        <v>0</v>
      </c>
      <c r="L157" s="419">
        <v>-3.0450000000000088E-2</v>
      </c>
      <c r="M157" s="419">
        <v>-1</v>
      </c>
      <c r="N157" s="419">
        <v>-0.35858250000000003</v>
      </c>
      <c r="O157" s="419">
        <v>-0.35858250000000003</v>
      </c>
      <c r="P157" s="419">
        <v>-0.35858250000000003</v>
      </c>
      <c r="Q157" s="419">
        <v>-0.35858250000000003</v>
      </c>
      <c r="R157" s="419">
        <v>-0.35858250000000003</v>
      </c>
      <c r="S157" s="345"/>
      <c r="T157" s="361"/>
      <c r="U157" s="351"/>
      <c r="V157" s="351"/>
      <c r="W157" s="351"/>
      <c r="X157" s="351"/>
      <c r="Y157" s="363">
        <v>0</v>
      </c>
      <c r="Z157" s="363"/>
      <c r="AA157" s="363"/>
      <c r="AB157" s="363"/>
      <c r="AC157" s="363">
        <v>0</v>
      </c>
      <c r="AD157" s="355"/>
      <c r="AE157" s="334" t="s">
        <v>792</v>
      </c>
    </row>
    <row r="158" spans="1:31" s="352" customFormat="1" x14ac:dyDescent="0.2">
      <c r="A158" s="320" t="str">
        <f>IFERROR(VLOOKUP(B158,mapping_one_neo!A:B,2,FALSE),"")</f>
        <v>Stationery/art &amp; materials AU=0.INP</v>
      </c>
      <c r="B158" s="388" t="s">
        <v>109</v>
      </c>
      <c r="C158" s="353" t="s">
        <v>159</v>
      </c>
      <c r="E158" s="356">
        <v>-7.5</v>
      </c>
      <c r="G158" s="419">
        <v>-0.625</v>
      </c>
      <c r="H158" s="419">
        <v>-0.625</v>
      </c>
      <c r="I158" s="419">
        <v>-0.625</v>
      </c>
      <c r="J158" s="419">
        <v>-0.625</v>
      </c>
      <c r="K158" s="419">
        <v>-0.625</v>
      </c>
      <c r="L158" s="419">
        <v>-0.625</v>
      </c>
      <c r="M158" s="419">
        <v>-0.625</v>
      </c>
      <c r="N158" s="419">
        <v>-0.625</v>
      </c>
      <c r="O158" s="419">
        <v>-0.625</v>
      </c>
      <c r="P158" s="419">
        <v>-0.625</v>
      </c>
      <c r="Q158" s="419">
        <v>-0.625</v>
      </c>
      <c r="R158" s="419">
        <v>-0.625</v>
      </c>
      <c r="S158" s="345"/>
      <c r="T158" s="361"/>
      <c r="U158" s="351">
        <v>-1.266</v>
      </c>
      <c r="V158" s="351"/>
      <c r="W158" s="351"/>
      <c r="X158" s="351"/>
      <c r="Y158" s="363">
        <v>-1.266</v>
      </c>
      <c r="Z158" s="363"/>
      <c r="AA158" s="363"/>
      <c r="AB158" s="363"/>
      <c r="AC158" s="363">
        <v>-1.266</v>
      </c>
      <c r="AD158" s="355"/>
      <c r="AE158" s="334"/>
    </row>
    <row r="159" spans="1:31" s="352" customFormat="1" x14ac:dyDescent="0.2">
      <c r="A159" s="320" t="str">
        <f>IFERROR(VLOOKUP(B159,mapping_one_neo!A:B,2,FALSE),"")</f>
        <v>Other office costs AU=0.INP</v>
      </c>
      <c r="B159" s="388" t="s">
        <v>110</v>
      </c>
      <c r="C159" s="353">
        <v>658201</v>
      </c>
      <c r="E159" s="356">
        <v>-3.9603704333333338</v>
      </c>
      <c r="G159" s="419">
        <v>-0.37096289999999998</v>
      </c>
      <c r="H159" s="419">
        <v>-0.29503710000000005</v>
      </c>
      <c r="I159" s="419">
        <v>-0.33300000000000007</v>
      </c>
      <c r="J159" s="419">
        <v>-0.33299999999999996</v>
      </c>
      <c r="K159" s="419">
        <v>-0.33299999999999996</v>
      </c>
      <c r="L159" s="419">
        <v>-0.33300000000000018</v>
      </c>
      <c r="M159" s="419">
        <v>-0.33333333333333331</v>
      </c>
      <c r="N159" s="419">
        <v>-0.33333333333333331</v>
      </c>
      <c r="O159" s="419">
        <v>-0.33333333333333331</v>
      </c>
      <c r="P159" s="419">
        <v>-0.33333333333333331</v>
      </c>
      <c r="Q159" s="419">
        <v>-0.33333333333333331</v>
      </c>
      <c r="R159" s="419">
        <v>-0.29570376666666598</v>
      </c>
      <c r="S159" s="345"/>
      <c r="T159" s="361"/>
      <c r="U159" s="351">
        <v>-0.5</v>
      </c>
      <c r="V159" s="351"/>
      <c r="W159" s="351"/>
      <c r="X159" s="351"/>
      <c r="Y159" s="363">
        <v>-0.5</v>
      </c>
      <c r="Z159" s="363"/>
      <c r="AA159" s="363"/>
      <c r="AB159" s="363"/>
      <c r="AC159" s="363">
        <v>-0.5</v>
      </c>
      <c r="AD159" s="355"/>
      <c r="AE159" s="334"/>
    </row>
    <row r="160" spans="1:31" s="352" customFormat="1" x14ac:dyDescent="0.2">
      <c r="A160" s="320" t="str">
        <f>IFERROR(VLOOKUP(B160,mapping_one_neo!A:B,2,FALSE),"")</f>
        <v>Other office costs AU=0.INP</v>
      </c>
      <c r="B160" s="388" t="s">
        <v>111</v>
      </c>
      <c r="C160" s="353">
        <v>681122</v>
      </c>
      <c r="E160" s="356">
        <v>-7.2424500000000016</v>
      </c>
      <c r="G160" s="419">
        <v>-0.54120000000000001</v>
      </c>
      <c r="H160" s="419">
        <v>-0.50627999999999995</v>
      </c>
      <c r="I160" s="419">
        <v>-0.54116999999999993</v>
      </c>
      <c r="J160" s="419">
        <v>-0.62921000000000005</v>
      </c>
      <c r="K160" s="419">
        <v>-0.63658999999999999</v>
      </c>
      <c r="L160" s="419">
        <v>-0.61274000000000006</v>
      </c>
      <c r="M160" s="419">
        <v>-0.62921000000000005</v>
      </c>
      <c r="N160" s="419">
        <v>-0.62921000000000005</v>
      </c>
      <c r="O160" s="419">
        <v>-0.62921000000000005</v>
      </c>
      <c r="P160" s="419">
        <v>-0.62921000000000005</v>
      </c>
      <c r="Q160" s="419">
        <v>-0.62921000000000005</v>
      </c>
      <c r="R160" s="419">
        <v>-0.62921000000000005</v>
      </c>
      <c r="S160" s="345"/>
      <c r="T160" s="361"/>
      <c r="U160" s="351">
        <v>-1.76738</v>
      </c>
      <c r="V160" s="351"/>
      <c r="W160" s="351"/>
      <c r="X160" s="351"/>
      <c r="Y160" s="363">
        <v>-1.76738</v>
      </c>
      <c r="Z160" s="363"/>
      <c r="AA160" s="363"/>
      <c r="AB160" s="363"/>
      <c r="AC160" s="363">
        <v>-1.76738</v>
      </c>
      <c r="AD160" s="355"/>
      <c r="AE160" s="334"/>
    </row>
    <row r="161" spans="1:31" s="387" customFormat="1" x14ac:dyDescent="0.2">
      <c r="A161" s="320">
        <f>IFERROR(VLOOKUP(B161,mapping_one_neo!A:B,2,FALSE),"")</f>
        <v>0</v>
      </c>
      <c r="B161" s="387" t="s">
        <v>112</v>
      </c>
      <c r="C161" s="353"/>
      <c r="E161" s="393">
        <v>-24.157522933333336</v>
      </c>
      <c r="G161" s="393">
        <v>-2.1085029</v>
      </c>
      <c r="H161" s="393">
        <v>-1.5513170999999999</v>
      </c>
      <c r="I161" s="393">
        <v>-2.3091699999999999</v>
      </c>
      <c r="J161" s="393">
        <v>-1.71221</v>
      </c>
      <c r="K161" s="393">
        <v>-1.71959</v>
      </c>
      <c r="L161" s="393">
        <v>-1.7261900000000003</v>
      </c>
      <c r="M161" s="393">
        <v>-2.7125433333333335</v>
      </c>
      <c r="N161" s="393">
        <v>-2.0711258333333333</v>
      </c>
      <c r="O161" s="393">
        <v>-2.0711258333333333</v>
      </c>
      <c r="P161" s="393">
        <v>-2.0711258333333333</v>
      </c>
      <c r="Q161" s="393">
        <v>-2.0711258333333333</v>
      </c>
      <c r="R161" s="393">
        <v>-2.0334962666666661</v>
      </c>
      <c r="S161" s="349"/>
      <c r="T161" s="346"/>
      <c r="U161" s="393">
        <f>SUM(U156:U160)</f>
        <v>-3.7333799999999999</v>
      </c>
      <c r="V161" s="393">
        <f>SUM(V156:V160)</f>
        <v>0</v>
      </c>
      <c r="W161" s="393">
        <f t="shared" ref="W161:AC161" si="12">SUM(W156:W160)</f>
        <v>0</v>
      </c>
      <c r="X161" s="393">
        <f t="shared" si="12"/>
        <v>0</v>
      </c>
      <c r="Y161" s="393">
        <f t="shared" si="12"/>
        <v>-3.7333799999999999</v>
      </c>
      <c r="Z161" s="393">
        <f t="shared" si="12"/>
        <v>0</v>
      </c>
      <c r="AA161" s="393">
        <f t="shared" si="12"/>
        <v>0</v>
      </c>
      <c r="AB161" s="393">
        <f t="shared" si="12"/>
        <v>0</v>
      </c>
      <c r="AC161" s="393">
        <f t="shared" si="12"/>
        <v>-3.7333799999999999</v>
      </c>
      <c r="AD161" s="355"/>
      <c r="AE161" s="334"/>
    </row>
    <row r="162" spans="1:31" s="387" customFormat="1" x14ac:dyDescent="0.2">
      <c r="A162" s="320" t="str">
        <f>IFERROR(VLOOKUP(B162,mapping_one_neo!A:B,2,FALSE),"")</f>
        <v/>
      </c>
      <c r="C162" s="353"/>
      <c r="E162" s="397"/>
      <c r="G162" s="397"/>
      <c r="H162" s="397"/>
      <c r="I162" s="397"/>
      <c r="J162" s="397"/>
      <c r="K162" s="397"/>
      <c r="L162" s="397"/>
      <c r="M162" s="397"/>
      <c r="N162" s="397"/>
      <c r="O162" s="397"/>
      <c r="P162" s="397"/>
      <c r="Q162" s="397"/>
      <c r="R162" s="397"/>
      <c r="S162" s="349"/>
      <c r="T162" s="346"/>
      <c r="U162" s="397"/>
      <c r="V162" s="397"/>
      <c r="W162" s="397"/>
      <c r="X162" s="397"/>
      <c r="Y162" s="397"/>
      <c r="Z162" s="397"/>
      <c r="AA162" s="397"/>
      <c r="AB162" s="397"/>
      <c r="AC162" s="397"/>
      <c r="AD162" s="394"/>
      <c r="AE162" s="334"/>
    </row>
    <row r="163" spans="1:31" s="387" customFormat="1" x14ac:dyDescent="0.2">
      <c r="A163" s="320" t="str">
        <f>IFERROR(VLOOKUP(B163,mapping_one_neo!A:B,2,FALSE),"")</f>
        <v/>
      </c>
      <c r="C163" s="392"/>
      <c r="E163" s="397"/>
      <c r="G163" s="397"/>
      <c r="H163" s="397"/>
      <c r="I163" s="397"/>
      <c r="J163" s="397"/>
      <c r="K163" s="397"/>
      <c r="L163" s="397"/>
      <c r="M163" s="397"/>
      <c r="N163" s="397"/>
      <c r="O163" s="397"/>
      <c r="P163" s="397"/>
      <c r="Q163" s="397"/>
      <c r="R163" s="397"/>
      <c r="S163" s="349"/>
      <c r="T163" s="346"/>
      <c r="U163" s="397"/>
      <c r="V163" s="397"/>
      <c r="W163" s="397">
        <v>-3.1166666666666667</v>
      </c>
      <c r="X163" s="397"/>
      <c r="Y163" s="397">
        <v>-3.1166666666666667</v>
      </c>
      <c r="Z163" s="397"/>
      <c r="AA163" s="397"/>
      <c r="AB163" s="397"/>
      <c r="AC163" s="397">
        <v>-3.1166666666666667</v>
      </c>
      <c r="AD163" s="394"/>
      <c r="AE163" s="334"/>
    </row>
    <row r="164" spans="1:31" s="400" customFormat="1" x14ac:dyDescent="0.2">
      <c r="A164" s="320" t="str">
        <f>IFERROR(VLOOKUP(B164,mapping_one_neo!A:B,2,FALSE),"")</f>
        <v>vide</v>
      </c>
      <c r="B164" s="400" t="s">
        <v>113</v>
      </c>
      <c r="C164" s="402"/>
      <c r="E164" s="356">
        <v>-9.492231230702151</v>
      </c>
      <c r="G164" s="419">
        <v>-0.79101916666666661</v>
      </c>
      <c r="H164" s="419">
        <v>-0.79101916666666661</v>
      </c>
      <c r="I164" s="419">
        <v>-0.79101916666666661</v>
      </c>
      <c r="J164" s="419">
        <v>-0.79101916666666661</v>
      </c>
      <c r="K164" s="419">
        <v>-0.79101916666666661</v>
      </c>
      <c r="L164" s="419">
        <v>-0.79101916666666661</v>
      </c>
      <c r="M164" s="419">
        <v>-0.79101916666666661</v>
      </c>
      <c r="N164" s="419">
        <v>-0.79101916666666661</v>
      </c>
      <c r="O164" s="419">
        <v>-0.79101916666666661</v>
      </c>
      <c r="P164" s="419">
        <v>-0.79101916666666661</v>
      </c>
      <c r="Q164" s="419">
        <v>-0.79101916666666661</v>
      </c>
      <c r="R164" s="419">
        <v>-0.79102039736881802</v>
      </c>
      <c r="S164" s="345"/>
      <c r="T164" s="361"/>
      <c r="U164" s="426"/>
      <c r="V164" s="426"/>
      <c r="W164" s="426"/>
      <c r="X164" s="426"/>
      <c r="Y164" s="405"/>
      <c r="Z164" s="405"/>
      <c r="AA164" s="405"/>
      <c r="AB164" s="405"/>
      <c r="AC164" s="363"/>
      <c r="AD164" s="403"/>
      <c r="AE164" s="334"/>
    </row>
    <row r="165" spans="1:31" x14ac:dyDescent="0.2">
      <c r="A165" s="320" t="str">
        <f>IFERROR(VLOOKUP(B165,mapping_one_neo!A:B,2,FALSE),"")</f>
        <v/>
      </c>
      <c r="J165" s="335">
        <v>0</v>
      </c>
      <c r="M165" s="335">
        <v>0</v>
      </c>
      <c r="S165" s="349"/>
      <c r="T165" s="346"/>
      <c r="U165" s="351"/>
      <c r="V165" s="351"/>
      <c r="W165" s="351"/>
      <c r="X165" s="351"/>
      <c r="Y165" s="358"/>
      <c r="Z165" s="358"/>
      <c r="AA165" s="358"/>
      <c r="AB165" s="358"/>
      <c r="AC165" s="358"/>
      <c r="AD165" s="350"/>
    </row>
    <row r="166" spans="1:31" x14ac:dyDescent="0.2">
      <c r="A166" s="320">
        <f>IFERROR(VLOOKUP(B166,mapping_one_neo!A:B,2,FALSE),"")</f>
        <v>0</v>
      </c>
      <c r="B166" s="352" t="s">
        <v>114</v>
      </c>
      <c r="C166" s="353"/>
      <c r="E166" s="354">
        <v>-133.52886241588732</v>
      </c>
      <c r="G166" s="404">
        <v>-11.041608733333334</v>
      </c>
      <c r="H166" s="404">
        <v>-10.563359600000002</v>
      </c>
      <c r="I166" s="404">
        <v>-11.2969425</v>
      </c>
      <c r="J166" s="404">
        <v>-10.7846125</v>
      </c>
      <c r="K166" s="404">
        <v>-10.473662500000001</v>
      </c>
      <c r="L166" s="404">
        <v>-10.198602500000002</v>
      </c>
      <c r="M166" s="404">
        <v>-12.065687764197531</v>
      </c>
      <c r="N166" s="404">
        <v>-11.424270264197531</v>
      </c>
      <c r="O166" s="404">
        <v>-11.424270264197531</v>
      </c>
      <c r="P166" s="404">
        <v>-11.424270264197531</v>
      </c>
      <c r="Q166" s="404">
        <v>-11.424270264197531</v>
      </c>
      <c r="R166" s="404">
        <v>-11.407305261566346</v>
      </c>
      <c r="S166" s="349"/>
      <c r="T166" s="346"/>
      <c r="U166" s="354">
        <f t="shared" ref="U166:V166" si="13">U161+U154+U141+U138+U137+U163</f>
        <v>-15.715450000000001</v>
      </c>
      <c r="V166" s="354">
        <f t="shared" si="13"/>
        <v>-0.75</v>
      </c>
      <c r="W166" s="354">
        <f>W161+W154+W141+W138+W137+W163</f>
        <v>-3.1166666666666667</v>
      </c>
      <c r="X166" s="354">
        <f t="shared" ref="X166:AC166" si="14">X161+X154+X141+X138+X137+X163</f>
        <v>-5.7330000000000005</v>
      </c>
      <c r="Y166" s="357">
        <f t="shared" si="14"/>
        <v>-25.315116666666665</v>
      </c>
      <c r="Z166" s="357">
        <f t="shared" si="14"/>
        <v>0</v>
      </c>
      <c r="AA166" s="357">
        <f t="shared" si="14"/>
        <v>0</v>
      </c>
      <c r="AB166" s="357">
        <f t="shared" si="14"/>
        <v>0</v>
      </c>
      <c r="AC166" s="357">
        <f t="shared" si="14"/>
        <v>-25.315116666666665</v>
      </c>
      <c r="AD166" s="403"/>
    </row>
    <row r="167" spans="1:31" x14ac:dyDescent="0.2">
      <c r="A167" s="320" t="str">
        <f>IFERROR(VLOOKUP(B167,mapping_one_neo!A:B,2,FALSE),"")</f>
        <v/>
      </c>
      <c r="J167" s="335">
        <v>0</v>
      </c>
      <c r="M167" s="335">
        <v>0</v>
      </c>
      <c r="S167" s="349"/>
      <c r="T167" s="346"/>
      <c r="U167" s="351"/>
      <c r="V167" s="351"/>
      <c r="W167" s="351"/>
      <c r="X167" s="351"/>
      <c r="Y167" s="358"/>
      <c r="Z167" s="358"/>
      <c r="AA167" s="358"/>
      <c r="AB167" s="358"/>
      <c r="AC167" s="358"/>
      <c r="AD167" s="350"/>
    </row>
    <row r="168" spans="1:31" x14ac:dyDescent="0.2">
      <c r="A168" s="320" t="str">
        <f>IFERROR(VLOOKUP(B168,mapping_one_neo!A:B,2,FALSE),"")</f>
        <v/>
      </c>
      <c r="S168" s="349"/>
      <c r="T168" s="346"/>
      <c r="U168" s="351"/>
      <c r="V168" s="351"/>
      <c r="W168" s="351"/>
      <c r="X168" s="351"/>
      <c r="Y168" s="358"/>
      <c r="Z168" s="358"/>
      <c r="AA168" s="358"/>
      <c r="AB168" s="358"/>
      <c r="AC168" s="358"/>
      <c r="AD168" s="350"/>
    </row>
    <row r="169" spans="1:31" x14ac:dyDescent="0.2">
      <c r="A169" s="320">
        <f>IFERROR(VLOOKUP(B169,mapping_one_neo!A:B,2,FALSE),"")</f>
        <v>0</v>
      </c>
      <c r="B169" s="352" t="s">
        <v>115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8"/>
      <c r="AD169" s="350"/>
    </row>
    <row r="170" spans="1:31" s="352" customFormat="1" x14ac:dyDescent="0.2">
      <c r="A170" s="320" t="str">
        <f>IFERROR(VLOOKUP(B170,mapping_one_neo!A:B,2,FALSE),"")</f>
        <v>Insurance</v>
      </c>
      <c r="B170" s="352" t="s">
        <v>116</v>
      </c>
      <c r="C170" s="353" t="s">
        <v>160</v>
      </c>
      <c r="E170" s="356">
        <v>-0.69833333333333336</v>
      </c>
      <c r="G170" s="419">
        <v>-5.8000000000000003E-2</v>
      </c>
      <c r="H170" s="419">
        <v>-5.8000000000000003E-2</v>
      </c>
      <c r="I170" s="419">
        <v>-5.800000000000001E-2</v>
      </c>
      <c r="J170" s="419">
        <v>-5.7999999999999996E-2</v>
      </c>
      <c r="K170" s="419">
        <v>-5.8000000000000024E-2</v>
      </c>
      <c r="L170" s="419">
        <v>-5.7999999999999996E-2</v>
      </c>
      <c r="M170" s="419">
        <v>-5.8333333333333327E-2</v>
      </c>
      <c r="N170" s="419">
        <v>-5.8333333333333327E-2</v>
      </c>
      <c r="O170" s="419">
        <v>-5.8333333333333327E-2</v>
      </c>
      <c r="P170" s="419">
        <v>-5.8333333333333327E-2</v>
      </c>
      <c r="Q170" s="419">
        <v>-5.8333333333333327E-2</v>
      </c>
      <c r="R170" s="419">
        <v>-5.8666666666666603E-2</v>
      </c>
      <c r="S170" s="345"/>
      <c r="T170" s="361"/>
      <c r="U170" s="351">
        <v>-0.75</v>
      </c>
      <c r="V170" s="362"/>
      <c r="W170" s="362"/>
      <c r="X170" s="362"/>
      <c r="Y170" s="363">
        <v>-0.75</v>
      </c>
      <c r="Z170" s="363"/>
      <c r="AA170" s="363"/>
      <c r="AB170" s="363"/>
      <c r="AC170" s="363">
        <v>-0.75</v>
      </c>
      <c r="AD170" s="355"/>
      <c r="AE170" s="334"/>
    </row>
    <row r="171" spans="1:31" s="352" customFormat="1" x14ac:dyDescent="0.2">
      <c r="A171" s="320" t="str">
        <f>IFERROR(VLOOKUP(B171,mapping_one_neo!A:B,2,FALSE),"")</f>
        <v>Insurance</v>
      </c>
      <c r="B171" s="352" t="s">
        <v>117</v>
      </c>
      <c r="C171" s="353">
        <v>616021</v>
      </c>
      <c r="E171" s="356">
        <v>0</v>
      </c>
      <c r="G171" s="419">
        <v>0</v>
      </c>
      <c r="H171" s="419">
        <v>0</v>
      </c>
      <c r="I171" s="419">
        <v>0</v>
      </c>
      <c r="J171" s="419">
        <v>0</v>
      </c>
      <c r="K171" s="419">
        <v>0</v>
      </c>
      <c r="L171" s="419">
        <v>0</v>
      </c>
      <c r="M171" s="419">
        <v>0</v>
      </c>
      <c r="N171" s="419">
        <v>0</v>
      </c>
      <c r="O171" s="419">
        <v>0</v>
      </c>
      <c r="P171" s="419">
        <v>0</v>
      </c>
      <c r="Q171" s="419">
        <v>0</v>
      </c>
      <c r="R171" s="419">
        <v>0</v>
      </c>
      <c r="S171" s="345"/>
      <c r="T171" s="361"/>
      <c r="U171" s="351">
        <v>0</v>
      </c>
      <c r="V171" s="351">
        <v>0</v>
      </c>
      <c r="W171" s="351"/>
      <c r="X171" s="351"/>
      <c r="Y171" s="363">
        <v>0</v>
      </c>
      <c r="Z171" s="363"/>
      <c r="AA171" s="363"/>
      <c r="AB171" s="363"/>
      <c r="AC171" s="363">
        <v>0</v>
      </c>
      <c r="AD171" s="355"/>
      <c r="AE171" s="334"/>
    </row>
    <row r="172" spans="1:31" s="352" customFormat="1" x14ac:dyDescent="0.2">
      <c r="A172" s="320" t="str">
        <f>IFERROR(VLOOKUP(B172,mapping_one_neo!A:B,2,FALSE),"")</f>
        <v>Audit fees</v>
      </c>
      <c r="B172" s="352" t="s">
        <v>118</v>
      </c>
      <c r="C172" s="353">
        <v>622600</v>
      </c>
      <c r="E172" s="356">
        <v>-4</v>
      </c>
      <c r="G172" s="419">
        <v>-0.33333333333333331</v>
      </c>
      <c r="H172" s="419">
        <v>-0.33333333333333331</v>
      </c>
      <c r="I172" s="419">
        <v>-0.33333333333333337</v>
      </c>
      <c r="J172" s="419">
        <v>-0.33333333333333326</v>
      </c>
      <c r="K172" s="419">
        <v>-0.33333333333333326</v>
      </c>
      <c r="L172" s="419">
        <v>-0.33333333333333326</v>
      </c>
      <c r="M172" s="419">
        <v>-0.33333333333333326</v>
      </c>
      <c r="N172" s="419">
        <v>-0.33333333333333348</v>
      </c>
      <c r="O172" s="419">
        <v>-0.33333333333333331</v>
      </c>
      <c r="P172" s="419">
        <v>-0.33333333333333331</v>
      </c>
      <c r="Q172" s="419">
        <v>-0.33333333333333331</v>
      </c>
      <c r="R172" s="419">
        <v>-0.33333333333333331</v>
      </c>
      <c r="S172" s="345"/>
      <c r="T172" s="361"/>
      <c r="U172" s="351"/>
      <c r="V172" s="351">
        <v>-0.66666666666666663</v>
      </c>
      <c r="W172" s="351"/>
      <c r="X172" s="351"/>
      <c r="Y172" s="363">
        <v>-0.66666666666666663</v>
      </c>
      <c r="Z172" s="363"/>
      <c r="AA172" s="363"/>
      <c r="AB172" s="363"/>
      <c r="AC172" s="363">
        <v>-0.66666666666666663</v>
      </c>
      <c r="AD172" s="355"/>
      <c r="AE172" s="334"/>
    </row>
    <row r="173" spans="1:31" s="352" customFormat="1" x14ac:dyDescent="0.2">
      <c r="A173" s="320" t="str">
        <f>IFERROR(VLOOKUP(B173,mapping_one_neo!A:B,2,FALSE),"")</f>
        <v>Other finance &amp; general costs</v>
      </c>
      <c r="B173" s="352" t="s">
        <v>119</v>
      </c>
      <c r="C173" s="353">
        <v>618200</v>
      </c>
      <c r="E173" s="356">
        <v>-15.28218</v>
      </c>
      <c r="G173" s="419">
        <v>-0.86299999999999999</v>
      </c>
      <c r="H173" s="419">
        <v>-0.625</v>
      </c>
      <c r="I173" s="419">
        <v>-0.625</v>
      </c>
      <c r="J173" s="419">
        <v>-0.625</v>
      </c>
      <c r="K173" s="419">
        <v>-0.60273999999999983</v>
      </c>
      <c r="L173" s="419">
        <v>-0.61644000000000032</v>
      </c>
      <c r="M173" s="419">
        <v>-0.625</v>
      </c>
      <c r="N173" s="419">
        <v>-0.625</v>
      </c>
      <c r="O173" s="419">
        <v>-0.625</v>
      </c>
      <c r="P173" s="419">
        <v>-0.625</v>
      </c>
      <c r="Q173" s="419">
        <v>-0.625</v>
      </c>
      <c r="R173" s="419">
        <v>-8.1999999999999993</v>
      </c>
      <c r="S173" s="345"/>
      <c r="T173" s="361"/>
      <c r="U173" s="351">
        <v>-1.25</v>
      </c>
      <c r="V173" s="351"/>
      <c r="W173" s="351"/>
      <c r="X173" s="351"/>
      <c r="Y173" s="363">
        <v>-1.25</v>
      </c>
      <c r="Z173" s="363"/>
      <c r="AA173" s="363"/>
      <c r="AB173" s="363"/>
      <c r="AC173" s="363">
        <v>-1.25</v>
      </c>
      <c r="AD173" s="355"/>
      <c r="AE173" s="334"/>
    </row>
    <row r="174" spans="1:31" s="352" customFormat="1" x14ac:dyDescent="0.2">
      <c r="A174" s="320" t="str">
        <f>IFERROR(VLOOKUP(B174,mapping_one_neo!A:B,2,FALSE),"")</f>
        <v>Bank charges</v>
      </c>
      <c r="B174" s="352" t="s">
        <v>120</v>
      </c>
      <c r="C174" s="353">
        <v>627800</v>
      </c>
      <c r="E174" s="356">
        <v>-4.3593520000000003</v>
      </c>
      <c r="G174" s="419">
        <v>-0.31032999999999999</v>
      </c>
      <c r="H174" s="419">
        <v>-0.26900000000000002</v>
      </c>
      <c r="I174" s="419">
        <v>-0.51026000000000005</v>
      </c>
      <c r="J174" s="419">
        <v>-0.48784999999999989</v>
      </c>
      <c r="K174" s="419">
        <v>-0.26075000000000004</v>
      </c>
      <c r="L174" s="419">
        <v>-0.46876000000000007</v>
      </c>
      <c r="M174" s="419">
        <v>-0.34206700000000001</v>
      </c>
      <c r="N174" s="419">
        <v>-0.34206700000000001</v>
      </c>
      <c r="O174" s="419">
        <v>-0.34206700000000001</v>
      </c>
      <c r="P174" s="419">
        <v>-0.34206700000000001</v>
      </c>
      <c r="Q174" s="419">
        <v>-0.34206700000000001</v>
      </c>
      <c r="R174" s="419">
        <v>-0.34206700000000001</v>
      </c>
      <c r="S174" s="345"/>
      <c r="T174" s="361"/>
      <c r="U174" s="351">
        <v>-0.47704000000000002</v>
      </c>
      <c r="V174" s="351"/>
      <c r="W174" s="351"/>
      <c r="X174" s="351"/>
      <c r="Y174" s="363">
        <v>-0.47704000000000002</v>
      </c>
      <c r="Z174" s="363"/>
      <c r="AA174" s="363"/>
      <c r="AB174" s="363"/>
      <c r="AC174" s="363">
        <v>-0.47704000000000002</v>
      </c>
      <c r="AD174" s="355"/>
      <c r="AE174" s="334"/>
    </row>
    <row r="175" spans="1:31" s="352" customFormat="1" x14ac:dyDescent="0.2">
      <c r="A175" s="320" t="str">
        <f>IFERROR(VLOOKUP(B175,mapping_one_neo!A:B,2,FALSE),"")</f>
        <v>Other finance &amp; general costs</v>
      </c>
      <c r="B175" s="352" t="s">
        <v>756</v>
      </c>
      <c r="C175" s="353" t="s">
        <v>757</v>
      </c>
      <c r="E175" s="356">
        <v>0</v>
      </c>
      <c r="G175" s="419">
        <v>0</v>
      </c>
      <c r="H175" s="419">
        <v>0</v>
      </c>
      <c r="I175" s="419">
        <v>0</v>
      </c>
      <c r="J175" s="419">
        <v>-0.33400000000000002</v>
      </c>
      <c r="K175" s="419">
        <v>0.24400000000000002</v>
      </c>
      <c r="L175" s="419">
        <v>0.09</v>
      </c>
      <c r="M175" s="419"/>
      <c r="N175" s="419"/>
      <c r="O175" s="419"/>
      <c r="P175" s="419"/>
      <c r="Q175" s="419"/>
      <c r="R175" s="419"/>
      <c r="S175" s="345"/>
      <c r="T175" s="361"/>
      <c r="U175" s="351"/>
      <c r="V175" s="351"/>
      <c r="W175" s="351"/>
      <c r="X175" s="351"/>
      <c r="Y175" s="363">
        <v>0</v>
      </c>
      <c r="Z175" s="363"/>
      <c r="AA175" s="363"/>
      <c r="AB175" s="363"/>
      <c r="AC175" s="363">
        <v>0</v>
      </c>
      <c r="AD175" s="355"/>
      <c r="AE175" s="334"/>
    </row>
    <row r="176" spans="1:31" s="352" customFormat="1" x14ac:dyDescent="0.2">
      <c r="A176" s="320" t="str">
        <f>IFERROR(VLOOKUP(B176,mapping_one_neo!A:B,2,FALSE),"")</f>
        <v>Other finance &amp; general costs</v>
      </c>
      <c r="B176" s="352" t="s">
        <v>121</v>
      </c>
      <c r="C176" s="353">
        <v>622605</v>
      </c>
      <c r="E176" s="356">
        <v>-1.1000000000000001</v>
      </c>
      <c r="G176" s="419">
        <v>0</v>
      </c>
      <c r="H176" s="419">
        <v>0</v>
      </c>
      <c r="I176" s="419">
        <v>0</v>
      </c>
      <c r="J176" s="419">
        <v>0</v>
      </c>
      <c r="K176" s="419">
        <v>-0.3</v>
      </c>
      <c r="L176" s="419">
        <v>0</v>
      </c>
      <c r="M176" s="419">
        <v>0</v>
      </c>
      <c r="N176" s="419">
        <v>0</v>
      </c>
      <c r="O176" s="419">
        <v>-0.4</v>
      </c>
      <c r="P176" s="419"/>
      <c r="Q176" s="419"/>
      <c r="R176" s="419">
        <v>-0.4</v>
      </c>
      <c r="S176" s="345"/>
      <c r="T176" s="361"/>
      <c r="U176" s="351"/>
      <c r="V176" s="351"/>
      <c r="W176" s="351"/>
      <c r="X176" s="351"/>
      <c r="Y176" s="363"/>
      <c r="Z176" s="363"/>
      <c r="AA176" s="363"/>
      <c r="AB176" s="363"/>
      <c r="AC176" s="363"/>
      <c r="AD176" s="355"/>
      <c r="AE176" s="334"/>
    </row>
    <row r="177" spans="1:31" s="352" customFormat="1" x14ac:dyDescent="0.2">
      <c r="A177" s="320" t="str">
        <f>IFERROR(VLOOKUP(B177,mapping_one_neo!A:B,2,FALSE),"")</f>
        <v>I/G exchange gains/(losses)</v>
      </c>
      <c r="B177" s="352" t="s">
        <v>793</v>
      </c>
      <c r="C177" s="353">
        <v>766000</v>
      </c>
      <c r="E177" s="356">
        <v>13.01343</v>
      </c>
      <c r="G177" s="419">
        <v>4.4179300000000001</v>
      </c>
      <c r="H177" s="419">
        <v>7.4658999999999995</v>
      </c>
      <c r="I177" s="419">
        <v>0.92795000000000094</v>
      </c>
      <c r="J177" s="419"/>
      <c r="K177" s="419">
        <v>5.7760000000000034E-2</v>
      </c>
      <c r="L177" s="419">
        <v>0.14388999999999896</v>
      </c>
      <c r="M177" s="419"/>
      <c r="N177" s="419"/>
      <c r="O177" s="419"/>
      <c r="P177" s="419"/>
      <c r="Q177" s="419"/>
      <c r="R177" s="419"/>
      <c r="S177" s="345"/>
      <c r="T177" s="361"/>
      <c r="U177" s="351"/>
      <c r="V177" s="351"/>
      <c r="W177" s="351"/>
      <c r="X177" s="351"/>
      <c r="Y177" s="363"/>
      <c r="Z177" s="363"/>
      <c r="AA177" s="363"/>
      <c r="AB177" s="363"/>
      <c r="AC177" s="363"/>
      <c r="AD177" s="355"/>
      <c r="AE177" s="334"/>
    </row>
    <row r="178" spans="1:31" s="352" customFormat="1" x14ac:dyDescent="0.2">
      <c r="A178" s="320">
        <f>IFERROR(VLOOKUP(B178,mapping_one_neo!A:B,2,FALSE),"")</f>
        <v>0</v>
      </c>
      <c r="B178" s="352" t="s">
        <v>127</v>
      </c>
      <c r="C178" s="353"/>
      <c r="E178" s="356">
        <v>0</v>
      </c>
      <c r="G178" s="419">
        <v>0</v>
      </c>
      <c r="H178" s="419">
        <v>0</v>
      </c>
      <c r="I178" s="419">
        <v>0</v>
      </c>
      <c r="J178" s="419">
        <v>0</v>
      </c>
      <c r="K178" s="419">
        <v>0</v>
      </c>
      <c r="L178" s="419">
        <v>0</v>
      </c>
      <c r="M178" s="419"/>
      <c r="N178" s="419"/>
      <c r="O178" s="419"/>
      <c r="P178" s="419"/>
      <c r="Q178" s="419"/>
      <c r="R178" s="419"/>
      <c r="S178" s="345"/>
      <c r="T178" s="361"/>
      <c r="U178" s="351"/>
      <c r="V178" s="351"/>
      <c r="W178" s="351"/>
      <c r="X178" s="351"/>
      <c r="Y178" s="363"/>
      <c r="Z178" s="363"/>
      <c r="AA178" s="363"/>
      <c r="AB178" s="363"/>
      <c r="AC178" s="363"/>
      <c r="AD178" s="355"/>
      <c r="AE178" s="334"/>
    </row>
    <row r="179" spans="1:31" x14ac:dyDescent="0.2">
      <c r="A179" s="320">
        <f>IFERROR(VLOOKUP(B179,mapping_one_neo!A:B,2,FALSE),"")</f>
        <v>0</v>
      </c>
      <c r="B179" s="352" t="s">
        <v>122</v>
      </c>
      <c r="C179" s="353"/>
      <c r="E179" s="354">
        <v>-12.426435333333337</v>
      </c>
      <c r="G179" s="354">
        <v>2.8532666666666668</v>
      </c>
      <c r="H179" s="354">
        <v>6.1805666666666657</v>
      </c>
      <c r="I179" s="354">
        <v>-0.59864333333333253</v>
      </c>
      <c r="J179" s="354">
        <v>-1.8381833333333333</v>
      </c>
      <c r="K179" s="354">
        <v>-1.2530633333333332</v>
      </c>
      <c r="L179" s="354">
        <v>-1.2426433333333347</v>
      </c>
      <c r="M179" s="354">
        <v>-1.3587336666666667</v>
      </c>
      <c r="N179" s="354">
        <v>-1.3587336666666667</v>
      </c>
      <c r="O179" s="354">
        <v>-1.7587336666666666</v>
      </c>
      <c r="P179" s="354">
        <v>-1.3587336666666667</v>
      </c>
      <c r="Q179" s="354">
        <v>-1.3587336666666667</v>
      </c>
      <c r="R179" s="354">
        <v>-9.3340669999999992</v>
      </c>
      <c r="S179" s="349"/>
      <c r="T179" s="346"/>
      <c r="U179" s="354">
        <f>SUM(U170:U176)</f>
        <v>-2.4770400000000001</v>
      </c>
      <c r="V179" s="354">
        <f t="shared" ref="V179:AC179" si="15">SUM(V170:V176)</f>
        <v>-0.66666666666666663</v>
      </c>
      <c r="W179" s="354">
        <f t="shared" si="15"/>
        <v>0</v>
      </c>
      <c r="X179" s="354">
        <f t="shared" si="15"/>
        <v>0</v>
      </c>
      <c r="Y179" s="354">
        <f t="shared" si="15"/>
        <v>-3.1437066666666666</v>
      </c>
      <c r="Z179" s="354">
        <f t="shared" si="15"/>
        <v>0</v>
      </c>
      <c r="AA179" s="354">
        <f t="shared" si="15"/>
        <v>0</v>
      </c>
      <c r="AB179" s="354">
        <f t="shared" si="15"/>
        <v>0</v>
      </c>
      <c r="AC179" s="354">
        <f t="shared" si="15"/>
        <v>-3.1437066666666666</v>
      </c>
      <c r="AD179" s="350"/>
    </row>
    <row r="180" spans="1:31" x14ac:dyDescent="0.2">
      <c r="A180" s="320" t="str">
        <f>IFERROR(VLOOKUP(B180,mapping_one_neo!A:B,2,FALSE),"")</f>
        <v/>
      </c>
      <c r="S180" s="349"/>
      <c r="T180" s="346"/>
      <c r="U180" s="351"/>
      <c r="V180" s="351"/>
      <c r="W180" s="351"/>
      <c r="X180" s="351"/>
      <c r="Y180" s="358"/>
      <c r="Z180" s="358"/>
      <c r="AA180" s="358"/>
      <c r="AB180" s="358"/>
      <c r="AC180" s="358"/>
      <c r="AD180" s="350"/>
    </row>
    <row r="181" spans="1:31" s="352" customFormat="1" x14ac:dyDescent="0.2">
      <c r="A181" s="320">
        <f>IFERROR(VLOOKUP(B181,mapping_one_neo!A:B,2,FALSE),"")</f>
        <v>0</v>
      </c>
      <c r="B181" s="352" t="s">
        <v>123</v>
      </c>
      <c r="C181" s="353"/>
      <c r="E181" s="356">
        <v>-1056.4001456871595</v>
      </c>
      <c r="G181" s="356">
        <v>-72.381549166666659</v>
      </c>
      <c r="H181" s="356">
        <v>-77.538119166666675</v>
      </c>
      <c r="I181" s="356">
        <v>-87.084399166666671</v>
      </c>
      <c r="J181" s="356">
        <v>-83.282141759259233</v>
      </c>
      <c r="K181" s="356">
        <v>-81.486561759259217</v>
      </c>
      <c r="L181" s="356">
        <v>-79.562363981481568</v>
      </c>
      <c r="M181" s="356">
        <v>-101.4223185968211</v>
      </c>
      <c r="N181" s="356">
        <v>-91.743487902376756</v>
      </c>
      <c r="O181" s="356">
        <v>-90.708533423210099</v>
      </c>
      <c r="P181" s="356">
        <v>-91.704564673210086</v>
      </c>
      <c r="Q181" s="356">
        <v>-90.004564673210098</v>
      </c>
      <c r="R181" s="356">
        <v>-109.48154141833135</v>
      </c>
      <c r="S181" s="349"/>
      <c r="T181" s="346"/>
      <c r="U181" s="354">
        <f>U58+U81+U102+U135+U166+U179</f>
        <v>-107.34235000000001</v>
      </c>
      <c r="V181" s="354">
        <f t="shared" ref="V181:AC181" si="16">V58+V81+V102+V135+V166+V179</f>
        <v>-48.511289999999995</v>
      </c>
      <c r="W181" s="354">
        <f t="shared" si="16"/>
        <v>-3.1166666666666667</v>
      </c>
      <c r="X181" s="354">
        <f t="shared" si="16"/>
        <v>-36.992943333333336</v>
      </c>
      <c r="Y181" s="357">
        <f t="shared" si="16"/>
        <v>-195.96324999999999</v>
      </c>
      <c r="Z181" s="357">
        <f t="shared" si="16"/>
        <v>0</v>
      </c>
      <c r="AA181" s="357">
        <f t="shared" si="16"/>
        <v>0</v>
      </c>
      <c r="AB181" s="357">
        <f t="shared" si="16"/>
        <v>0</v>
      </c>
      <c r="AC181" s="357">
        <f t="shared" si="16"/>
        <v>-195.96324999999999</v>
      </c>
      <c r="AD181" s="355"/>
      <c r="AE181" s="334"/>
    </row>
    <row r="182" spans="1:31" x14ac:dyDescent="0.2">
      <c r="A182" s="320" t="str">
        <f>IFERROR(VLOOKUP(B182,mapping_one_neo!A:B,2,FALSE),"")</f>
        <v/>
      </c>
      <c r="S182" s="349"/>
      <c r="T182" s="346"/>
      <c r="U182" s="351"/>
      <c r="V182" s="351"/>
      <c r="W182" s="351"/>
      <c r="X182" s="351"/>
      <c r="Y182" s="358"/>
      <c r="Z182" s="358"/>
      <c r="AA182" s="358"/>
      <c r="AB182" s="358"/>
      <c r="AC182" s="358"/>
      <c r="AD182" s="350"/>
    </row>
    <row r="183" spans="1:31" x14ac:dyDescent="0.2">
      <c r="A183" s="320" t="str">
        <f>IFERROR(VLOOKUP(B183,mapping_one_neo!A:B,2,FALSE),"")</f>
        <v>Country overhead AU=0.INP Neo</v>
      </c>
      <c r="B183" s="352" t="s">
        <v>124</v>
      </c>
      <c r="C183" s="337" t="s">
        <v>768</v>
      </c>
      <c r="E183" s="356">
        <v>-562.73365000000001</v>
      </c>
      <c r="G183" s="356">
        <v>-46.894470833333337</v>
      </c>
      <c r="H183" s="356">
        <v>-46.894470833333337</v>
      </c>
      <c r="I183" s="356">
        <v>-46.894470833333337</v>
      </c>
      <c r="J183" s="356">
        <v>-46.894470833333337</v>
      </c>
      <c r="K183" s="356">
        <v>-46.894470833333337</v>
      </c>
      <c r="L183" s="356">
        <v>-46.894470833333337</v>
      </c>
      <c r="M183" s="356">
        <v>-46.894470833333337</v>
      </c>
      <c r="N183" s="356">
        <v>-46.894470833333337</v>
      </c>
      <c r="O183" s="356">
        <v>-46.894470833333337</v>
      </c>
      <c r="P183" s="356">
        <v>-46.894470833333337</v>
      </c>
      <c r="Q183" s="356">
        <v>-46.894470833333337</v>
      </c>
      <c r="R183" s="356">
        <v>-46.894470833333337</v>
      </c>
      <c r="S183" s="349"/>
      <c r="T183" s="346"/>
      <c r="U183" s="351">
        <v>-7.8339999999999996</v>
      </c>
      <c r="V183" s="351">
        <v>0</v>
      </c>
      <c r="W183" s="351">
        <v>-80.016000000000005</v>
      </c>
      <c r="X183" s="351">
        <v>0</v>
      </c>
      <c r="Y183" s="358">
        <v>-87.850000000000009</v>
      </c>
      <c r="Z183" s="358"/>
      <c r="AA183" s="358"/>
      <c r="AB183" s="358"/>
      <c r="AC183" s="363">
        <v>-87.850000000000009</v>
      </c>
      <c r="AD183" s="350"/>
    </row>
    <row r="184" spans="1:31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8"/>
      <c r="AD184" s="350"/>
    </row>
    <row r="185" spans="1:31" s="352" customFormat="1" ht="13.5" thickBot="1" x14ac:dyDescent="0.25">
      <c r="A185" s="320">
        <f>IFERROR(VLOOKUP(B185,mapping_one_neo!A:B,2,FALSE),"")</f>
        <v>0</v>
      </c>
      <c r="B185" s="352" t="s">
        <v>125</v>
      </c>
      <c r="C185" s="353"/>
      <c r="E185" s="406">
        <v>1064.7890899761505</v>
      </c>
      <c r="G185" s="407">
        <v>-47.638120017778</v>
      </c>
      <c r="H185" s="407">
        <v>66.287604982221978</v>
      </c>
      <c r="I185" s="407">
        <v>60.890894982221901</v>
      </c>
      <c r="J185" s="407">
        <v>121.09979912740795</v>
      </c>
      <c r="K185" s="407">
        <v>107.85232907407365</v>
      </c>
      <c r="L185" s="407">
        <v>131.96869745185273</v>
      </c>
      <c r="M185" s="407">
        <v>11.106425399242518</v>
      </c>
      <c r="N185" s="407">
        <v>75.889422760352915</v>
      </c>
      <c r="O185" s="407">
        <v>216.34490612047261</v>
      </c>
      <c r="P185" s="407">
        <v>127.9979051561865</v>
      </c>
      <c r="Q185" s="407">
        <v>124.69790515618649</v>
      </c>
      <c r="R185" s="407">
        <v>67.698319783708541</v>
      </c>
      <c r="S185" s="349"/>
      <c r="T185" s="346"/>
      <c r="U185" s="406">
        <f>U6+U49+U181+U183</f>
        <v>99.843600000000094</v>
      </c>
      <c r="V185" s="406">
        <f t="shared" ref="V185:AC185" si="17">V6+V49+V181+V183</f>
        <v>-26.732899999999994</v>
      </c>
      <c r="W185" s="406">
        <f t="shared" si="17"/>
        <v>-83.132666666666665</v>
      </c>
      <c r="X185" s="406">
        <f t="shared" si="17"/>
        <v>-38.301871333333338</v>
      </c>
      <c r="Y185" s="411">
        <f t="shared" si="17"/>
        <v>-48.323837999999867</v>
      </c>
      <c r="Z185" s="411">
        <f t="shared" si="17"/>
        <v>840.63126999999997</v>
      </c>
      <c r="AA185" s="411">
        <f t="shared" si="17"/>
        <v>840.63126999999997</v>
      </c>
      <c r="AB185" s="411">
        <f t="shared" si="17"/>
        <v>840.63126999999997</v>
      </c>
      <c r="AC185" s="411">
        <f t="shared" si="17"/>
        <v>-48.323837999999867</v>
      </c>
      <c r="AD185" s="355"/>
      <c r="AE185" s="334"/>
    </row>
    <row r="186" spans="1:31" s="408" customFormat="1" ht="13.5" thickTop="1" x14ac:dyDescent="0.2">
      <c r="A186" s="320" t="str">
        <f>IFERROR(VLOOKUP(B186,mapping_one_neo!A:B,2,FALSE),"")</f>
        <v/>
      </c>
      <c r="E186" s="409">
        <v>0.17023361408393931</v>
      </c>
      <c r="G186" s="408">
        <v>-0.1395572912694007</v>
      </c>
      <c r="H186" s="408">
        <v>0.14595496269585756</v>
      </c>
      <c r="I186" s="408">
        <v>0.12442763665003939</v>
      </c>
      <c r="J186" s="408">
        <v>0.23553786205916724</v>
      </c>
      <c r="K186" s="408">
        <v>0.20834089102311387</v>
      </c>
      <c r="L186" s="408">
        <v>0.23022728151277719</v>
      </c>
      <c r="M186" s="408">
        <v>2.296659815619486E-2</v>
      </c>
      <c r="N186" s="408">
        <v>0.14945030311906116</v>
      </c>
      <c r="O186" s="408">
        <v>0.35450467469009223</v>
      </c>
      <c r="P186" s="408">
        <v>0.22213063957647869</v>
      </c>
      <c r="Q186" s="408">
        <v>0.21829793772579228</v>
      </c>
      <c r="R186" s="408">
        <v>0.10992658010645354</v>
      </c>
      <c r="S186" s="349"/>
      <c r="T186" s="346"/>
      <c r="U186" s="427">
        <v>0.10138171547854044</v>
      </c>
      <c r="V186" s="427" t="e">
        <v>#DIV/0!</v>
      </c>
      <c r="W186" s="427" t="e">
        <v>#DIV/0!</v>
      </c>
      <c r="X186" s="427" t="e">
        <v>#DIV/0!</v>
      </c>
      <c r="Y186" s="427">
        <v>-0.11464460809174173</v>
      </c>
      <c r="Z186" s="427"/>
      <c r="AA186" s="427"/>
      <c r="AB186" s="427" t="e">
        <v>#DIV/0!</v>
      </c>
      <c r="AC186" s="427">
        <v>-0.11464460809174173</v>
      </c>
      <c r="AD186" s="410"/>
      <c r="AE186" s="334"/>
    </row>
    <row r="187" spans="1:31" x14ac:dyDescent="0.2">
      <c r="A187" s="320" t="str">
        <f>IFERROR(VLOOKUP(B187,mapping_one_neo!A:B,2,FALSE),"")</f>
        <v/>
      </c>
      <c r="S187" s="349"/>
      <c r="T187" s="346"/>
      <c r="U187" s="351"/>
      <c r="V187" s="351"/>
      <c r="W187" s="351"/>
      <c r="X187" s="351"/>
      <c r="Y187" s="358"/>
      <c r="Z187" s="358"/>
      <c r="AA187" s="358"/>
      <c r="AB187" s="358"/>
      <c r="AC187" s="358"/>
      <c r="AD187" s="350"/>
    </row>
    <row r="188" spans="1:31" x14ac:dyDescent="0.2">
      <c r="A188" s="320" t="str">
        <f>IFERROR(VLOOKUP(B188,mapping_one_neo!A:B,2,FALSE),"")</f>
        <v>I/G exchange gains/(losses)</v>
      </c>
      <c r="B188" s="352" t="s">
        <v>126</v>
      </c>
      <c r="S188" s="349"/>
      <c r="T188" s="346"/>
      <c r="U188" s="428">
        <v>0.20602999999999999</v>
      </c>
      <c r="V188" s="412">
        <v>0</v>
      </c>
      <c r="W188" s="412">
        <v>0</v>
      </c>
      <c r="X188" s="412">
        <v>0</v>
      </c>
      <c r="Y188" s="401">
        <v>0.20602999999999999</v>
      </c>
      <c r="Z188" s="401"/>
      <c r="AA188" s="401"/>
      <c r="AB188" s="401"/>
      <c r="AC188" s="429">
        <v>0.20602999999999999</v>
      </c>
      <c r="AD188" s="350"/>
    </row>
    <row r="189" spans="1:31" x14ac:dyDescent="0.2">
      <c r="A189" s="320" t="str">
        <f>IFERROR(VLOOKUP(B189,mapping_one_neo!A:B,2,FALSE),"")</f>
        <v>I/G exchange gains/(losses)</v>
      </c>
      <c r="B189" s="334" t="s">
        <v>126</v>
      </c>
      <c r="C189" s="337">
        <v>768003</v>
      </c>
      <c r="G189" s="335">
        <v>-46.894470833333337</v>
      </c>
      <c r="S189" s="349"/>
      <c r="T189" s="346"/>
      <c r="U189" s="430">
        <v>0.13264000000000001</v>
      </c>
      <c r="V189" s="351"/>
      <c r="W189" s="351"/>
      <c r="X189" s="351"/>
      <c r="Y189" s="358"/>
      <c r="Z189" s="358"/>
      <c r="AA189" s="358"/>
      <c r="AB189" s="358"/>
      <c r="AC189" s="431">
        <v>0</v>
      </c>
      <c r="AD189" s="350"/>
    </row>
    <row r="190" spans="1:31" x14ac:dyDescent="0.2">
      <c r="A190" s="320">
        <f>IFERROR(VLOOKUP(B190,mapping_one_neo!A:B,2,FALSE),"")</f>
        <v>0</v>
      </c>
      <c r="B190" s="334" t="s">
        <v>127</v>
      </c>
      <c r="C190" s="337">
        <v>758000</v>
      </c>
      <c r="S190" s="349"/>
      <c r="T190" s="346"/>
      <c r="U190" s="432">
        <v>7.3389999999999997E-2</v>
      </c>
      <c r="V190" s="413"/>
      <c r="W190" s="413"/>
      <c r="X190" s="413"/>
      <c r="Y190" s="433"/>
      <c r="Z190" s="433"/>
      <c r="AA190" s="433"/>
      <c r="AB190" s="433"/>
      <c r="AC190" s="434">
        <v>0</v>
      </c>
      <c r="AD190" s="350"/>
    </row>
    <row r="191" spans="1:31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8"/>
      <c r="AD191" s="350"/>
    </row>
    <row r="192" spans="1:31" x14ac:dyDescent="0.2">
      <c r="A192" s="320" t="str">
        <f>IFERROR(VLOOKUP(B192,mapping_one_neo!A:B,2,FALSE),"")</f>
        <v>I/G exchange gains/(losses)</v>
      </c>
      <c r="B192" s="352" t="s">
        <v>128</v>
      </c>
      <c r="S192" s="349"/>
      <c r="T192" s="346"/>
      <c r="U192" s="428">
        <v>-1.719E-2</v>
      </c>
      <c r="V192" s="412">
        <v>0</v>
      </c>
      <c r="W192" s="412">
        <v>0</v>
      </c>
      <c r="X192" s="412">
        <v>0</v>
      </c>
      <c r="Y192" s="401">
        <v>-1.719E-2</v>
      </c>
      <c r="Z192" s="401"/>
      <c r="AA192" s="401"/>
      <c r="AB192" s="401"/>
      <c r="AC192" s="429">
        <v>-1.719E-2</v>
      </c>
      <c r="AD192" s="350"/>
    </row>
    <row r="193" spans="1:31" x14ac:dyDescent="0.2">
      <c r="A193" s="320" t="str">
        <f>IFERROR(VLOOKUP(B193,mapping_one_neo!A:B,2,FALSE),"")</f>
        <v>I/G exchange gains/(losses)</v>
      </c>
      <c r="B193" s="334" t="s">
        <v>129</v>
      </c>
      <c r="C193" s="337">
        <v>666000</v>
      </c>
      <c r="S193" s="349"/>
      <c r="T193" s="346"/>
      <c r="U193" s="430">
        <v>-1.7219999999999999E-2</v>
      </c>
      <c r="V193" s="351"/>
      <c r="W193" s="351"/>
      <c r="X193" s="351"/>
      <c r="Y193" s="358"/>
      <c r="Z193" s="358"/>
      <c r="AA193" s="358"/>
      <c r="AB193" s="358"/>
      <c r="AC193" s="431">
        <v>0</v>
      </c>
      <c r="AD193" s="350"/>
    </row>
    <row r="194" spans="1:31" x14ac:dyDescent="0.2">
      <c r="A194" s="320">
        <f>IFERROR(VLOOKUP(B194,mapping_one_neo!A:B,2,FALSE),"")</f>
        <v>0</v>
      </c>
      <c r="B194" s="334" t="s">
        <v>127</v>
      </c>
      <c r="C194" s="414" t="s">
        <v>758</v>
      </c>
      <c r="S194" s="349"/>
      <c r="T194" s="346"/>
      <c r="U194" s="432">
        <v>3.0000000000000001E-5</v>
      </c>
      <c r="V194" s="413"/>
      <c r="W194" s="413"/>
      <c r="X194" s="413"/>
      <c r="Y194" s="433"/>
      <c r="Z194" s="433"/>
      <c r="AA194" s="433"/>
      <c r="AB194" s="433"/>
      <c r="AC194" s="434">
        <v>0</v>
      </c>
      <c r="AD194" s="350"/>
    </row>
    <row r="195" spans="1:31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8" t="s">
        <v>134</v>
      </c>
      <c r="AD195" s="350"/>
    </row>
    <row r="196" spans="1:31" x14ac:dyDescent="0.2">
      <c r="A196" s="320">
        <f>IFERROR(VLOOKUP(B196,mapping_one_neo!A:B,2,FALSE),"")</f>
        <v>0</v>
      </c>
      <c r="B196" s="352" t="s">
        <v>130</v>
      </c>
      <c r="S196" s="349"/>
      <c r="T196" s="346"/>
      <c r="U196" s="415">
        <f>U185+U188+U192</f>
        <v>100.03244000000009</v>
      </c>
      <c r="V196" s="415">
        <v>-18.01709</v>
      </c>
      <c r="W196" s="415">
        <v>-40.399666666666661</v>
      </c>
      <c r="X196" s="415">
        <v>-26.774865833333333</v>
      </c>
      <c r="Y196" s="435">
        <v>-45.017272499999848</v>
      </c>
      <c r="Z196" s="435">
        <v>0</v>
      </c>
      <c r="AA196" s="435"/>
      <c r="AB196" s="435">
        <v>0</v>
      </c>
      <c r="AC196" s="435">
        <v>-45.017272499999848</v>
      </c>
      <c r="AD196" s="350"/>
    </row>
    <row r="197" spans="1:31" x14ac:dyDescent="0.2">
      <c r="A197" s="320" t="str">
        <f>IFERROR(VLOOKUP(B197,mapping_one_neo!A:B,2,FALSE),"")</f>
        <v/>
      </c>
      <c r="S197" s="349"/>
      <c r="T197" s="346"/>
      <c r="U197" s="351"/>
      <c r="V197" s="351"/>
      <c r="W197" s="351"/>
      <c r="X197" s="351"/>
      <c r="Y197" s="358"/>
      <c r="Z197" s="358"/>
      <c r="AA197" s="358"/>
      <c r="AB197" s="358"/>
      <c r="AC197" s="358"/>
      <c r="AD197" s="350"/>
    </row>
    <row r="198" spans="1:31" s="352" customFormat="1" x14ac:dyDescent="0.2">
      <c r="A198" s="320">
        <f>IFERROR(VLOOKUP(B198,mapping_one_neo!A:B,2,FALSE),"")</f>
        <v>0</v>
      </c>
      <c r="B198" s="352" t="s">
        <v>131</v>
      </c>
      <c r="C198" s="353"/>
      <c r="E198" s="356"/>
      <c r="G198" s="335"/>
      <c r="H198" s="335"/>
      <c r="I198" s="335"/>
      <c r="J198" s="335"/>
      <c r="K198" s="335"/>
      <c r="L198" s="335"/>
      <c r="M198" s="335"/>
      <c r="N198" s="335"/>
      <c r="O198" s="335"/>
      <c r="P198" s="335"/>
      <c r="Q198" s="335"/>
      <c r="R198" s="335"/>
      <c r="S198" s="349"/>
      <c r="T198" s="346"/>
      <c r="U198" s="415">
        <v>-33.192419999999949</v>
      </c>
      <c r="V198" s="354"/>
      <c r="W198" s="354"/>
      <c r="X198" s="415">
        <v>-26.774865833333333</v>
      </c>
      <c r="Y198" s="435">
        <v>0</v>
      </c>
      <c r="Z198" s="435">
        <v>0</v>
      </c>
      <c r="AA198" s="435"/>
      <c r="AB198" s="435">
        <v>0</v>
      </c>
      <c r="AC198" s="435">
        <v>0</v>
      </c>
      <c r="AD198" s="355"/>
    </row>
    <row r="199" spans="1:31" ht="13.5" thickBot="1" x14ac:dyDescent="0.25">
      <c r="A199" s="320" t="str">
        <f>IFERROR(VLOOKUP(B199,mapping_one_neo!A:B,2,FALSE),"")</f>
        <v/>
      </c>
      <c r="S199" s="349"/>
      <c r="T199" s="416"/>
      <c r="U199" s="418"/>
      <c r="V199" s="418"/>
      <c r="W199" s="418"/>
      <c r="X199" s="418"/>
      <c r="Y199" s="436"/>
      <c r="Z199" s="436"/>
      <c r="AA199" s="436"/>
      <c r="AB199" s="436"/>
      <c r="AC199" s="436"/>
      <c r="AD199" s="417"/>
    </row>
    <row r="200" spans="1:31" x14ac:dyDescent="0.2">
      <c r="A200" s="320" t="str">
        <f>IFERROR(VLOOKUP(B200,mapping_one_neo!A:B,2,FALSE),"")</f>
        <v/>
      </c>
    </row>
    <row r="201" spans="1:31" s="352" customFormat="1" x14ac:dyDescent="0.2">
      <c r="A201" s="320">
        <f>IFERROR(VLOOKUP(B201,mapping_one_neo!A:B,2,FALSE),"")</f>
        <v>0</v>
      </c>
      <c r="B201" s="352" t="s">
        <v>132</v>
      </c>
      <c r="C201" s="353"/>
      <c r="E201" s="356"/>
      <c r="G201" s="356"/>
      <c r="H201" s="356"/>
      <c r="I201" s="356"/>
      <c r="J201" s="356"/>
      <c r="K201" s="356"/>
      <c r="L201" s="356"/>
      <c r="M201" s="356"/>
      <c r="N201" s="356"/>
      <c r="O201" s="356"/>
      <c r="P201" s="356"/>
      <c r="Q201" s="356"/>
      <c r="R201" s="356"/>
      <c r="U201" s="356"/>
      <c r="V201" s="356"/>
      <c r="W201" s="356"/>
      <c r="X201" s="356"/>
      <c r="Y201" s="437"/>
      <c r="Z201" s="437"/>
      <c r="AA201" s="437"/>
      <c r="AB201" s="437"/>
      <c r="AC201" s="437">
        <f>AC6+AC49+AC58+AC81+AC102+AC135+AC166+AC179+U183+U188+U192-AC163</f>
        <v>34.997668666666797</v>
      </c>
      <c r="AE201" s="352" t="s">
        <v>759</v>
      </c>
    </row>
    <row r="202" spans="1:31" x14ac:dyDescent="0.2">
      <c r="A202" s="320" t="str">
        <f>IFERROR(VLOOKUP(B202,mapping_one_neo!A:B,2,FALSE),"")</f>
        <v/>
      </c>
    </row>
    <row r="203" spans="1:31" s="352" customFormat="1" x14ac:dyDescent="0.2">
      <c r="A203" s="320">
        <f>IFERROR(VLOOKUP(B203,mapping_one_neo!A:B,2,FALSE),"")</f>
        <v>0</v>
      </c>
      <c r="B203" s="352" t="s">
        <v>133</v>
      </c>
      <c r="C203" s="353"/>
      <c r="E203" s="356"/>
      <c r="G203" s="356"/>
      <c r="H203" s="356"/>
      <c r="I203" s="356"/>
      <c r="J203" s="356"/>
      <c r="K203" s="356"/>
      <c r="L203" s="356"/>
      <c r="M203" s="356"/>
      <c r="N203" s="356"/>
      <c r="O203" s="356"/>
      <c r="P203" s="356"/>
      <c r="Q203" s="356"/>
      <c r="R203" s="356"/>
      <c r="U203" s="335"/>
      <c r="V203" s="335"/>
      <c r="W203" s="356"/>
      <c r="X203" s="356"/>
      <c r="Y203" s="437"/>
      <c r="Z203" s="437"/>
      <c r="AA203" s="437"/>
      <c r="AB203" s="437"/>
      <c r="AC203" s="437"/>
    </row>
    <row r="204" spans="1:31" x14ac:dyDescent="0.2">
      <c r="A204" s="320" t="str">
        <f>IFERROR(VLOOKUP(B204,mapping_one_neo!A:B,2,FALSE),"")</f>
        <v/>
      </c>
    </row>
    <row r="206" spans="1:31" x14ac:dyDescent="0.2">
      <c r="B206" s="334" t="s">
        <v>794</v>
      </c>
    </row>
    <row r="211" spans="1:31" s="335" customFormat="1" x14ac:dyDescent="0.2">
      <c r="A211" s="320"/>
      <c r="C211" s="337"/>
      <c r="D211" s="334"/>
      <c r="F211" s="334"/>
      <c r="S211" s="334"/>
      <c r="T211" s="334"/>
      <c r="Y211" s="420"/>
      <c r="Z211" s="420"/>
      <c r="AA211" s="420"/>
      <c r="AB211" s="420"/>
      <c r="AC211" s="420"/>
      <c r="AD211" s="334"/>
      <c r="AE211" s="334"/>
    </row>
    <row r="212" spans="1:31" s="335" customFormat="1" x14ac:dyDescent="0.2">
      <c r="A212" s="320"/>
      <c r="C212" s="337"/>
      <c r="D212" s="334"/>
      <c r="F212" s="334"/>
      <c r="S212" s="334"/>
      <c r="T212" s="334"/>
      <c r="Y212" s="420"/>
      <c r="Z212" s="420"/>
      <c r="AA212" s="420"/>
      <c r="AB212" s="420"/>
      <c r="AC212" s="420"/>
      <c r="AD212" s="334"/>
      <c r="AE212" s="334"/>
    </row>
    <row r="213" spans="1:31" s="335" customFormat="1" x14ac:dyDescent="0.2">
      <c r="A213" s="320"/>
      <c r="C213" s="337"/>
      <c r="D213" s="334"/>
      <c r="F213" s="334"/>
      <c r="S213" s="334"/>
      <c r="T213" s="334"/>
      <c r="Y213" s="420"/>
      <c r="Z213" s="420"/>
      <c r="AA213" s="420"/>
      <c r="AB213" s="420"/>
      <c r="AC213" s="420"/>
      <c r="AD213" s="334"/>
      <c r="AE213" s="334"/>
    </row>
    <row r="214" spans="1:31" s="335" customFormat="1" x14ac:dyDescent="0.2">
      <c r="A214" s="320"/>
      <c r="C214" s="337"/>
      <c r="D214" s="334"/>
      <c r="F214" s="334"/>
      <c r="S214" s="334"/>
      <c r="T214" s="334"/>
      <c r="Y214" s="420"/>
      <c r="Z214" s="420"/>
      <c r="AA214" s="420"/>
      <c r="AB214" s="420"/>
      <c r="AC214" s="420"/>
      <c r="AD214" s="334"/>
      <c r="AE214" s="334"/>
    </row>
    <row r="215" spans="1:31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420"/>
      <c r="AD215" s="334"/>
      <c r="AE215" s="334"/>
    </row>
  </sheetData>
  <autoFilter ref="A1:A215"/>
  <mergeCells count="1">
    <mergeCell ref="AE9:AE10"/>
  </mergeCells>
  <pageMargins left="0.7" right="0.7" top="0.75" bottom="0.75" header="0.3" footer="0.3"/>
  <pageSetup paperSize="121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  <pageSetUpPr fitToPage="1"/>
  </sheetPr>
  <dimension ref="A1:N75"/>
  <sheetViews>
    <sheetView showGridLines="0" topLeftCell="A45" workbookViewId="0">
      <selection activeCell="J28" sqref="J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322" t="s">
        <v>801</v>
      </c>
      <c r="E13" s="324">
        <f ca="1">NOW()</f>
        <v>43075.51473761574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SUMIF(Fev!$A:$A,'p&amp;l Fev'!D16,Fev!$Y:$Y)</f>
        <v>840.63126999999997</v>
      </c>
      <c r="F16" s="289">
        <f>SUMIF(Fev!$A:$A,'p&amp;l Fev'!D16,Fev!$X:$X)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SUMIF(Fev!$A:$A,'p&amp;l Fev'!D19,Fev!$Y:$Y)</f>
        <v>-387.36410999999976</v>
      </c>
      <c r="F19" s="316">
        <f>SUMIF(Fev!$A:$A,'p&amp;l Fev'!D19,Fev!$X:$X)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SUMIF(Fev!$A:$A,'p&amp;l Fev'!D20,Fev!$Y:$Y)</f>
        <v>-170.27431799999999</v>
      </c>
      <c r="F20" s="316">
        <f>SUMIF(Fev!$A:$A,'p&amp;l Fev'!D20,Fev!$X:$X)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SUMIF(Fev!$A:$A,'p&amp;l Fev'!D21,Fev!$Y:$Y)</f>
        <v>-38.233499999999992</v>
      </c>
      <c r="F21" s="316">
        <f>SUMIF(Fev!$A:$A,'p&amp;l Fev'!D21,Fev!$X:$X)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SUMIF(Fev!$A:$A,'p&amp;l Fev'!D22,Fev!$Y:$Y)</f>
        <v>0</v>
      </c>
      <c r="F22" s="316">
        <f>SUMIF(Fev!$A:$A,'p&amp;l Fev'!D22,Fev!$X:$X)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SUMIF(Fev!$A:$A,'p&amp;l Fev'!D23,Fev!$Y:$Y)</f>
        <v>0</v>
      </c>
      <c r="F23" s="316">
        <f>SUMIF(Fev!$A:$A,'p&amp;l Fev'!D23,Fev!$X:$X)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SUMIF(Fev!$A:$A,'p&amp;l Fev'!D24,Fev!$Y:$Y)</f>
        <v>0</v>
      </c>
      <c r="F24" s="316">
        <f>SUMIF(Fev!$A:$A,'p&amp;l Fev'!D24,Fev!$X:$X)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SUMIF(Fev!$A:$A,'p&amp;l Fev'!D25,Fev!$Y:$Y)</f>
        <v>0</v>
      </c>
      <c r="F25" s="316">
        <f>SUMIF(Fev!$A:$A,'p&amp;l Fev'!D25,Fev!$X:$X)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SUMIF(Fev!$A:$A,'p&amp;l Fev'!D26,Fev!$Y:$Y)</f>
        <v>-7.2299300000000004</v>
      </c>
      <c r="F26" s="316">
        <f>SUMIF(Fev!$A:$A,'p&amp;l Fev'!D26,Fev!$X:$X)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SUMIF(Fev!$A:$A,'p&amp;l Fev'!D27,Fev!$Y:$Y)</f>
        <v>-2.04</v>
      </c>
      <c r="F27" s="316">
        <f>SUMIF(Fev!$A:$A,'p&amp;l Fev'!D27,Fev!$X:$X)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SUMIF(Fev!$A:$A,'p&amp;l Fev'!D28,Fev!$Y:$Y)</f>
        <v>0</v>
      </c>
      <c r="F28" s="316">
        <f>SUMIF(Fev!$A:$A,'p&amp;l Fev'!D28,Fev!$X:$X)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-605.14185799999973</v>
      </c>
      <c r="F29" s="317">
        <f>SUMIF(Fev!$A:$A,'p&amp;l Fev'!D29,Fev!$X:$X)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SUMIF(Fev!$A:$A,'p&amp;l Fev'!D31,Fev!$Y:$Y)</f>
        <v>-46.168000000000006</v>
      </c>
      <c r="F31" s="316">
        <f>SUMIF(Fev!$A:$A,'p&amp;l Fev'!D31,Fev!$X:$X)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SUMIF(Fev!$A:$A,'p&amp;l Fev'!D32,Fev!$Y:$Y)</f>
        <v>-0.85048999999999997</v>
      </c>
      <c r="F32" s="316">
        <f>SUMIF(Fev!$A:$A,'p&amp;l Fev'!D32,Fev!$X:$X)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-47.018490000000007</v>
      </c>
      <c r="F33" s="317">
        <f>SUMIF(Fev!$A:$A,'p&amp;l Fev'!D33,Fev!$X:$X)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SUMIF(Fev!$A:$A,'p&amp;l Fev'!D34,Fev!$Y:$Y)</f>
        <v>-6.1572700000000005</v>
      </c>
      <c r="F34" s="316">
        <f>SUMIF(Fev!$A:$A,'p&amp;l Fev'!D34,Fev!$X:$X)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SUMIF(Fev!$A:$A,'p&amp;l Fev'!D35,Fev!$Y:$Y)</f>
        <v>-29.512090000000001</v>
      </c>
      <c r="F35" s="316">
        <f>SUMIF(Fev!$A:$A,'p&amp;l Fev'!D35,Fev!$X:$X)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SUMIF(Fev!$A:$A,'p&amp;l Fev'!D36,Fev!$Y:$Y)</f>
        <v>-1.51841</v>
      </c>
      <c r="F36" s="316">
        <f>SUMIF(Fev!$A:$A,'p&amp;l Fev'!D36,Fev!$X:$X)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SUMIF(Fev!$A:$A,'p&amp;l Fev'!D37,Fev!$Y:$Y)</f>
        <v>-2.9112</v>
      </c>
      <c r="F37" s="316">
        <f>SUMIF(Fev!$A:$A,'p&amp;l Fev'!D37,Fev!$X:$X)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-40.098970000000001</v>
      </c>
      <c r="F38" s="317">
        <f>SUMIF(Fev!$A:$A,'p&amp;l Fev'!D38,Fev!$X:$X)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SUMIF(Fev!$A:$A,'p&amp;l Fev'!D40,Fev!$Y:$Y)</f>
        <v>-8.5550000000000001E-2</v>
      </c>
      <c r="F40" s="316">
        <f>SUMIF(Fev!$A:$A,'p&amp;l Fev'!D40,Fev!$X:$X)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SUMIF(Fev!$A:$A,'p&amp;l Fev'!D41,Fev!$Y:$Y)</f>
        <v>-0.53791999999999995</v>
      </c>
      <c r="F41" s="316">
        <f>SUMIF(Fev!$A:$A,'p&amp;l Fev'!D41,Fev!$X:$X)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SUMIF(Fev!$A:$A,'p&amp;l Fev'!D42,Fev!$Y:$Y)</f>
        <v>-45.833333333333336</v>
      </c>
      <c r="F42" s="316">
        <f>SUMIF(Fev!$A:$A,'p&amp;l Fev'!D42,Fev!$X:$X)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SUMIF(Fev!$A:$A,'p&amp;l Fev'!D43,Fev!$Y:$Y)</f>
        <v>-10.334</v>
      </c>
      <c r="F43" s="316">
        <f>SUMIF(Fev!$A:$A,'p&amp;l Fev'!D43,Fev!$X:$X)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-56.790803333333329</v>
      </c>
      <c r="F44" s="317">
        <f>SUMIF(Fev!$A:$A,'p&amp;l Fev'!D44,Fev!$X:$X)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SUMIF(Fev!$A:$A,'p&amp;l Fev'!D46,Fev!$Y:$Y)</f>
        <v>-1.8124</v>
      </c>
      <c r="F46" s="316">
        <f>SUMIF(Fev!$A:$A,'p&amp;l Fev'!D46,Fev!$X:$X)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SUMIF(Fev!$A:$A,'p&amp;l Fev'!D47,Fev!$Y:$Y)</f>
        <v>-0.29085</v>
      </c>
      <c r="F47" s="316">
        <f>SUMIF(Fev!$A:$A,'p&amp;l Fev'!D47,Fev!$X:$X)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SUMIF(Fev!$A:$A,'p&amp;l Fev'!D48,Fev!$Y:$Y)</f>
        <v>-24.015213333333332</v>
      </c>
      <c r="F48" s="316">
        <f>SUMIF(Fev!$A:$A,'p&amp;l Fev'!D48,Fev!$X:$X)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SUMIF(Fev!$A:$A,'p&amp;l Fev'!D49,Fev!$Y:$Y)</f>
        <v>-2.984</v>
      </c>
      <c r="F49" s="316">
        <f>SUMIF(Fev!$A:$A,'p&amp;l Fev'!D49,Fev!$X:$X)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SUMIF(Fev!$A:$A,'p&amp;l Fev'!D50,Fev!$Y:$Y)</f>
        <v>-0.16600000000000001</v>
      </c>
      <c r="F50" s="316">
        <f>SUMIF(Fev!$A:$A,'p&amp;l Fev'!D50,Fev!$X:$X)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SUMIF(Fev!$A:$A,'p&amp;l Fev'!D51,Fev!$Y:$Y)</f>
        <v>-10.416</v>
      </c>
      <c r="F51" s="316">
        <f>SUMIF(Fev!$A:$A,'p&amp;l Fev'!D51,Fev!$X:$X)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525</v>
      </c>
      <c r="E52" s="327">
        <f>SUMIF(Fev!$A:$A,'p&amp;l Fev'!D52,Fev!$Y:$Y)</f>
        <v>-1.0660700000000005</v>
      </c>
      <c r="F52" s="316">
        <f>SUMIF(Fev!$A:$A,'p&amp;l Fev'!D52,Fev!$X:$X)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SUMIF(Fev!$A:$A,'p&amp;l Fev'!D53,Fev!$Y:$Y)</f>
        <v>0</v>
      </c>
      <c r="F53" s="316">
        <f>SUMIF(Fev!$A:$A,'p&amp;l Fev'!D53,Fev!$X:$X)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SUMIF(Fev!$A:$A,'p&amp;l Fev'!D54,Fev!$Y:$Y)</f>
        <v>-3.8330000000000002</v>
      </c>
      <c r="F54" s="316">
        <f>SUMIF(Fev!$A:$A,'p&amp;l Fev'!D54,Fev!$X:$X)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-44.583533333333335</v>
      </c>
      <c r="F55" s="317">
        <f>SUMIF(Fev!$A:$A,'p&amp;l Fev'!D55,Fev!$X:$X)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SUMIF(Fev!$A:$A,'p&amp;l Fev'!D57,Fev!$Y:$Y)</f>
        <v>-0.75</v>
      </c>
      <c r="F57" s="316">
        <f>SUMIF(Fev!$A:$A,'p&amp;l Fev'!D57,Fev!$X:$X)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SUMIF(Fev!$A:$A,'p&amp;l Fev'!D58,Fev!$Y:$Y)</f>
        <v>-0.66666666666666663</v>
      </c>
      <c r="F58" s="316">
        <f>SUMIF(Fev!$A:$A,'p&amp;l Fev'!D58,Fev!$X:$X)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SUMIF(Fev!$A:$A,'p&amp;l Fev'!D59,Fev!$Y:$Y)</f>
        <v>-1.25</v>
      </c>
      <c r="F59" s="316">
        <f>SUMIF(Fev!$A:$A,'p&amp;l Fev'!D59,Fev!$X:$X)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SUMIF(Fev!$A:$A,'p&amp;l Fev'!D60,Fev!$Y:$Y)</f>
        <v>-0.47704000000000002</v>
      </c>
      <c r="F60" s="316">
        <f>SUMIF(Fev!$A:$A,'p&amp;l Fev'!D60,Fev!$X:$X)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SUMIF(Fev!$A:$A,'p&amp;l Fev'!D61,Fev!$Y:$Y)</f>
        <v>0</v>
      </c>
      <c r="F61" s="316">
        <f>SUMIF(Fev!$A:$A,'p&amp;l Fev'!D61,Fev!$X:$X)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-3.1437066666666666</v>
      </c>
      <c r="F62" s="317">
        <f>SUMIF(Fev!$A:$A,'p&amp;l Fev'!D62,Fev!$X:$X)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SUMIF(Fev!$A:$U,'p&amp;l Fev'!D64,Fev!$U:$U)</f>
        <v>-7.8339999999999996</v>
      </c>
      <c r="F64" s="316">
        <f>SUMIF(Fev!$A:$A,'p&amp;l Fev'!D64,Fev!$X:$X)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-7.8339999999999996</v>
      </c>
      <c r="F65" s="317">
        <f>SUMIF(Fev!$A:$A,'p&amp;l Fev'!D65,Fev!$X:$X)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SUMIF(Fev!$A:$A,'p&amp;l Fev'!D67,Fev!$Y:$Y)</f>
        <v>0.18883999999999998</v>
      </c>
      <c r="F67" s="316">
        <f>SUMIF(Fev!$A:$A,'p&amp;l Fev'!D67,Fev!$X:$X)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0.18883999999999998</v>
      </c>
      <c r="F68" s="317">
        <f>SUMIF(Fev!$A:$A,'p&amp;l Fev'!D68,Fev!$X:$X)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-804.42252133333295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36.20874866666702</v>
      </c>
    </row>
    <row r="74" spans="1:8" x14ac:dyDescent="0.25">
      <c r="D74" t="s">
        <v>762</v>
      </c>
      <c r="E74" s="331">
        <f>Fev!AC201</f>
        <v>34.997668666666797</v>
      </c>
    </row>
    <row r="75" spans="1:8" x14ac:dyDescent="0.25">
      <c r="D75" s="315" t="s">
        <v>763</v>
      </c>
      <c r="E75" s="319">
        <f ca="1">E73-E74</f>
        <v>1.2110800000002229</v>
      </c>
    </row>
  </sheetData>
  <dataValidations disablePrompts="1"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E215"/>
  <sheetViews>
    <sheetView showGridLines="0" workbookViewId="0">
      <selection activeCell="J28" sqref="J28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7" width="13.85546875" style="420" hidden="1" customWidth="1" outlineLevel="1"/>
    <col min="28" max="28" width="13.42578125" style="420" hidden="1" customWidth="1" outlineLevel="1"/>
    <col min="29" max="29" width="13.85546875" style="420" customWidth="1" collapsed="1"/>
    <col min="30" max="30" width="1.7109375" style="334" customWidth="1"/>
    <col min="31" max="31" width="38.140625" style="334" customWidth="1" outlineLevel="1"/>
    <col min="32" max="16384" width="11.42578125" style="334"/>
  </cols>
  <sheetData>
    <row r="1" spans="1:31" x14ac:dyDescent="0.2">
      <c r="A1" s="320" t="s">
        <v>760</v>
      </c>
      <c r="B1" s="332" t="s">
        <v>802</v>
      </c>
      <c r="C1" s="333"/>
      <c r="F1" s="335"/>
      <c r="X1" s="335" t="s">
        <v>134</v>
      </c>
    </row>
    <row r="2" spans="1:31" ht="13.5" thickBot="1" x14ac:dyDescent="0.25">
      <c r="J2" s="335" t="s">
        <v>134</v>
      </c>
      <c r="V2" s="335" t="s">
        <v>134</v>
      </c>
    </row>
    <row r="3" spans="1:31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421"/>
      <c r="AD3" s="339"/>
    </row>
    <row r="4" spans="1:31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743</v>
      </c>
      <c r="AA4" s="423" t="s">
        <v>765</v>
      </c>
      <c r="AB4" s="423" t="s">
        <v>744</v>
      </c>
      <c r="AC4" s="423" t="s">
        <v>139</v>
      </c>
      <c r="AD4" s="347"/>
    </row>
    <row r="5" spans="1:31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8"/>
      <c r="AD5" s="350"/>
    </row>
    <row r="6" spans="1:31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1243469.78/1000</f>
        <v>1243.4697800000001</v>
      </c>
      <c r="V6" s="440"/>
      <c r="W6" s="440"/>
      <c r="X6" s="440"/>
      <c r="Y6" s="440">
        <v>1243.4697800000001</v>
      </c>
      <c r="Z6" s="440">
        <v>1243.4697800000001</v>
      </c>
      <c r="AA6" s="440">
        <v>1243.4697800000001</v>
      </c>
      <c r="AB6" s="440">
        <v>1243.4697800000001</v>
      </c>
      <c r="AC6" s="440">
        <v>1243.4697800000001</v>
      </c>
      <c r="AD6" s="355"/>
      <c r="AE6" s="334"/>
    </row>
    <row r="7" spans="1:31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8"/>
      <c r="AD7" s="350"/>
      <c r="AE7" s="334" t="s">
        <v>134</v>
      </c>
    </row>
    <row r="8" spans="1:31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8"/>
      <c r="AD8" s="350"/>
    </row>
    <row r="9" spans="1:31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-619.53209999999979</v>
      </c>
      <c r="V9" s="362">
        <v>2.1150000000000002</v>
      </c>
      <c r="W9" s="362"/>
      <c r="X9" s="351">
        <v>-4.2369599999999998</v>
      </c>
      <c r="Y9" s="363">
        <v>-621.65405999999973</v>
      </c>
      <c r="Z9" s="363"/>
      <c r="AA9" s="363"/>
      <c r="AB9" s="363"/>
      <c r="AC9" s="363">
        <v>-621.65405999999973</v>
      </c>
      <c r="AD9" s="355"/>
      <c r="AE9" s="485" t="s">
        <v>782</v>
      </c>
    </row>
    <row r="10" spans="1:31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-266.61105999999995</v>
      </c>
      <c r="V10" s="362">
        <v>0.99250999999999989</v>
      </c>
      <c r="W10" s="362"/>
      <c r="X10" s="351">
        <v>-1.9066319999999999</v>
      </c>
      <c r="Y10" s="363">
        <v>-267.52518199999997</v>
      </c>
      <c r="Z10" s="363"/>
      <c r="AA10" s="363"/>
      <c r="AB10" s="363"/>
      <c r="AC10" s="363">
        <v>-267.52518199999997</v>
      </c>
      <c r="AD10" s="355"/>
      <c r="AE10" s="485"/>
    </row>
    <row r="11" spans="1:31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9.375</v>
      </c>
      <c r="W11" s="362"/>
      <c r="X11" s="351"/>
      <c r="Y11" s="363">
        <v>9.375</v>
      </c>
      <c r="Z11" s="363"/>
      <c r="AA11" s="363"/>
      <c r="AB11" s="363"/>
      <c r="AC11" s="363">
        <v>9.375</v>
      </c>
      <c r="AD11" s="355"/>
      <c r="AE11" s="366" t="s">
        <v>783</v>
      </c>
    </row>
    <row r="12" spans="1:31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4.21875</v>
      </c>
      <c r="W12" s="362"/>
      <c r="X12" s="351"/>
      <c r="Y12" s="363">
        <v>4.21875</v>
      </c>
      <c r="Z12" s="363"/>
      <c r="AA12" s="363"/>
      <c r="AB12" s="363"/>
      <c r="AC12" s="363">
        <v>4.21875</v>
      </c>
      <c r="AD12" s="355"/>
      <c r="AE12" s="366" t="s">
        <v>783</v>
      </c>
    </row>
    <row r="13" spans="1:31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/>
      <c r="Z13" s="363"/>
      <c r="AA13" s="363"/>
      <c r="AB13" s="363"/>
      <c r="AC13" s="363"/>
      <c r="AD13" s="355"/>
      <c r="AE13" s="334"/>
    </row>
    <row r="14" spans="1:31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/>
      <c r="AC14" s="363">
        <v>0</v>
      </c>
      <c r="AD14" s="355"/>
      <c r="AE14" s="334"/>
    </row>
    <row r="15" spans="1:31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/>
      <c r="AC15" s="363">
        <v>6.2080000000000002</v>
      </c>
      <c r="AD15" s="355"/>
      <c r="AE15" s="334"/>
    </row>
    <row r="16" spans="1:31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/>
      <c r="AC16" s="363">
        <v>2.9798399999999998</v>
      </c>
      <c r="AD16" s="355"/>
      <c r="AE16" s="334"/>
    </row>
    <row r="17" spans="1:31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1.0620000000000001</v>
      </c>
      <c r="W17" s="362"/>
      <c r="X17" s="362"/>
      <c r="Y17" s="363">
        <v>1.0620000000000001</v>
      </c>
      <c r="Z17" s="363"/>
      <c r="AA17" s="363"/>
      <c r="AB17" s="363"/>
      <c r="AC17" s="363">
        <v>1.0620000000000001</v>
      </c>
      <c r="AD17" s="355"/>
      <c r="AE17" s="334"/>
    </row>
    <row r="18" spans="1:31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0.51</v>
      </c>
      <c r="V18" s="362"/>
      <c r="W18" s="362"/>
      <c r="X18" s="362">
        <v>0</v>
      </c>
      <c r="Y18" s="363">
        <v>0.51</v>
      </c>
      <c r="Z18" s="363"/>
      <c r="AA18" s="363"/>
      <c r="AB18" s="363"/>
      <c r="AC18" s="363">
        <v>0.51</v>
      </c>
      <c r="AD18" s="355"/>
      <c r="AE18" s="334"/>
    </row>
    <row r="19" spans="1:31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13.917999999999999</v>
      </c>
      <c r="V19" s="362"/>
      <c r="W19" s="362"/>
      <c r="X19" s="362"/>
      <c r="Y19" s="363">
        <v>13.917999999999999</v>
      </c>
      <c r="Z19" s="363"/>
      <c r="AA19" s="363"/>
      <c r="AB19" s="363"/>
      <c r="AC19" s="363">
        <v>13.917999999999999</v>
      </c>
      <c r="AD19" s="355"/>
      <c r="AE19" s="334"/>
    </row>
    <row r="20" spans="1:31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/>
      <c r="V20" s="362"/>
      <c r="W20" s="362"/>
      <c r="X20" s="362"/>
      <c r="Y20" s="363"/>
      <c r="Z20" s="363"/>
      <c r="AA20" s="363"/>
      <c r="AB20" s="363"/>
      <c r="AC20" s="363"/>
      <c r="AD20" s="355"/>
      <c r="AE20" s="334" t="s">
        <v>134</v>
      </c>
    </row>
    <row r="21" spans="1:31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/>
      <c r="Z21" s="363"/>
      <c r="AA21" s="363"/>
      <c r="AB21" s="363"/>
      <c r="AC21" s="363"/>
      <c r="AD21" s="355"/>
      <c r="AE21" s="334"/>
    </row>
    <row r="22" spans="1:31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/>
      <c r="AC22" s="363">
        <v>-8.75</v>
      </c>
      <c r="AD22" s="355"/>
      <c r="AE22" s="334"/>
    </row>
    <row r="23" spans="1:31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/>
      <c r="AC23" s="363">
        <v>0</v>
      </c>
      <c r="AD23" s="355"/>
      <c r="AE23" s="334"/>
    </row>
    <row r="24" spans="1:31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-16.361999999999998</v>
      </c>
      <c r="V24" s="362"/>
      <c r="W24" s="362"/>
      <c r="X24" s="362">
        <v>0</v>
      </c>
      <c r="Y24" s="363">
        <v>-16.361999999999998</v>
      </c>
      <c r="Z24" s="363"/>
      <c r="AA24" s="363"/>
      <c r="AB24" s="363"/>
      <c r="AC24" s="363">
        <v>-16.361999999999998</v>
      </c>
      <c r="AD24" s="355"/>
      <c r="AE24" s="369"/>
    </row>
    <row r="25" spans="1:31" s="352" customFormat="1" x14ac:dyDescent="0.2">
      <c r="A25" s="320" t="str">
        <f>IFERROR(VLOOKUP(B25,mapping_one_neo!A:B,2,FALSE),"")</f>
        <v/>
      </c>
      <c r="B25" s="352" t="s">
        <v>14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/>
      <c r="V25" s="362"/>
      <c r="W25" s="362"/>
      <c r="X25" s="362">
        <v>0</v>
      </c>
      <c r="Y25" s="363">
        <v>0</v>
      </c>
      <c r="Z25" s="363"/>
      <c r="AA25" s="363"/>
      <c r="AB25" s="363"/>
      <c r="AC25" s="363">
        <v>0</v>
      </c>
      <c r="AD25" s="355"/>
      <c r="AE25" s="334"/>
    </row>
    <row r="26" spans="1:31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-8.7210000000000001</v>
      </c>
      <c r="V26" s="362"/>
      <c r="W26" s="362"/>
      <c r="X26" s="362">
        <v>0</v>
      </c>
      <c r="Y26" s="363">
        <v>-8.7210000000000001</v>
      </c>
      <c r="Z26" s="363"/>
      <c r="AA26" s="363"/>
      <c r="AB26" s="363"/>
      <c r="AC26" s="363">
        <v>-8.7210000000000001</v>
      </c>
      <c r="AD26" s="355"/>
      <c r="AE26" s="334"/>
    </row>
    <row r="27" spans="1:31" s="352" customFormat="1" x14ac:dyDescent="0.2">
      <c r="A27" s="320" t="str">
        <f>IFERROR(VLOOKUP(B27,mapping_one_neo!A:B,2,FALSE),"")</f>
        <v/>
      </c>
      <c r="B27" s="352" t="s">
        <v>16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/>
      <c r="V27" s="362"/>
      <c r="W27" s="362"/>
      <c r="X27" s="362"/>
      <c r="Y27" s="363">
        <v>0</v>
      </c>
      <c r="Z27" s="363"/>
      <c r="AA27" s="363"/>
      <c r="AB27" s="363"/>
      <c r="AC27" s="363">
        <v>0</v>
      </c>
      <c r="AD27" s="355"/>
      <c r="AE27" s="334"/>
    </row>
    <row r="28" spans="1:31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>
        <v>0</v>
      </c>
      <c r="Y28" s="363">
        <v>0</v>
      </c>
      <c r="Z28" s="363"/>
      <c r="AA28" s="363"/>
      <c r="AB28" s="363"/>
      <c r="AC28" s="363">
        <v>0</v>
      </c>
      <c r="AD28" s="355"/>
      <c r="AE28" s="334"/>
    </row>
    <row r="29" spans="1:31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0.74000000000000021</v>
      </c>
      <c r="V29" s="362"/>
      <c r="W29" s="362"/>
      <c r="X29" s="362"/>
      <c r="Y29" s="363">
        <v>0.74000000000000021</v>
      </c>
      <c r="Z29" s="363"/>
      <c r="AA29" s="363"/>
      <c r="AB29" s="363"/>
      <c r="AC29" s="363">
        <v>0.74000000000000021</v>
      </c>
      <c r="AD29" s="355"/>
      <c r="AE29" s="334"/>
    </row>
    <row r="30" spans="1:31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-14.192499999999999</v>
      </c>
      <c r="V30" s="362"/>
      <c r="W30" s="362"/>
      <c r="X30" s="363"/>
      <c r="Y30" s="363">
        <v>-14.192499999999999</v>
      </c>
      <c r="Z30" s="363"/>
      <c r="AA30" s="363"/>
      <c r="AB30" s="363"/>
      <c r="AC30" s="363">
        <v>-14.192499999999999</v>
      </c>
      <c r="AD30" s="355"/>
      <c r="AE30" s="334"/>
    </row>
    <row r="31" spans="1:31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-28.302</v>
      </c>
      <c r="V31" s="362"/>
      <c r="W31" s="362"/>
      <c r="X31" s="362"/>
      <c r="Y31" s="363">
        <v>-28.302</v>
      </c>
      <c r="Z31" s="363"/>
      <c r="AA31" s="363"/>
      <c r="AB31" s="363"/>
      <c r="AC31" s="363">
        <v>-28.302</v>
      </c>
      <c r="AD31" s="355"/>
      <c r="AE31" s="334"/>
    </row>
    <row r="32" spans="1:31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/>
      <c r="AC32" s="363"/>
      <c r="AD32" s="355"/>
      <c r="AE32" s="334"/>
    </row>
    <row r="33" spans="1:31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/>
      <c r="AC33" s="363"/>
      <c r="AD33" s="355"/>
      <c r="AE33" s="334"/>
    </row>
    <row r="34" spans="1:31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/>
      <c r="Y34" s="363"/>
      <c r="Z34" s="363"/>
      <c r="AA34" s="363"/>
      <c r="AB34" s="363"/>
      <c r="AC34" s="363"/>
      <c r="AD34" s="355"/>
      <c r="AE34" s="334"/>
    </row>
    <row r="35" spans="1:31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/>
      <c r="AC35" s="363"/>
      <c r="AD35" s="355"/>
      <c r="AE35" s="334"/>
    </row>
    <row r="36" spans="1:31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/>
      <c r="AC36" s="363"/>
      <c r="AD36" s="355"/>
      <c r="AE36" s="334"/>
    </row>
    <row r="37" spans="1:31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-12.079780000000001</v>
      </c>
      <c r="V37" s="351"/>
      <c r="W37" s="351"/>
      <c r="X37" s="351">
        <v>0</v>
      </c>
      <c r="Y37" s="363">
        <v>-12.079780000000001</v>
      </c>
      <c r="Z37" s="363"/>
      <c r="AA37" s="363"/>
      <c r="AB37" s="363"/>
      <c r="AC37" s="363">
        <v>-12.079780000000001</v>
      </c>
      <c r="AD37" s="355"/>
      <c r="AE37" s="334"/>
    </row>
    <row r="38" spans="1:31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-8.1952700000000007</v>
      </c>
      <c r="V38" s="351"/>
      <c r="W38" s="351"/>
      <c r="X38" s="351"/>
      <c r="Y38" s="363"/>
      <c r="Z38" s="363"/>
      <c r="AA38" s="363"/>
      <c r="AB38" s="363"/>
      <c r="AC38" s="363">
        <v>0</v>
      </c>
      <c r="AD38" s="350"/>
    </row>
    <row r="39" spans="1:31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-1.095</v>
      </c>
      <c r="V39" s="351"/>
      <c r="W39" s="351"/>
      <c r="X39" s="351"/>
      <c r="Y39" s="363"/>
      <c r="Z39" s="363"/>
      <c r="AA39" s="363"/>
      <c r="AB39" s="363"/>
      <c r="AC39" s="363">
        <v>0</v>
      </c>
      <c r="AD39" s="350"/>
    </row>
    <row r="40" spans="1:31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-0.90031000000000005</v>
      </c>
      <c r="V40" s="362"/>
      <c r="W40" s="351"/>
      <c r="X40" s="351"/>
      <c r="Y40" s="363"/>
      <c r="Z40" s="363"/>
      <c r="AA40" s="363"/>
      <c r="AB40" s="363"/>
      <c r="AC40" s="363">
        <v>0</v>
      </c>
      <c r="AD40" s="350"/>
      <c r="AE40" s="334" t="s">
        <v>134</v>
      </c>
    </row>
    <row r="41" spans="1:31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-1.8892</v>
      </c>
      <c r="V41" s="362"/>
      <c r="W41" s="362"/>
      <c r="X41" s="351"/>
      <c r="Y41" s="363"/>
      <c r="Z41" s="363"/>
      <c r="AA41" s="363"/>
      <c r="AB41" s="363"/>
      <c r="AC41" s="363">
        <v>0</v>
      </c>
      <c r="AD41" s="350"/>
    </row>
    <row r="42" spans="1:31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-3.06</v>
      </c>
      <c r="V42" s="362"/>
      <c r="W42" s="362"/>
      <c r="X42" s="351"/>
      <c r="Y42" s="363">
        <v>-3.06</v>
      </c>
      <c r="Z42" s="363"/>
      <c r="AA42" s="363"/>
      <c r="AB42" s="363"/>
      <c r="AC42" s="363">
        <v>-3.06</v>
      </c>
      <c r="AD42" s="355"/>
      <c r="AE42" s="334"/>
    </row>
    <row r="43" spans="1:31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C43" s="352">
        <v>0</v>
      </c>
      <c r="AD43" s="355"/>
      <c r="AE43" s="334"/>
    </row>
    <row r="44" spans="1:31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28.996999999999986</v>
      </c>
      <c r="V44" s="351"/>
      <c r="W44" s="351"/>
      <c r="X44" s="351"/>
      <c r="Y44" s="363">
        <v>28.996999999999986</v>
      </c>
      <c r="Z44" s="363"/>
      <c r="AA44" s="363"/>
      <c r="AB44" s="363"/>
      <c r="AC44" s="363">
        <v>28.996999999999986</v>
      </c>
      <c r="AD44" s="350"/>
    </row>
    <row r="45" spans="1:31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/>
      <c r="V45" s="351"/>
      <c r="W45" s="351"/>
      <c r="X45" s="351"/>
      <c r="Y45" s="363"/>
      <c r="Z45" s="363"/>
      <c r="AA45" s="363"/>
      <c r="AB45" s="363"/>
      <c r="AC45" s="363"/>
      <c r="AD45" s="350"/>
      <c r="AE45" s="334" t="s">
        <v>134</v>
      </c>
    </row>
    <row r="46" spans="1:31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78"/>
      <c r="AC46" s="378"/>
      <c r="AD46" s="377"/>
      <c r="AE46" s="334"/>
    </row>
    <row r="47" spans="1:31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/>
      <c r="AA47" s="378"/>
      <c r="AB47" s="363"/>
      <c r="AC47" s="378"/>
      <c r="AD47" s="377"/>
      <c r="AE47" s="334"/>
    </row>
    <row r="48" spans="1:31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8"/>
      <c r="AD48" s="377"/>
      <c r="AE48" s="334"/>
    </row>
    <row r="49" spans="1:31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U9+U10+U18+U24+U26+U28+U29+U30+U31+U37+U42+U44+U19+U22</f>
        <v>-933.44543999999973</v>
      </c>
      <c r="V49" s="383">
        <f>SUM(V8:V17)</f>
        <v>26.951099999999997</v>
      </c>
      <c r="W49" s="383">
        <v>0</v>
      </c>
      <c r="X49" s="383">
        <f>SUM(X9:X37)</f>
        <v>-6.1435919999999999</v>
      </c>
      <c r="Y49" s="383">
        <f>SUM(Y9:AB44)</f>
        <v>-912.63793199999975</v>
      </c>
      <c r="Z49" s="383">
        <v>0</v>
      </c>
      <c r="AA49" s="383"/>
      <c r="AB49" s="383">
        <v>0</v>
      </c>
      <c r="AC49" s="383">
        <f>SUM(AC9:AF44)</f>
        <v>-912.63793199999975</v>
      </c>
      <c r="AD49" s="377"/>
      <c r="AE49" s="382" t="s">
        <v>134</v>
      </c>
    </row>
    <row r="50" spans="1:31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8"/>
      <c r="AD50" s="377"/>
      <c r="AE50" s="334"/>
    </row>
    <row r="51" spans="1:31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8"/>
      <c r="AD51" s="350"/>
    </row>
    <row r="52" spans="1:31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-50.001000000000005</v>
      </c>
      <c r="V52" s="362"/>
      <c r="W52" s="362"/>
      <c r="X52" s="362"/>
      <c r="Y52" s="363">
        <v>-50.001000000000005</v>
      </c>
      <c r="Z52" s="363"/>
      <c r="AA52" s="363"/>
      <c r="AB52" s="363"/>
      <c r="AC52" s="363">
        <v>-50.001000000000005</v>
      </c>
      <c r="AD52" s="355"/>
      <c r="AE52" s="334"/>
    </row>
    <row r="53" spans="1:31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-12</v>
      </c>
      <c r="V53" s="362"/>
      <c r="W53" s="362"/>
      <c r="X53" s="362"/>
      <c r="Y53" s="363">
        <v>-12</v>
      </c>
      <c r="Z53" s="363"/>
      <c r="AA53" s="363"/>
      <c r="AB53" s="363"/>
      <c r="AC53" s="363">
        <v>-12</v>
      </c>
      <c r="AD53" s="355"/>
      <c r="AE53" s="334"/>
    </row>
    <row r="54" spans="1:31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-7.2509999999999994</v>
      </c>
      <c r="V54" s="362"/>
      <c r="W54" s="362"/>
      <c r="X54" s="362"/>
      <c r="Y54" s="363">
        <v>-7.2509999999999994</v>
      </c>
      <c r="Z54" s="363"/>
      <c r="AA54" s="363"/>
      <c r="AB54" s="363"/>
      <c r="AC54" s="363">
        <v>-7.2509999999999994</v>
      </c>
      <c r="AD54" s="355"/>
      <c r="AE54" s="334"/>
    </row>
    <row r="55" spans="1:31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-0.99655000000000005</v>
      </c>
      <c r="V55" s="362"/>
      <c r="W55" s="362"/>
      <c r="X55" s="362"/>
      <c r="Y55" s="363">
        <v>-0.99655000000000005</v>
      </c>
      <c r="Z55" s="363"/>
      <c r="AA55" s="363"/>
      <c r="AB55" s="363"/>
      <c r="AC55" s="363">
        <v>-0.99655000000000005</v>
      </c>
      <c r="AD55" s="355"/>
      <c r="AE55" s="334" t="s">
        <v>134</v>
      </c>
    </row>
    <row r="56" spans="1:31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/>
      <c r="AA56" s="363"/>
      <c r="AB56" s="363"/>
      <c r="AC56" s="363">
        <v>0</v>
      </c>
      <c r="AD56" s="355"/>
      <c r="AE56" s="334"/>
    </row>
    <row r="57" spans="1:31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/>
      <c r="AC57" s="363">
        <v>0</v>
      </c>
      <c r="AD57" s="355"/>
      <c r="AE57" s="334"/>
    </row>
    <row r="58" spans="1:31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-70.248550000000009</v>
      </c>
      <c r="V58" s="354">
        <v>0</v>
      </c>
      <c r="W58" s="354">
        <v>0</v>
      </c>
      <c r="X58" s="354"/>
      <c r="Y58" s="357">
        <f>SUM(Y52:Y57)</f>
        <v>-70.248550000000009</v>
      </c>
      <c r="Z58" s="357">
        <v>0</v>
      </c>
      <c r="AA58" s="357"/>
      <c r="AB58" s="357">
        <v>0</v>
      </c>
      <c r="AC58" s="357">
        <f>SUM(AC52:AC57)</f>
        <v>-70.248550000000009</v>
      </c>
      <c r="AD58" s="355"/>
      <c r="AE58" s="334"/>
    </row>
    <row r="59" spans="1:31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8"/>
      <c r="AD59" s="350"/>
    </row>
    <row r="60" spans="1:31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8"/>
      <c r="AD60" s="350"/>
    </row>
    <row r="61" spans="1:31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8"/>
      <c r="AD61" s="350"/>
    </row>
    <row r="62" spans="1:31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-3.25</v>
      </c>
      <c r="V62" s="351">
        <v>-6.5825100000000001</v>
      </c>
      <c r="W62" s="351"/>
      <c r="X62" s="351">
        <v>-2.9300000000000104E-2</v>
      </c>
      <c r="Y62" s="363">
        <v>-9.8325099999999992</v>
      </c>
      <c r="Z62" s="363"/>
      <c r="AA62" s="363"/>
      <c r="AB62" s="363"/>
      <c r="AC62" s="363">
        <v>-9.8325099999999992</v>
      </c>
      <c r="AD62" s="355"/>
      <c r="AE62" s="334"/>
    </row>
    <row r="63" spans="1:31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-37.14564</v>
      </c>
      <c r="W63" s="351"/>
      <c r="X63" s="351"/>
      <c r="Y63" s="363">
        <v>-37.14564</v>
      </c>
      <c r="Z63" s="363"/>
      <c r="AA63" s="363"/>
      <c r="AB63" s="363"/>
      <c r="AC63" s="363">
        <v>-37.14564</v>
      </c>
      <c r="AD63" s="355"/>
      <c r="AE63" s="334"/>
    </row>
    <row r="64" spans="1:31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-2.9009999999999998</v>
      </c>
      <c r="V64" s="351"/>
      <c r="W64" s="351"/>
      <c r="X64" s="351"/>
      <c r="Y64" s="363">
        <v>-2.9009999999999998</v>
      </c>
      <c r="Z64" s="363"/>
      <c r="AA64" s="363"/>
      <c r="AB64" s="363"/>
      <c r="AC64" s="363">
        <v>-2.9009999999999998</v>
      </c>
      <c r="AD64" s="355"/>
      <c r="AE64" s="334"/>
    </row>
    <row r="65" spans="1:31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-0.57600000000000007</v>
      </c>
      <c r="V65" s="351"/>
      <c r="W65" s="351"/>
      <c r="X65" s="351"/>
      <c r="Y65" s="363">
        <v>-0.57600000000000007</v>
      </c>
      <c r="Z65" s="363"/>
      <c r="AA65" s="363"/>
      <c r="AB65" s="363"/>
      <c r="AC65" s="363">
        <v>-0.57600000000000007</v>
      </c>
      <c r="AD65" s="355"/>
      <c r="AE65" s="334"/>
    </row>
    <row r="66" spans="1:31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/>
      <c r="AC66" s="363">
        <v>0</v>
      </c>
      <c r="AD66" s="355"/>
      <c r="AE66" s="334"/>
    </row>
    <row r="67" spans="1:31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-0.87</v>
      </c>
      <c r="V67" s="351"/>
      <c r="W67" s="351"/>
      <c r="X67" s="351"/>
      <c r="Y67" s="363">
        <v>-0.87</v>
      </c>
      <c r="Z67" s="363"/>
      <c r="AA67" s="363"/>
      <c r="AB67" s="363"/>
      <c r="AC67" s="363">
        <v>-0.87</v>
      </c>
      <c r="AD67" s="355"/>
      <c r="AE67" s="334"/>
    </row>
    <row r="68" spans="1:31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-1.4175599999999999</v>
      </c>
      <c r="V68" s="351"/>
      <c r="W68" s="351"/>
      <c r="X68" s="351"/>
      <c r="Y68" s="363">
        <v>-1.4175599999999999</v>
      </c>
      <c r="Z68" s="363"/>
      <c r="AA68" s="363"/>
      <c r="AB68" s="363"/>
      <c r="AC68" s="363">
        <v>-1.4175599999999999</v>
      </c>
      <c r="AD68" s="355"/>
      <c r="AE68" s="334"/>
    </row>
    <row r="69" spans="1:31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-0.60226999999999986</v>
      </c>
      <c r="V69" s="351"/>
      <c r="W69" s="351"/>
      <c r="X69" s="351"/>
      <c r="Y69" s="363">
        <v>-0.60226999999999986</v>
      </c>
      <c r="Z69" s="363"/>
      <c r="AA69" s="363"/>
      <c r="AB69" s="363"/>
      <c r="AC69" s="363">
        <v>-0.60226999999999986</v>
      </c>
      <c r="AD69" s="355"/>
      <c r="AE69" s="334"/>
    </row>
    <row r="70" spans="1:31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-3.375</v>
      </c>
      <c r="V70" s="351"/>
      <c r="W70" s="351"/>
      <c r="X70" s="351"/>
      <c r="Y70" s="363">
        <v>-3.375</v>
      </c>
      <c r="Z70" s="363"/>
      <c r="AA70" s="363"/>
      <c r="AB70" s="363"/>
      <c r="AC70" s="363">
        <v>-3.375</v>
      </c>
      <c r="AD70" s="355"/>
      <c r="AE70" s="334"/>
    </row>
    <row r="71" spans="1:31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/>
      <c r="AC71" s="363">
        <v>0</v>
      </c>
      <c r="AD71" s="355"/>
      <c r="AE71" s="334"/>
    </row>
    <row r="72" spans="1:31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-12.99183</v>
      </c>
      <c r="V72" s="393">
        <f t="shared" ref="V72:AC72" si="0">SUM(V62:V71)</f>
        <v>-43.728149999999999</v>
      </c>
      <c r="W72" s="393">
        <f t="shared" si="0"/>
        <v>0</v>
      </c>
      <c r="X72" s="393">
        <f t="shared" si="0"/>
        <v>-2.9300000000000104E-2</v>
      </c>
      <c r="Y72" s="395">
        <f t="shared" si="0"/>
        <v>-56.719979999999993</v>
      </c>
      <c r="Z72" s="395">
        <f t="shared" si="0"/>
        <v>0</v>
      </c>
      <c r="AA72" s="395">
        <f t="shared" si="0"/>
        <v>0</v>
      </c>
      <c r="AB72" s="395">
        <f t="shared" si="0"/>
        <v>0</v>
      </c>
      <c r="AC72" s="395">
        <f t="shared" si="0"/>
        <v>-56.719979999999993</v>
      </c>
      <c r="AD72" s="394"/>
      <c r="AE72" s="334"/>
    </row>
    <row r="73" spans="1:31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8"/>
      <c r="AD73" s="350"/>
    </row>
    <row r="74" spans="1:31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8"/>
      <c r="AD74" s="350"/>
    </row>
    <row r="75" spans="1:31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-10.009729999999999</v>
      </c>
      <c r="V75" s="351"/>
      <c r="W75" s="351"/>
      <c r="X75" s="442">
        <v>-0.33644000000000002</v>
      </c>
      <c r="Y75" s="363">
        <v>-10.346169999999999</v>
      </c>
      <c r="Z75" s="363"/>
      <c r="AA75" s="363"/>
      <c r="AB75" s="363"/>
      <c r="AC75" s="363">
        <v>-10.346169999999999</v>
      </c>
      <c r="AD75" s="355" t="s">
        <v>134</v>
      </c>
      <c r="AE75" s="334"/>
    </row>
    <row r="76" spans="1:31" s="352" customFormat="1" x14ac:dyDescent="0.2">
      <c r="A76" s="320" t="str">
        <f>IFERROR(VLOOKUP(B76,mapping_one_neo!A:B,2,FALSE),"")</f>
        <v/>
      </c>
      <c r="B76" s="388" t="s">
        <v>780</v>
      </c>
      <c r="C76" s="396" t="s">
        <v>750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0</v>
      </c>
      <c r="V76" s="351"/>
      <c r="W76" s="351"/>
      <c r="X76" s="351"/>
      <c r="Y76" s="363">
        <v>0</v>
      </c>
      <c r="Z76" s="363"/>
      <c r="AA76" s="363"/>
      <c r="AB76" s="363"/>
      <c r="AC76" s="363">
        <v>0</v>
      </c>
      <c r="AD76" s="355"/>
      <c r="AE76" s="334"/>
    </row>
    <row r="77" spans="1:31" s="352" customFormat="1" x14ac:dyDescent="0.2">
      <c r="A77" s="320" t="str">
        <f>IFERROR(VLOOKUP(B77,mapping_one_neo!A:B,2,FALSE),"")</f>
        <v>Allowance &amp; subsistence</v>
      </c>
      <c r="B77" s="388" t="s">
        <v>751</v>
      </c>
      <c r="C77" s="353">
        <v>625700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-2.9393899999999999</v>
      </c>
      <c r="V77" s="351"/>
      <c r="W77" s="351"/>
      <c r="X77" s="351"/>
      <c r="Y77" s="363">
        <v>-2.9393899999999999</v>
      </c>
      <c r="Z77" s="363"/>
      <c r="AA77" s="363"/>
      <c r="AB77" s="363"/>
      <c r="AC77" s="363">
        <v>-2.9393899999999999</v>
      </c>
      <c r="AD77" s="355"/>
      <c r="AE77" s="334"/>
    </row>
    <row r="78" spans="1:31" s="352" customFormat="1" x14ac:dyDescent="0.2">
      <c r="A78" s="320" t="str">
        <f>IFERROR(VLOOKUP(B78,mapping_one_neo!A:B,2,FALSE),"")</f>
        <v/>
      </c>
      <c r="B78" s="388" t="s">
        <v>787</v>
      </c>
      <c r="C78" s="353">
        <v>625650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-1.12476</v>
      </c>
      <c r="V78" s="351"/>
      <c r="W78" s="351"/>
      <c r="X78" s="442">
        <v>-2.0235500000000002</v>
      </c>
      <c r="Y78" s="363">
        <v>-3.1483100000000004</v>
      </c>
      <c r="Z78" s="363"/>
      <c r="AA78" s="363"/>
      <c r="AB78" s="363"/>
      <c r="AC78" s="363">
        <v>-3.1483100000000004</v>
      </c>
      <c r="AD78" s="355"/>
      <c r="AE78" s="334"/>
    </row>
    <row r="79" spans="1:31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-14.073879999999999</v>
      </c>
      <c r="V79" s="393">
        <f t="shared" ref="V79:AC79" si="1">SUM(V75:V78)</f>
        <v>0</v>
      </c>
      <c r="W79" s="393">
        <f t="shared" si="1"/>
        <v>0</v>
      </c>
      <c r="X79" s="393">
        <f t="shared" si="1"/>
        <v>-2.3599900000000003</v>
      </c>
      <c r="Y79" s="393">
        <f t="shared" si="1"/>
        <v>-16.433869999999999</v>
      </c>
      <c r="Z79" s="393">
        <f t="shared" si="1"/>
        <v>0</v>
      </c>
      <c r="AA79" s="393">
        <f t="shared" si="1"/>
        <v>0</v>
      </c>
      <c r="AB79" s="393">
        <f t="shared" si="1"/>
        <v>0</v>
      </c>
      <c r="AC79" s="393">
        <f t="shared" si="1"/>
        <v>-16.433869999999999</v>
      </c>
      <c r="AD79" s="394"/>
      <c r="AE79" s="334"/>
    </row>
    <row r="80" spans="1:31" x14ac:dyDescent="0.2">
      <c r="A80" s="320" t="str">
        <f>IFERROR(VLOOKUP(B80,mapping_one_neo!A:B,2,FALSE),"")</f>
        <v/>
      </c>
      <c r="G80" s="336"/>
      <c r="H80" s="336"/>
      <c r="I80" s="336"/>
      <c r="J80" s="336">
        <v>0</v>
      </c>
      <c r="K80" s="336"/>
      <c r="L80" s="336"/>
      <c r="M80" s="336">
        <v>0</v>
      </c>
      <c r="N80" s="336"/>
      <c r="O80" s="336"/>
      <c r="P80" s="336"/>
      <c r="Q80" s="336"/>
      <c r="R80" s="336"/>
      <c r="S80" s="349"/>
      <c r="T80" s="346"/>
      <c r="U80" s="351"/>
      <c r="V80" s="351"/>
      <c r="W80" s="351"/>
      <c r="X80" s="351"/>
      <c r="Y80" s="358"/>
      <c r="Z80" s="358"/>
      <c r="AA80" s="358"/>
      <c r="AB80" s="358"/>
      <c r="AC80" s="358"/>
      <c r="AD80" s="350"/>
    </row>
    <row r="81" spans="1:31" x14ac:dyDescent="0.2">
      <c r="A81" s="320">
        <f>IFERROR(VLOOKUP(B81,mapping_one_neo!A:B,2,FALSE),"")</f>
        <v>0</v>
      </c>
      <c r="B81" s="352" t="s">
        <v>57</v>
      </c>
      <c r="C81" s="353"/>
      <c r="E81" s="354">
        <v>-260.00366843793921</v>
      </c>
      <c r="G81" s="354">
        <v>-14.901219999999999</v>
      </c>
      <c r="H81" s="354">
        <v>-24.423729999999995</v>
      </c>
      <c r="I81" s="354">
        <v>-23.112830000000002</v>
      </c>
      <c r="J81" s="354">
        <v>-19.212610000000002</v>
      </c>
      <c r="K81" s="354">
        <v>-16.32507</v>
      </c>
      <c r="L81" s="354">
        <v>-19.04739</v>
      </c>
      <c r="M81" s="354">
        <v>-24.760217295586671</v>
      </c>
      <c r="N81" s="354">
        <v>-21.925321462253336</v>
      </c>
      <c r="O81" s="354">
        <v>-22.242061045586674</v>
      </c>
      <c r="P81" s="354">
        <v>-24.338092295586669</v>
      </c>
      <c r="Q81" s="354">
        <v>-22.638092295586667</v>
      </c>
      <c r="R81" s="354">
        <v>-27.077034043339125</v>
      </c>
      <c r="S81" s="349"/>
      <c r="T81" s="346"/>
      <c r="U81" s="354">
        <f>U72+U79</f>
        <v>-27.065709999999999</v>
      </c>
      <c r="V81" s="354">
        <f t="shared" ref="V81:AC81" si="2">V72+V79</f>
        <v>-43.728149999999999</v>
      </c>
      <c r="W81" s="354">
        <f t="shared" si="2"/>
        <v>0</v>
      </c>
      <c r="X81" s="354">
        <f t="shared" si="2"/>
        <v>-2.3892900000000004</v>
      </c>
      <c r="Y81" s="354">
        <f t="shared" si="2"/>
        <v>-73.153849999999991</v>
      </c>
      <c r="Z81" s="354">
        <f t="shared" si="2"/>
        <v>0</v>
      </c>
      <c r="AA81" s="354">
        <f t="shared" si="2"/>
        <v>0</v>
      </c>
      <c r="AB81" s="354">
        <f t="shared" si="2"/>
        <v>0</v>
      </c>
      <c r="AC81" s="354">
        <f t="shared" si="2"/>
        <v>-73.153849999999991</v>
      </c>
      <c r="AD81" s="350"/>
    </row>
    <row r="82" spans="1:31" x14ac:dyDescent="0.2">
      <c r="A82" s="320" t="str">
        <f>IFERROR(VLOOKUP(B82,mapping_one_neo!A:B,2,FALSE),"")</f>
        <v/>
      </c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8"/>
      <c r="AD82" s="350"/>
    </row>
    <row r="83" spans="1:31" x14ac:dyDescent="0.2">
      <c r="A83" s="320">
        <f>IFERROR(VLOOKUP(B83,mapping_one_neo!A:B,2,FALSE),"")</f>
        <v>0</v>
      </c>
      <c r="B83" s="352" t="s">
        <v>58</v>
      </c>
      <c r="C83" s="353"/>
      <c r="S83" s="349"/>
      <c r="T83" s="346"/>
      <c r="U83" s="351"/>
      <c r="V83" s="351"/>
      <c r="W83" s="351"/>
      <c r="X83" s="351"/>
      <c r="Y83" s="358"/>
      <c r="Z83" s="358"/>
      <c r="AA83" s="358"/>
      <c r="AB83" s="358"/>
      <c r="AC83" s="358"/>
      <c r="AD83" s="350"/>
    </row>
    <row r="84" spans="1:31" x14ac:dyDescent="0.2">
      <c r="A84" s="320">
        <f>IFERROR(VLOOKUP(B84,mapping_one_neo!A:B,2,FALSE),"")</f>
        <v>0</v>
      </c>
      <c r="B84" s="387" t="s">
        <v>59</v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8"/>
      <c r="AD84" s="350"/>
    </row>
    <row r="85" spans="1:31" s="352" customFormat="1" x14ac:dyDescent="0.2">
      <c r="A85" s="320" t="str">
        <f>IFERROR(VLOOKUP(B85,mapping_one_neo!A:B,2,FALSE),"")</f>
        <v>New business/client presentation costs</v>
      </c>
      <c r="B85" s="388" t="s">
        <v>60</v>
      </c>
      <c r="C85" s="353" t="s">
        <v>153</v>
      </c>
      <c r="E85" s="356">
        <v>-9.3027399999999982</v>
      </c>
      <c r="G85" s="419">
        <v>-0.41615999999999997</v>
      </c>
      <c r="H85" s="419">
        <v>-0.42371000000000003</v>
      </c>
      <c r="I85" s="419">
        <v>-0.41617000000000004</v>
      </c>
      <c r="J85" s="419">
        <v>-0.45894999999999997</v>
      </c>
      <c r="K85" s="419">
        <v>-0.41615999999999986</v>
      </c>
      <c r="L85" s="419">
        <v>-0.4027400000000001</v>
      </c>
      <c r="M85" s="419">
        <v>-1.0356262499999989</v>
      </c>
      <c r="N85" s="419">
        <v>-0.5</v>
      </c>
      <c r="O85" s="419">
        <v>-1.3083059374999999</v>
      </c>
      <c r="P85" s="419">
        <v>-1.3083059374999999</v>
      </c>
      <c r="Q85" s="419">
        <v>-1.3083059374999999</v>
      </c>
      <c r="R85" s="419">
        <v>-1.3083059374999999</v>
      </c>
      <c r="S85" s="345"/>
      <c r="T85" s="361"/>
      <c r="U85" s="351"/>
      <c r="V85" s="351"/>
      <c r="W85" s="351"/>
      <c r="X85" s="351"/>
      <c r="Y85" s="363"/>
      <c r="Z85" s="363"/>
      <c r="AA85" s="363"/>
      <c r="AB85" s="363"/>
      <c r="AC85" s="363"/>
      <c r="AD85" s="355"/>
      <c r="AE85" s="334"/>
    </row>
    <row r="86" spans="1:31" s="352" customFormat="1" x14ac:dyDescent="0.2">
      <c r="A86" s="320" t="str">
        <f>IFERROR(VLOOKUP(B86,mapping_one_neo!A:B,2,FALSE),"")</f>
        <v>New business/client presentation costs</v>
      </c>
      <c r="B86" s="388" t="s">
        <v>61</v>
      </c>
      <c r="C86" s="342">
        <v>625131</v>
      </c>
      <c r="E86" s="356">
        <v>-2.3610500000000005</v>
      </c>
      <c r="G86" s="419">
        <v>-0.4224</v>
      </c>
      <c r="H86" s="419">
        <v>0</v>
      </c>
      <c r="I86" s="419">
        <v>0</v>
      </c>
      <c r="J86" s="419">
        <v>0</v>
      </c>
      <c r="K86" s="419">
        <v>0</v>
      </c>
      <c r="L86" s="419">
        <v>-0.16105000000000003</v>
      </c>
      <c r="M86" s="419">
        <v>-0.29626666666666668</v>
      </c>
      <c r="N86" s="419">
        <v>-0.29626666666666668</v>
      </c>
      <c r="O86" s="419">
        <v>-0.29626666666666668</v>
      </c>
      <c r="P86" s="419">
        <v>-0.29626666666666668</v>
      </c>
      <c r="Q86" s="419">
        <v>-0.29626666666666668</v>
      </c>
      <c r="R86" s="419">
        <v>-0.29626666666666668</v>
      </c>
      <c r="S86" s="345"/>
      <c r="T86" s="361"/>
      <c r="U86" s="351"/>
      <c r="V86" s="351"/>
      <c r="W86" s="351"/>
      <c r="X86" s="351"/>
      <c r="Y86" s="363"/>
      <c r="Z86" s="363"/>
      <c r="AA86" s="363"/>
      <c r="AB86" s="363"/>
      <c r="AC86" s="363"/>
      <c r="AD86" s="355"/>
      <c r="AE86" s="334"/>
    </row>
    <row r="87" spans="1:31" s="352" customFormat="1" x14ac:dyDescent="0.2">
      <c r="A87" s="320" t="str">
        <f>IFERROR(VLOOKUP(B87,mapping_one_neo!A:B,2,FALSE),"")</f>
        <v>New business/client presentation costs</v>
      </c>
      <c r="B87" s="388" t="s">
        <v>788</v>
      </c>
      <c r="C87" s="353" t="s">
        <v>789</v>
      </c>
      <c r="E87" s="356">
        <v>-1.7195299999999998</v>
      </c>
      <c r="G87" s="419">
        <v>0</v>
      </c>
      <c r="H87" s="419">
        <v>-0.21934999999999999</v>
      </c>
      <c r="I87" s="419">
        <v>0</v>
      </c>
      <c r="J87" s="419">
        <v>-0.21328000000000003</v>
      </c>
      <c r="K87" s="419">
        <v>-4.2419999999999958E-2</v>
      </c>
      <c r="L87" s="419">
        <v>-5.4440000000000044E-2</v>
      </c>
      <c r="M87" s="419">
        <v>-0.19833999999999999</v>
      </c>
      <c r="N87" s="419">
        <v>-0.19833999999999999</v>
      </c>
      <c r="O87" s="419">
        <v>-0.19833999999999999</v>
      </c>
      <c r="P87" s="419">
        <v>-0.19833999999999999</v>
      </c>
      <c r="Q87" s="419">
        <v>-0.19833999999999999</v>
      </c>
      <c r="R87" s="419">
        <v>-0.19833999999999999</v>
      </c>
      <c r="S87" s="345"/>
      <c r="T87" s="361"/>
      <c r="U87" s="351">
        <v>-0.28745999999999999</v>
      </c>
      <c r="V87" s="351"/>
      <c r="W87" s="351"/>
      <c r="X87" s="351"/>
      <c r="Y87" s="363">
        <v>-0.28745999999999999</v>
      </c>
      <c r="Z87" s="363"/>
      <c r="AA87" s="363"/>
      <c r="AB87" s="363"/>
      <c r="AC87" s="363">
        <v>-0.28745999999999999</v>
      </c>
      <c r="AD87" s="355"/>
      <c r="AE87" s="334"/>
    </row>
    <row r="88" spans="1:31" s="387" customFormat="1" x14ac:dyDescent="0.2">
      <c r="A88" s="320">
        <f>IFERROR(VLOOKUP(B88,mapping_one_neo!A:B,2,FALSE),"")</f>
        <v>0</v>
      </c>
      <c r="B88" s="387" t="s">
        <v>63</v>
      </c>
      <c r="C88" s="392"/>
      <c r="E88" s="393">
        <v>-13.383319999999998</v>
      </c>
      <c r="G88" s="393">
        <v>-0.83855999999999997</v>
      </c>
      <c r="H88" s="393">
        <v>-0.64305999999999996</v>
      </c>
      <c r="I88" s="393">
        <v>-0.41617000000000004</v>
      </c>
      <c r="J88" s="393">
        <v>-0.67222999999999999</v>
      </c>
      <c r="K88" s="393">
        <v>-0.45857999999999982</v>
      </c>
      <c r="L88" s="393">
        <v>-0.61823000000000017</v>
      </c>
      <c r="M88" s="393">
        <v>-1.5302329166666655</v>
      </c>
      <c r="N88" s="393">
        <v>-0.99460666666666664</v>
      </c>
      <c r="O88" s="393">
        <v>-1.8029126041666665</v>
      </c>
      <c r="P88" s="393">
        <v>-1.8029126041666665</v>
      </c>
      <c r="Q88" s="393">
        <v>-1.8029126041666665</v>
      </c>
      <c r="R88" s="393">
        <v>-1.8029126041666665</v>
      </c>
      <c r="S88" s="349"/>
      <c r="T88" s="346"/>
      <c r="U88" s="393">
        <f>SUM(U86:U87)</f>
        <v>-0.28745999999999999</v>
      </c>
      <c r="V88" s="393">
        <f t="shared" ref="V88:AC88" si="3">SUM(V86:V87)</f>
        <v>0</v>
      </c>
      <c r="W88" s="393">
        <f t="shared" si="3"/>
        <v>0</v>
      </c>
      <c r="X88" s="393">
        <f t="shared" si="3"/>
        <v>0</v>
      </c>
      <c r="Y88" s="395">
        <f t="shared" si="3"/>
        <v>-0.28745999999999999</v>
      </c>
      <c r="Z88" s="395">
        <f t="shared" si="3"/>
        <v>0</v>
      </c>
      <c r="AA88" s="395">
        <f t="shared" si="3"/>
        <v>0</v>
      </c>
      <c r="AB88" s="395">
        <f t="shared" si="3"/>
        <v>0</v>
      </c>
      <c r="AC88" s="395">
        <f t="shared" si="3"/>
        <v>-0.28745999999999999</v>
      </c>
      <c r="AD88" s="394"/>
      <c r="AE88" s="334"/>
    </row>
    <row r="89" spans="1:31" x14ac:dyDescent="0.2">
      <c r="A89" s="320" t="str">
        <f>IFERROR(VLOOKUP(B89,mapping_one_neo!A:B,2,FALSE),"")</f>
        <v/>
      </c>
      <c r="J89" s="335">
        <v>0</v>
      </c>
      <c r="M89" s="335">
        <v>0</v>
      </c>
      <c r="S89" s="349"/>
      <c r="T89" s="346"/>
      <c r="U89" s="351"/>
      <c r="V89" s="351"/>
      <c r="W89" s="351"/>
      <c r="X89" s="351"/>
      <c r="Y89" s="358"/>
      <c r="Z89" s="358"/>
      <c r="AA89" s="358"/>
      <c r="AB89" s="358"/>
      <c r="AC89" s="358"/>
      <c r="AD89" s="350"/>
    </row>
    <row r="90" spans="1:31" x14ac:dyDescent="0.2">
      <c r="A90" s="320">
        <f>IFERROR(VLOOKUP(B90,mapping_one_neo!A:B,2,FALSE),"")</f>
        <v>0</v>
      </c>
      <c r="B90" s="387" t="s">
        <v>64</v>
      </c>
      <c r="J90" s="335">
        <v>0</v>
      </c>
      <c r="M90" s="335">
        <v>0</v>
      </c>
      <c r="S90" s="349"/>
      <c r="T90" s="346"/>
      <c r="U90" s="351"/>
      <c r="V90" s="351"/>
      <c r="W90" s="351"/>
      <c r="X90" s="351"/>
      <c r="Y90" s="358">
        <v>0</v>
      </c>
      <c r="Z90" s="358"/>
      <c r="AA90" s="358"/>
      <c r="AB90" s="358"/>
      <c r="AC90" s="358"/>
      <c r="AD90" s="350"/>
    </row>
    <row r="91" spans="1:31" s="352" customFormat="1" x14ac:dyDescent="0.2">
      <c r="A91" s="320" t="str">
        <f>IFERROR(VLOOKUP(B91,mapping_one_neo!A:B,2,FALSE),"")</f>
        <v>Advert/promotion</v>
      </c>
      <c r="B91" s="388" t="s">
        <v>65</v>
      </c>
      <c r="C91" s="396" t="s">
        <v>790</v>
      </c>
      <c r="E91" s="356">
        <v>-23.226660000000003</v>
      </c>
      <c r="G91" s="419">
        <v>-1</v>
      </c>
      <c r="H91" s="419">
        <v>-1</v>
      </c>
      <c r="I91" s="419">
        <v>-3.4225000000000003</v>
      </c>
      <c r="J91" s="419">
        <v>-1.3041599999999995</v>
      </c>
      <c r="K91" s="419">
        <v>-1</v>
      </c>
      <c r="L91" s="419">
        <v>-3.5000000000000009</v>
      </c>
      <c r="M91" s="419">
        <v>-5</v>
      </c>
      <c r="N91" s="419">
        <v>-2.5</v>
      </c>
      <c r="O91" s="419">
        <v>-1</v>
      </c>
      <c r="P91" s="419">
        <v>-1</v>
      </c>
      <c r="Q91" s="419">
        <v>-1</v>
      </c>
      <c r="R91" s="419">
        <v>-1.5</v>
      </c>
      <c r="S91" s="345"/>
      <c r="T91" s="361"/>
      <c r="U91" s="351">
        <v>-0.48812</v>
      </c>
      <c r="V91" s="351"/>
      <c r="W91" s="351"/>
      <c r="X91" s="351">
        <v>0</v>
      </c>
      <c r="Y91" s="363">
        <v>-0.48812</v>
      </c>
      <c r="Z91" s="363"/>
      <c r="AA91" s="363"/>
      <c r="AB91" s="363"/>
      <c r="AC91" s="363">
        <v>-0.48812</v>
      </c>
      <c r="AD91" s="355"/>
    </row>
    <row r="92" spans="1:31" s="352" customFormat="1" x14ac:dyDescent="0.2">
      <c r="A92" s="320" t="str">
        <f>IFERROR(VLOOKUP(B92,mapping_one_neo!A:B,2,FALSE),"")</f>
        <v>Advert/promotion</v>
      </c>
      <c r="B92" s="388" t="s">
        <v>66</v>
      </c>
      <c r="C92" s="353">
        <v>623400</v>
      </c>
      <c r="E92" s="356">
        <v>-3</v>
      </c>
      <c r="G92" s="419">
        <v>0</v>
      </c>
      <c r="H92" s="419">
        <v>0</v>
      </c>
      <c r="I92" s="419">
        <v>0</v>
      </c>
      <c r="J92" s="419">
        <v>0</v>
      </c>
      <c r="K92" s="419">
        <v>0</v>
      </c>
      <c r="L92" s="419">
        <v>0</v>
      </c>
      <c r="M92" s="419">
        <v>0</v>
      </c>
      <c r="N92" s="419">
        <v>0</v>
      </c>
      <c r="O92" s="419"/>
      <c r="P92" s="419"/>
      <c r="Q92" s="419"/>
      <c r="R92" s="419">
        <v>-3</v>
      </c>
      <c r="S92" s="345"/>
      <c r="T92" s="361"/>
      <c r="U92" s="351">
        <v>-4.9799999999999997E-2</v>
      </c>
      <c r="V92" s="362"/>
      <c r="W92" s="362"/>
      <c r="X92" s="362">
        <v>0</v>
      </c>
      <c r="Y92" s="363">
        <v>-4.9799999999999997E-2</v>
      </c>
      <c r="Z92" s="363"/>
      <c r="AA92" s="363"/>
      <c r="AB92" s="363"/>
      <c r="AC92" s="363">
        <v>-4.9799999999999997E-2</v>
      </c>
      <c r="AD92" s="355"/>
      <c r="AE92" s="334"/>
    </row>
    <row r="93" spans="1:31" s="387" customFormat="1" x14ac:dyDescent="0.2">
      <c r="A93" s="320">
        <f>IFERROR(VLOOKUP(B93,mapping_one_neo!A:B,2,FALSE),"")</f>
        <v>0</v>
      </c>
      <c r="B93" s="387" t="s">
        <v>67</v>
      </c>
      <c r="C93" s="392"/>
      <c r="E93" s="393">
        <v>-26.226660000000003</v>
      </c>
      <c r="G93" s="393">
        <v>-1</v>
      </c>
      <c r="H93" s="393">
        <v>-1</v>
      </c>
      <c r="I93" s="393">
        <v>-3.4225000000000003</v>
      </c>
      <c r="J93" s="393">
        <v>-1.3041599999999995</v>
      </c>
      <c r="K93" s="393">
        <v>-1</v>
      </c>
      <c r="L93" s="393">
        <v>-3.5000000000000009</v>
      </c>
      <c r="M93" s="393">
        <v>-5</v>
      </c>
      <c r="N93" s="393">
        <v>-2.5</v>
      </c>
      <c r="O93" s="393">
        <v>-1</v>
      </c>
      <c r="P93" s="393">
        <v>-1</v>
      </c>
      <c r="Q93" s="393">
        <v>-1</v>
      </c>
      <c r="R93" s="393">
        <v>-4.5</v>
      </c>
      <c r="S93" s="349"/>
      <c r="T93" s="346"/>
      <c r="U93" s="393">
        <f>SUM(U91:U92)</f>
        <v>-0.53791999999999995</v>
      </c>
      <c r="V93" s="393">
        <f t="shared" ref="V93:AC93" si="4">SUM(V91:V92)</f>
        <v>0</v>
      </c>
      <c r="W93" s="393">
        <f t="shared" si="4"/>
        <v>0</v>
      </c>
      <c r="X93" s="393">
        <f t="shared" si="4"/>
        <v>0</v>
      </c>
      <c r="Y93" s="393">
        <f t="shared" si="4"/>
        <v>-0.53791999999999995</v>
      </c>
      <c r="Z93" s="393">
        <f t="shared" si="4"/>
        <v>0</v>
      </c>
      <c r="AA93" s="393">
        <f t="shared" si="4"/>
        <v>0</v>
      </c>
      <c r="AB93" s="393">
        <f t="shared" si="4"/>
        <v>0</v>
      </c>
      <c r="AC93" s="393">
        <f t="shared" si="4"/>
        <v>-0.53791999999999995</v>
      </c>
      <c r="AD93" s="394"/>
      <c r="AE93" s="334"/>
    </row>
    <row r="94" spans="1:31" x14ac:dyDescent="0.2">
      <c r="A94" s="320" t="str">
        <f>IFERROR(VLOOKUP(B94,mapping_one_neo!A:B,2,FALSE),"")</f>
        <v/>
      </c>
      <c r="J94" s="335">
        <v>0</v>
      </c>
      <c r="M94" s="335">
        <v>0</v>
      </c>
      <c r="S94" s="349"/>
      <c r="T94" s="346"/>
      <c r="U94" s="351"/>
      <c r="V94" s="351"/>
      <c r="W94" s="351"/>
      <c r="X94" s="351"/>
      <c r="Y94" s="358"/>
      <c r="Z94" s="358"/>
      <c r="AA94" s="358"/>
      <c r="AB94" s="358"/>
      <c r="AC94" s="358"/>
      <c r="AD94" s="350"/>
    </row>
    <row r="95" spans="1:31" x14ac:dyDescent="0.2">
      <c r="A95" s="320">
        <f>IFERROR(VLOOKUP(B95,mapping_one_neo!A:B,2,FALSE),"")</f>
        <v>0</v>
      </c>
      <c r="B95" s="387" t="s">
        <v>68</v>
      </c>
      <c r="J95" s="335">
        <v>0</v>
      </c>
      <c r="M95" s="335">
        <v>0</v>
      </c>
      <c r="S95" s="349"/>
      <c r="T95" s="346"/>
      <c r="U95" s="351"/>
      <c r="V95" s="351"/>
      <c r="W95" s="351"/>
      <c r="X95" s="351"/>
      <c r="Y95" s="358"/>
      <c r="Z95" s="358"/>
      <c r="AA95" s="358"/>
      <c r="AB95" s="358"/>
      <c r="AC95" s="358"/>
      <c r="AD95" s="350"/>
    </row>
    <row r="96" spans="1:31" s="352" customFormat="1" x14ac:dyDescent="0.2">
      <c r="A96" s="320" t="str">
        <f>IFERROR(VLOOKUP(B96,mapping_one_neo!A:B,2,FALSE),"")</f>
        <v>Research costs</v>
      </c>
      <c r="B96" s="388" t="s">
        <v>753</v>
      </c>
      <c r="C96" s="353" t="s">
        <v>154</v>
      </c>
      <c r="E96" s="356">
        <v>-236.99979333333306</v>
      </c>
      <c r="G96" s="419">
        <v>-17.916666666666668</v>
      </c>
      <c r="H96" s="419">
        <v>-18.916780000000003</v>
      </c>
      <c r="I96" s="419">
        <v>-19.405189999999997</v>
      </c>
      <c r="J96" s="419">
        <v>-20.084492592592561</v>
      </c>
      <c r="K96" s="419">
        <v>-20.084492592592554</v>
      </c>
      <c r="L96" s="419">
        <v>-16.85770481481488</v>
      </c>
      <c r="M96" s="419">
        <v>-23.311487037036901</v>
      </c>
      <c r="N96" s="419">
        <v>-20.084595925925889</v>
      </c>
      <c r="O96" s="419">
        <v>-20.084595925925889</v>
      </c>
      <c r="P96" s="419">
        <v>-20.084595925925889</v>
      </c>
      <c r="Q96" s="419">
        <v>-20.084595925925889</v>
      </c>
      <c r="R96" s="419">
        <v>-20.084595925925889</v>
      </c>
      <c r="S96" s="345"/>
      <c r="T96" s="361"/>
      <c r="U96" s="397">
        <v>-68.916179999999997</v>
      </c>
      <c r="V96" s="362"/>
      <c r="W96" s="362"/>
      <c r="X96" s="351"/>
      <c r="Y96" s="363">
        <v>-68.916179999999997</v>
      </c>
      <c r="Z96" s="363"/>
      <c r="AA96" s="363"/>
      <c r="AB96" s="363"/>
      <c r="AC96" s="363">
        <v>-68.916179999999997</v>
      </c>
      <c r="AD96" s="355"/>
      <c r="AE96" s="334"/>
    </row>
    <row r="97" spans="1:31" s="352" customFormat="1" x14ac:dyDescent="0.2">
      <c r="A97" s="320" t="str">
        <f>IFERROR(VLOOKUP(B97,mapping_one_neo!A:B,2,FALSE),"")</f>
        <v>Other commercial costs</v>
      </c>
      <c r="B97" s="388" t="s">
        <v>754</v>
      </c>
      <c r="C97" s="353">
        <v>607178</v>
      </c>
      <c r="E97" s="356">
        <v>-57</v>
      </c>
      <c r="G97" s="419">
        <v>-4.75</v>
      </c>
      <c r="H97" s="419">
        <v>-4.75</v>
      </c>
      <c r="I97" s="419">
        <v>-4.75</v>
      </c>
      <c r="J97" s="419">
        <v>-4.75</v>
      </c>
      <c r="K97" s="419">
        <v>-4.75</v>
      </c>
      <c r="L97" s="419">
        <v>-4.0189999999999984</v>
      </c>
      <c r="M97" s="419">
        <v>-4.75</v>
      </c>
      <c r="N97" s="419">
        <v>-4.75</v>
      </c>
      <c r="O97" s="419">
        <v>-4.75</v>
      </c>
      <c r="P97" s="419">
        <v>-4.75</v>
      </c>
      <c r="Q97" s="419">
        <v>-4.75</v>
      </c>
      <c r="R97" s="419">
        <v>-5.4809999999999999</v>
      </c>
      <c r="S97" s="345" t="s">
        <v>134</v>
      </c>
      <c r="T97" s="361"/>
      <c r="U97" s="397">
        <v>-15.500999999999999</v>
      </c>
      <c r="V97" s="362"/>
      <c r="W97" s="362"/>
      <c r="X97" s="362"/>
      <c r="Y97" s="363">
        <v>-15.500999999999999</v>
      </c>
      <c r="Z97" s="363"/>
      <c r="AA97" s="363"/>
      <c r="AB97" s="363"/>
      <c r="AC97" s="363">
        <v>-15.500999999999999</v>
      </c>
      <c r="AD97" s="355"/>
      <c r="AE97" s="334"/>
    </row>
    <row r="98" spans="1:31" s="387" customFormat="1" x14ac:dyDescent="0.2">
      <c r="A98" s="320">
        <f>IFERROR(VLOOKUP(B98,mapping_one_neo!A:B,2,FALSE),"")</f>
        <v>0</v>
      </c>
      <c r="B98" s="387" t="s">
        <v>69</v>
      </c>
      <c r="C98" s="392"/>
      <c r="E98" s="393">
        <v>-293.99979333333306</v>
      </c>
      <c r="G98" s="393">
        <v>-22.666666666666668</v>
      </c>
      <c r="H98" s="393">
        <v>-23.666780000000003</v>
      </c>
      <c r="I98" s="393">
        <v>-24.155189999999997</v>
      </c>
      <c r="J98" s="393">
        <v>-24.834492592592561</v>
      </c>
      <c r="K98" s="393">
        <v>-24.834492592592554</v>
      </c>
      <c r="L98" s="393">
        <v>-20.876704814814879</v>
      </c>
      <c r="M98" s="393">
        <v>-28.061487037036901</v>
      </c>
      <c r="N98" s="393">
        <v>-24.834595925925889</v>
      </c>
      <c r="O98" s="393">
        <v>-24.834595925925889</v>
      </c>
      <c r="P98" s="393">
        <v>-24.834595925925889</v>
      </c>
      <c r="Q98" s="393">
        <v>-24.834595925925889</v>
      </c>
      <c r="R98" s="393">
        <v>-25.565595925925891</v>
      </c>
      <c r="S98" s="349"/>
      <c r="T98" s="346"/>
      <c r="U98" s="393">
        <f>SUM(U96:U97)</f>
        <v>-84.417180000000002</v>
      </c>
      <c r="V98" s="393">
        <f t="shared" ref="V98:AC98" si="5">SUM(V96:V97)</f>
        <v>0</v>
      </c>
      <c r="W98" s="393">
        <f t="shared" si="5"/>
        <v>0</v>
      </c>
      <c r="X98" s="393">
        <f t="shared" si="5"/>
        <v>0</v>
      </c>
      <c r="Y98" s="393">
        <f t="shared" si="5"/>
        <v>-84.417180000000002</v>
      </c>
      <c r="Z98" s="393">
        <f t="shared" si="5"/>
        <v>0</v>
      </c>
      <c r="AA98" s="393">
        <f t="shared" si="5"/>
        <v>0</v>
      </c>
      <c r="AB98" s="393">
        <f t="shared" si="5"/>
        <v>0</v>
      </c>
      <c r="AC98" s="393">
        <f t="shared" si="5"/>
        <v>-84.417180000000002</v>
      </c>
      <c r="AD98" s="394"/>
      <c r="AE98" s="334"/>
    </row>
    <row r="99" spans="1:31" x14ac:dyDescent="0.2">
      <c r="A99" s="320" t="str">
        <f>IFERROR(VLOOKUP(B99,mapping_one_neo!A:B,2,FALSE),"")</f>
        <v/>
      </c>
      <c r="G99" s="336"/>
      <c r="H99" s="336"/>
      <c r="I99" s="336"/>
      <c r="J99" s="336">
        <v>0</v>
      </c>
      <c r="K99" s="336"/>
      <c r="L99" s="336"/>
      <c r="M99" s="336">
        <v>0</v>
      </c>
      <c r="N99" s="336"/>
      <c r="O99" s="336"/>
      <c r="P99" s="336"/>
      <c r="Q99" s="336"/>
      <c r="R99" s="336"/>
      <c r="S99" s="349"/>
      <c r="T99" s="346"/>
      <c r="U99" s="351"/>
      <c r="V99" s="351"/>
      <c r="W99" s="351"/>
      <c r="X99" s="351"/>
      <c r="Y99" s="358"/>
      <c r="Z99" s="358"/>
      <c r="AA99" s="358"/>
      <c r="AB99" s="358"/>
      <c r="AC99" s="358"/>
      <c r="AD99" s="350"/>
    </row>
    <row r="100" spans="1:31" x14ac:dyDescent="0.2">
      <c r="A100" s="320">
        <f>IFERROR(VLOOKUP(B100,mapping_one_neo!A:B,2,FALSE),"")</f>
        <v>0</v>
      </c>
      <c r="B100" s="334" t="s">
        <v>70</v>
      </c>
      <c r="G100" s="336"/>
      <c r="H100" s="336"/>
      <c r="I100" s="336"/>
      <c r="J100" s="336"/>
      <c r="K100" s="336"/>
      <c r="L100" s="336"/>
      <c r="M100" s="336"/>
      <c r="N100" s="336"/>
      <c r="O100" s="336"/>
      <c r="P100" s="336"/>
      <c r="Q100" s="336"/>
      <c r="R100" s="336"/>
      <c r="S100" s="349"/>
      <c r="T100" s="346"/>
      <c r="U100" s="351"/>
      <c r="V100" s="351"/>
      <c r="W100" s="351"/>
      <c r="X100" s="351"/>
      <c r="Y100" s="358"/>
      <c r="Z100" s="358"/>
      <c r="AA100" s="358"/>
      <c r="AB100" s="358"/>
      <c r="AC100" s="363">
        <v>0</v>
      </c>
      <c r="AD100" s="350"/>
    </row>
    <row r="101" spans="1:31" x14ac:dyDescent="0.2">
      <c r="A101" s="320" t="str">
        <f>IFERROR(VLOOKUP(B101,mapping_one_neo!A:B,2,FALSE),"")</f>
        <v/>
      </c>
      <c r="G101" s="336"/>
      <c r="H101" s="336"/>
      <c r="I101" s="336"/>
      <c r="J101" s="336"/>
      <c r="K101" s="336"/>
      <c r="L101" s="336"/>
      <c r="M101" s="336"/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8"/>
      <c r="AD101" s="350"/>
    </row>
    <row r="102" spans="1:31" x14ac:dyDescent="0.2">
      <c r="A102" s="320">
        <f>IFERROR(VLOOKUP(B102,mapping_one_neo!A:B,2,FALSE),"")</f>
        <v>0</v>
      </c>
      <c r="B102" s="352" t="s">
        <v>71</v>
      </c>
      <c r="C102" s="353"/>
      <c r="E102" s="354">
        <v>-333.60977333333301</v>
      </c>
      <c r="G102" s="354">
        <v>-24.505226666666669</v>
      </c>
      <c r="H102" s="354">
        <v>-25.309840000000001</v>
      </c>
      <c r="I102" s="354">
        <v>-27.993859999999998</v>
      </c>
      <c r="J102" s="354">
        <v>-26.810882592592559</v>
      </c>
      <c r="K102" s="354">
        <v>-26.293072592592555</v>
      </c>
      <c r="L102" s="354">
        <v>-24.994934814814879</v>
      </c>
      <c r="M102" s="354">
        <v>-34.59171995370356</v>
      </c>
      <c r="N102" s="354">
        <v>-28.329202592592555</v>
      </c>
      <c r="O102" s="354">
        <v>-27.637508530092557</v>
      </c>
      <c r="P102" s="354">
        <v>-27.637508530092557</v>
      </c>
      <c r="Q102" s="354">
        <v>-27.637508530092557</v>
      </c>
      <c r="R102" s="354">
        <v>-31.868508530092559</v>
      </c>
      <c r="S102" s="349"/>
      <c r="T102" s="346"/>
      <c r="U102" s="354">
        <f>U93+U98</f>
        <v>-84.955100000000002</v>
      </c>
      <c r="V102" s="354">
        <f t="shared" ref="V102:AC102" si="6">V93+V98</f>
        <v>0</v>
      </c>
      <c r="W102" s="354">
        <f t="shared" si="6"/>
        <v>0</v>
      </c>
      <c r="X102" s="354">
        <f t="shared" si="6"/>
        <v>0</v>
      </c>
      <c r="Y102" s="354">
        <f t="shared" si="6"/>
        <v>-84.955100000000002</v>
      </c>
      <c r="Z102" s="354">
        <f t="shared" si="6"/>
        <v>0</v>
      </c>
      <c r="AA102" s="354">
        <f t="shared" si="6"/>
        <v>0</v>
      </c>
      <c r="AB102" s="354">
        <f t="shared" si="6"/>
        <v>0</v>
      </c>
      <c r="AC102" s="354">
        <f t="shared" si="6"/>
        <v>-84.955100000000002</v>
      </c>
      <c r="AD102" s="350"/>
    </row>
    <row r="103" spans="1:31" x14ac:dyDescent="0.2">
      <c r="A103" s="320" t="str">
        <f>IFERROR(VLOOKUP(B103,mapping_one_neo!A:B,2,FALSE),"")</f>
        <v/>
      </c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8"/>
      <c r="AD103" s="350"/>
    </row>
    <row r="104" spans="1:31" x14ac:dyDescent="0.2">
      <c r="A104" s="320">
        <f>IFERROR(VLOOKUP(B104,mapping_one_neo!A:B,2,FALSE),"")</f>
        <v>0</v>
      </c>
      <c r="B104" s="352" t="s">
        <v>72</v>
      </c>
      <c r="S104" s="349"/>
      <c r="T104" s="346"/>
      <c r="U104" s="351"/>
      <c r="V104" s="351"/>
      <c r="W104" s="351"/>
      <c r="X104" s="351"/>
      <c r="Y104" s="358"/>
      <c r="Z104" s="358"/>
      <c r="AA104" s="358"/>
      <c r="AB104" s="358"/>
      <c r="AC104" s="358"/>
      <c r="AD104" s="350"/>
    </row>
    <row r="105" spans="1:31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8"/>
      <c r="AD105" s="350"/>
    </row>
    <row r="106" spans="1:31" x14ac:dyDescent="0.2">
      <c r="A106" s="320">
        <f>IFERROR(VLOOKUP(B106,mapping_one_neo!A:B,2,FALSE),"")</f>
        <v>0</v>
      </c>
      <c r="B106" s="387" t="s">
        <v>73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8"/>
      <c r="AD106" s="350"/>
    </row>
    <row r="107" spans="1:31" s="352" customFormat="1" x14ac:dyDescent="0.2">
      <c r="A107" s="320" t="str">
        <f>IFERROR(VLOOKUP(B107,mapping_one_neo!A:B,2,FALSE),"")</f>
        <v>Stationery/art &amp; materials AU=0.INP</v>
      </c>
      <c r="B107" s="388" t="s">
        <v>74</v>
      </c>
      <c r="C107" s="342" t="s">
        <v>791</v>
      </c>
      <c r="E107" s="356">
        <v>-2.4363999999999999</v>
      </c>
      <c r="G107" s="419">
        <v>-5.7919999999999999E-2</v>
      </c>
      <c r="H107" s="419">
        <v>-7.1679999999999994E-2</v>
      </c>
      <c r="I107" s="419">
        <v>-6.5049999999999997E-2</v>
      </c>
      <c r="J107" s="419">
        <v>-0.6</v>
      </c>
      <c r="K107" s="419">
        <v>-5.8430000000000093E-2</v>
      </c>
      <c r="L107" s="419">
        <v>-8.3319999999999839E-2</v>
      </c>
      <c r="M107" s="419">
        <v>-0.5</v>
      </c>
      <c r="N107" s="419">
        <v>0</v>
      </c>
      <c r="O107" s="419">
        <v>-0.5</v>
      </c>
      <c r="P107" s="419">
        <v>0</v>
      </c>
      <c r="Q107" s="419">
        <v>0</v>
      </c>
      <c r="R107" s="419">
        <v>-0.5</v>
      </c>
      <c r="S107" s="345"/>
      <c r="T107" s="361"/>
      <c r="U107" s="351">
        <v>-0.11331999999999998</v>
      </c>
      <c r="V107" s="351"/>
      <c r="W107" s="351"/>
      <c r="X107" s="351">
        <v>0</v>
      </c>
      <c r="Y107" s="363">
        <v>-0.11331999999999998</v>
      </c>
      <c r="Z107" s="363"/>
      <c r="AA107" s="363"/>
      <c r="AB107" s="363"/>
      <c r="AC107" s="363">
        <v>-0.11331999999999998</v>
      </c>
      <c r="AD107" s="355"/>
      <c r="AE107" s="334"/>
    </row>
    <row r="108" spans="1:31" s="352" customFormat="1" x14ac:dyDescent="0.2">
      <c r="A108" s="320" t="str">
        <f>IFERROR(VLOOKUP(B108,mapping_one_neo!A:B,2,FALSE),"")</f>
        <v>Stationery/art &amp; materials AU=0.INP</v>
      </c>
      <c r="B108" s="388" t="s">
        <v>75</v>
      </c>
      <c r="C108" s="342" t="s">
        <v>155</v>
      </c>
      <c r="E108" s="356">
        <v>-1.5</v>
      </c>
      <c r="G108" s="419">
        <v>-0.125</v>
      </c>
      <c r="H108" s="419">
        <v>-0.125</v>
      </c>
      <c r="I108" s="419">
        <v>-0.125</v>
      </c>
      <c r="J108" s="419">
        <v>-0.125</v>
      </c>
      <c r="K108" s="419">
        <v>-0.125</v>
      </c>
      <c r="L108" s="419">
        <v>-0.125</v>
      </c>
      <c r="M108" s="419">
        <v>-0.125</v>
      </c>
      <c r="N108" s="419">
        <v>-0.125</v>
      </c>
      <c r="O108" s="419">
        <v>-0.125</v>
      </c>
      <c r="P108" s="419">
        <v>-0.125</v>
      </c>
      <c r="Q108" s="419">
        <v>-0.125</v>
      </c>
      <c r="R108" s="419">
        <v>-0.125</v>
      </c>
      <c r="S108" s="389" t="s">
        <v>134</v>
      </c>
      <c r="T108" s="361"/>
      <c r="U108" s="351">
        <v>-0.501</v>
      </c>
      <c r="V108" s="351"/>
      <c r="W108" s="351"/>
      <c r="X108" s="351"/>
      <c r="Y108" s="363">
        <v>-0.501</v>
      </c>
      <c r="Z108" s="363"/>
      <c r="AA108" s="363"/>
      <c r="AB108" s="363"/>
      <c r="AC108" s="363">
        <v>-0.501</v>
      </c>
      <c r="AD108" s="355"/>
      <c r="AE108" s="334"/>
    </row>
    <row r="109" spans="1:31" s="352" customFormat="1" x14ac:dyDescent="0.2">
      <c r="A109" s="320" t="str">
        <f>IFERROR(VLOOKUP(B109,mapping_one_neo!A:B,2,FALSE),"")</f>
        <v>Stationery/art &amp; materials AU=0.INP</v>
      </c>
      <c r="B109" s="388" t="s">
        <v>76</v>
      </c>
      <c r="C109" s="342" t="s">
        <v>156</v>
      </c>
      <c r="E109" s="356">
        <v>-1.0475000000000001</v>
      </c>
      <c r="G109" s="419">
        <v>0</v>
      </c>
      <c r="H109" s="419">
        <v>0</v>
      </c>
      <c r="I109" s="419">
        <v>0</v>
      </c>
      <c r="J109" s="419">
        <v>0</v>
      </c>
      <c r="K109" s="419">
        <v>0</v>
      </c>
      <c r="L109" s="419">
        <v>-4.7500000000000001E-2</v>
      </c>
      <c r="M109" s="419">
        <v>-1</v>
      </c>
      <c r="N109" s="419">
        <v>0</v>
      </c>
      <c r="O109" s="419">
        <v>0</v>
      </c>
      <c r="P109" s="419">
        <v>0</v>
      </c>
      <c r="Q109" s="419">
        <v>0</v>
      </c>
      <c r="R109" s="419">
        <v>0</v>
      </c>
      <c r="S109" s="345"/>
      <c r="T109" s="361"/>
      <c r="U109" s="351">
        <v>0</v>
      </c>
      <c r="V109" s="351"/>
      <c r="W109" s="351"/>
      <c r="X109" s="351"/>
      <c r="Y109" s="363">
        <v>0</v>
      </c>
      <c r="Z109" s="363"/>
      <c r="AA109" s="363"/>
      <c r="AB109" s="363"/>
      <c r="AC109" s="363">
        <v>0</v>
      </c>
      <c r="AD109" s="355"/>
      <c r="AE109" s="334"/>
    </row>
    <row r="110" spans="1:31" s="387" customFormat="1" x14ac:dyDescent="0.2">
      <c r="A110" s="320">
        <f>IFERROR(VLOOKUP(B110,mapping_one_neo!A:B,2,FALSE),"")</f>
        <v>0</v>
      </c>
      <c r="B110" s="387" t="s">
        <v>77</v>
      </c>
      <c r="C110" s="392"/>
      <c r="E110" s="393">
        <v>-4.9839000000000002</v>
      </c>
      <c r="G110" s="393">
        <v>-0.18292</v>
      </c>
      <c r="H110" s="393">
        <v>-0.19667999999999999</v>
      </c>
      <c r="I110" s="393">
        <v>-0.19005</v>
      </c>
      <c r="J110" s="393">
        <v>-0.72499999999999998</v>
      </c>
      <c r="K110" s="393">
        <v>-0.18343000000000009</v>
      </c>
      <c r="L110" s="393">
        <v>-0.25581999999999983</v>
      </c>
      <c r="M110" s="393">
        <v>-1.625</v>
      </c>
      <c r="N110" s="393">
        <v>-0.125</v>
      </c>
      <c r="O110" s="393">
        <v>-0.625</v>
      </c>
      <c r="P110" s="393">
        <v>-0.125</v>
      </c>
      <c r="Q110" s="393">
        <v>-0.125</v>
      </c>
      <c r="R110" s="393">
        <v>-0.625</v>
      </c>
      <c r="S110" s="349"/>
      <c r="T110" s="346"/>
      <c r="U110" s="393">
        <f>SUM(U107:U109)</f>
        <v>-0.61431999999999998</v>
      </c>
      <c r="V110" s="393">
        <f t="shared" ref="V110:AC110" si="7">SUM(V107:V109)</f>
        <v>0</v>
      </c>
      <c r="W110" s="393">
        <f t="shared" si="7"/>
        <v>0</v>
      </c>
      <c r="X110" s="393">
        <f t="shared" si="7"/>
        <v>0</v>
      </c>
      <c r="Y110" s="393">
        <f t="shared" si="7"/>
        <v>-0.61431999999999998</v>
      </c>
      <c r="Z110" s="393">
        <f t="shared" si="7"/>
        <v>0</v>
      </c>
      <c r="AA110" s="393">
        <f t="shared" si="7"/>
        <v>0</v>
      </c>
      <c r="AB110" s="393">
        <f t="shared" si="7"/>
        <v>0</v>
      </c>
      <c r="AC110" s="393">
        <f t="shared" si="7"/>
        <v>-0.61431999999999998</v>
      </c>
      <c r="AD110" s="394"/>
      <c r="AE110" s="334"/>
    </row>
    <row r="111" spans="1:31" s="387" customFormat="1" x14ac:dyDescent="0.2">
      <c r="A111" s="320" t="str">
        <f>IFERROR(VLOOKUP(B111,mapping_one_neo!A:B,2,FALSE),"")</f>
        <v/>
      </c>
      <c r="C111" s="392"/>
      <c r="E111" s="397"/>
      <c r="G111" s="397"/>
      <c r="H111" s="397"/>
      <c r="I111" s="397"/>
      <c r="J111" s="397"/>
      <c r="K111" s="397"/>
      <c r="L111" s="397"/>
      <c r="M111" s="397"/>
      <c r="N111" s="397"/>
      <c r="O111" s="397"/>
      <c r="P111" s="397"/>
      <c r="Q111" s="397"/>
      <c r="R111" s="397"/>
      <c r="S111" s="349"/>
      <c r="T111" s="346"/>
      <c r="U111" s="397"/>
      <c r="V111" s="397"/>
      <c r="W111" s="397"/>
      <c r="X111" s="397"/>
      <c r="Y111" s="399"/>
      <c r="Z111" s="399"/>
      <c r="AA111" s="399"/>
      <c r="AB111" s="399"/>
      <c r="AC111" s="399"/>
      <c r="AD111" s="394"/>
      <c r="AE111" s="334"/>
    </row>
    <row r="112" spans="1:31" x14ac:dyDescent="0.2">
      <c r="A112" s="320">
        <f>IFERROR(VLOOKUP(B112,mapping_one_neo!A:B,2,FALSE),"")</f>
        <v>0</v>
      </c>
      <c r="B112" s="387" t="s">
        <v>78</v>
      </c>
      <c r="G112" s="398"/>
      <c r="H112" s="398"/>
      <c r="I112" s="398"/>
      <c r="J112" s="398"/>
      <c r="K112" s="398"/>
      <c r="L112" s="398"/>
      <c r="M112" s="398"/>
      <c r="N112" s="398"/>
      <c r="O112" s="398"/>
      <c r="P112" s="398"/>
      <c r="Q112" s="398"/>
      <c r="R112" s="398"/>
      <c r="S112" s="349"/>
      <c r="T112" s="346"/>
      <c r="U112" s="351"/>
      <c r="V112" s="351"/>
      <c r="W112" s="351"/>
      <c r="X112" s="351"/>
      <c r="Y112" s="358"/>
      <c r="Z112" s="358"/>
      <c r="AA112" s="358"/>
      <c r="AB112" s="358"/>
      <c r="AC112" s="358"/>
      <c r="AD112" s="350"/>
    </row>
    <row r="113" spans="1:31" s="352" customFormat="1" x14ac:dyDescent="0.2">
      <c r="A113" s="320" t="str">
        <f>IFERROR(VLOOKUP(B113,mapping_one_neo!A:B,2,FALSE),"")</f>
        <v>Postage &amp; courier</v>
      </c>
      <c r="B113" s="388" t="s">
        <v>79</v>
      </c>
      <c r="C113" s="353">
        <v>624210</v>
      </c>
      <c r="E113" s="356">
        <v>-0.78059999999999996</v>
      </c>
      <c r="G113" s="419">
        <v>0</v>
      </c>
      <c r="H113" s="419">
        <v>-2.58E-2</v>
      </c>
      <c r="I113" s="419">
        <v>0</v>
      </c>
      <c r="J113" s="419">
        <v>0</v>
      </c>
      <c r="K113" s="419">
        <v>-0.15480000000000002</v>
      </c>
      <c r="L113" s="419">
        <v>0</v>
      </c>
      <c r="M113" s="419">
        <v>-0.2</v>
      </c>
      <c r="N113" s="419">
        <v>0</v>
      </c>
      <c r="O113" s="419">
        <v>-0.2</v>
      </c>
      <c r="P113" s="419">
        <v>0</v>
      </c>
      <c r="Q113" s="419">
        <v>0</v>
      </c>
      <c r="R113" s="419">
        <v>-0.2</v>
      </c>
      <c r="S113" s="345"/>
      <c r="T113" s="361"/>
      <c r="U113" s="351">
        <v>-6.4339999999999994E-2</v>
      </c>
      <c r="V113" s="351"/>
      <c r="W113" s="351"/>
      <c r="X113" s="351">
        <v>0</v>
      </c>
      <c r="Y113" s="363">
        <v>-6.4339999999999994E-2</v>
      </c>
      <c r="Z113" s="363"/>
      <c r="AA113" s="363"/>
      <c r="AB113" s="363"/>
      <c r="AC113" s="363">
        <v>-6.4339999999999994E-2</v>
      </c>
      <c r="AD113" s="355"/>
      <c r="AE113" s="334"/>
    </row>
    <row r="114" spans="1:31" s="352" customFormat="1" x14ac:dyDescent="0.2">
      <c r="A114" s="320" t="str">
        <f>IFERROR(VLOOKUP(B114,mapping_one_neo!A:B,2,FALSE),"")</f>
        <v>Postage &amp; courier</v>
      </c>
      <c r="B114" s="388" t="s">
        <v>80</v>
      </c>
      <c r="C114" s="353">
        <v>626000</v>
      </c>
      <c r="E114" s="356">
        <v>-1.748021999999998</v>
      </c>
      <c r="G114" s="419">
        <v>-8.0930000000000002E-2</v>
      </c>
      <c r="H114" s="419">
        <v>-0.25918000000000002</v>
      </c>
      <c r="I114" s="419">
        <v>-0.13499999999999995</v>
      </c>
      <c r="J114" s="419">
        <v>-0.16423000000000004</v>
      </c>
      <c r="K114" s="419">
        <v>-6.9999999999999951E-2</v>
      </c>
      <c r="L114" s="419">
        <v>-9.4189999999999996E-2</v>
      </c>
      <c r="M114" s="419">
        <v>-0.15741533333333299</v>
      </c>
      <c r="N114" s="419">
        <v>-0.15741533333333299</v>
      </c>
      <c r="O114" s="419">
        <v>-0.15741533333333299</v>
      </c>
      <c r="P114" s="419">
        <v>-0.15741533333333299</v>
      </c>
      <c r="Q114" s="419">
        <v>-0.15741533333333299</v>
      </c>
      <c r="R114" s="419">
        <v>-0.15741533333333299</v>
      </c>
      <c r="S114" s="345"/>
      <c r="T114" s="361"/>
      <c r="U114" s="351">
        <v>-0.41178999999999999</v>
      </c>
      <c r="V114" s="351"/>
      <c r="W114" s="351"/>
      <c r="X114" s="351"/>
      <c r="Y114" s="363">
        <v>-0.41178999999999999</v>
      </c>
      <c r="Z114" s="363"/>
      <c r="AA114" s="363"/>
      <c r="AB114" s="363"/>
      <c r="AC114" s="363">
        <v>-0.41178999999999999</v>
      </c>
      <c r="AD114" s="355"/>
      <c r="AE114" s="334"/>
    </row>
    <row r="115" spans="1:31" s="387" customFormat="1" x14ac:dyDescent="0.2">
      <c r="A115" s="320">
        <f>IFERROR(VLOOKUP(B115,mapping_one_neo!A:B,2,FALSE),"")</f>
        <v>0</v>
      </c>
      <c r="B115" s="387" t="s">
        <v>81</v>
      </c>
      <c r="C115" s="392"/>
      <c r="E115" s="393">
        <v>-2.5286219999999977</v>
      </c>
      <c r="G115" s="393">
        <v>-8.0930000000000002E-2</v>
      </c>
      <c r="H115" s="393">
        <v>-0.28498000000000001</v>
      </c>
      <c r="I115" s="393">
        <v>-0.13499999999999995</v>
      </c>
      <c r="J115" s="393">
        <v>-0.16423000000000004</v>
      </c>
      <c r="K115" s="393">
        <v>-0.22479999999999997</v>
      </c>
      <c r="L115" s="393">
        <v>-9.4189999999999996E-2</v>
      </c>
      <c r="M115" s="393">
        <v>-0.35741533333333297</v>
      </c>
      <c r="N115" s="393">
        <v>-0.15741533333333299</v>
      </c>
      <c r="O115" s="393">
        <v>-0.35741533333333297</v>
      </c>
      <c r="P115" s="393">
        <v>-0.15741533333333299</v>
      </c>
      <c r="Q115" s="393">
        <v>-0.15741533333333299</v>
      </c>
      <c r="R115" s="393">
        <v>-0.35741533333333297</v>
      </c>
      <c r="S115" s="345"/>
      <c r="T115" s="346"/>
      <c r="U115" s="424">
        <f>SUM(U114)</f>
        <v>-0.41178999999999999</v>
      </c>
      <c r="V115" s="424">
        <f t="shared" ref="V115:AC115" si="8">SUM(V114)</f>
        <v>0</v>
      </c>
      <c r="W115" s="424">
        <f t="shared" si="8"/>
        <v>0</v>
      </c>
      <c r="X115" s="424">
        <f t="shared" si="8"/>
        <v>0</v>
      </c>
      <c r="Y115" s="424">
        <f t="shared" si="8"/>
        <v>-0.41178999999999999</v>
      </c>
      <c r="Z115" s="424">
        <f t="shared" si="8"/>
        <v>0</v>
      </c>
      <c r="AA115" s="424">
        <f t="shared" si="8"/>
        <v>0</v>
      </c>
      <c r="AB115" s="424">
        <f t="shared" si="8"/>
        <v>0</v>
      </c>
      <c r="AC115" s="424">
        <f t="shared" si="8"/>
        <v>-0.41178999999999999</v>
      </c>
      <c r="AD115" s="394"/>
      <c r="AE115" s="334"/>
    </row>
    <row r="116" spans="1:31" s="387" customFormat="1" x14ac:dyDescent="0.2">
      <c r="A116" s="320" t="str">
        <f>IFERROR(VLOOKUP(B116,mapping_one_neo!A:B,2,FALSE),"")</f>
        <v/>
      </c>
      <c r="C116" s="392"/>
      <c r="E116" s="397"/>
      <c r="G116" s="397"/>
      <c r="H116" s="397"/>
      <c r="I116" s="397"/>
      <c r="J116" s="397"/>
      <c r="K116" s="397"/>
      <c r="L116" s="397"/>
      <c r="M116" s="397"/>
      <c r="N116" s="397"/>
      <c r="O116" s="397"/>
      <c r="P116" s="397"/>
      <c r="Q116" s="397"/>
      <c r="R116" s="397"/>
      <c r="S116" s="349"/>
      <c r="T116" s="346"/>
      <c r="U116" s="397"/>
      <c r="V116" s="397"/>
      <c r="W116" s="397"/>
      <c r="X116" s="397"/>
      <c r="Y116" s="399"/>
      <c r="Z116" s="399"/>
      <c r="AA116" s="399"/>
      <c r="AB116" s="399"/>
      <c r="AC116" s="399"/>
      <c r="AD116" s="394"/>
      <c r="AE116" s="334"/>
    </row>
    <row r="117" spans="1:31" s="387" customFormat="1" x14ac:dyDescent="0.2">
      <c r="A117" s="320" t="str">
        <f>IFERROR(VLOOKUP(B117,mapping_one_neo!A:B,2,FALSE),"")</f>
        <v/>
      </c>
      <c r="B117" s="387" t="s">
        <v>777</v>
      </c>
      <c r="C117" s="392"/>
      <c r="E117" s="397"/>
      <c r="G117" s="397"/>
      <c r="H117" s="397"/>
      <c r="I117" s="397"/>
      <c r="J117" s="397"/>
      <c r="K117" s="397"/>
      <c r="L117" s="397"/>
      <c r="M117" s="397"/>
      <c r="N117" s="397"/>
      <c r="O117" s="397"/>
      <c r="P117" s="397"/>
      <c r="Q117" s="397"/>
      <c r="R117" s="397"/>
      <c r="S117" s="349"/>
      <c r="T117" s="346"/>
      <c r="U117" s="397"/>
      <c r="V117" s="397"/>
      <c r="W117" s="397"/>
      <c r="X117" s="397"/>
      <c r="Y117" s="399"/>
      <c r="Z117" s="399"/>
      <c r="AA117" s="399"/>
      <c r="AB117" s="399"/>
      <c r="AC117" s="399"/>
      <c r="AD117" s="394"/>
      <c r="AE117" s="334"/>
    </row>
    <row r="118" spans="1:31" s="387" customFormat="1" x14ac:dyDescent="0.2">
      <c r="A118" s="320" t="str">
        <f>IFERROR(VLOOKUP(B118,mapping_one_neo!A:B,2,FALSE),"")</f>
        <v>Other office costs AU=0.INP</v>
      </c>
      <c r="B118" s="352" t="s">
        <v>767</v>
      </c>
      <c r="C118" s="353">
        <v>615600</v>
      </c>
      <c r="E118" s="356">
        <v>-1.98</v>
      </c>
      <c r="G118" s="397"/>
      <c r="H118" s="397"/>
      <c r="I118" s="397"/>
      <c r="J118" s="397"/>
      <c r="K118" s="397">
        <v>-1.98</v>
      </c>
      <c r="L118" s="397"/>
      <c r="M118" s="397"/>
      <c r="N118" s="397"/>
      <c r="O118" s="397"/>
      <c r="P118" s="397"/>
      <c r="Q118" s="397"/>
      <c r="R118" s="397"/>
      <c r="S118" s="349"/>
      <c r="T118" s="346"/>
      <c r="U118" s="351">
        <v>-1.173</v>
      </c>
      <c r="V118" s="397"/>
      <c r="W118" s="397"/>
      <c r="X118" s="397"/>
      <c r="Y118" s="363">
        <v>-1.173</v>
      </c>
      <c r="Z118" s="399"/>
      <c r="AA118" s="399"/>
      <c r="AB118" s="399"/>
      <c r="AC118" s="363">
        <v>-1.173</v>
      </c>
      <c r="AD118" s="394"/>
      <c r="AE118" s="334"/>
    </row>
    <row r="119" spans="1:31" s="387" customFormat="1" x14ac:dyDescent="0.2">
      <c r="A119" s="320" t="str">
        <f>IFERROR(VLOOKUP(B119,mapping_one_neo!A:B,2,FALSE),"")</f>
        <v>Other office costs AU=0.INP</v>
      </c>
      <c r="B119" s="352" t="s">
        <v>778</v>
      </c>
      <c r="C119" s="353">
        <v>624211</v>
      </c>
      <c r="E119" s="356">
        <v>-0.98099999999999998</v>
      </c>
      <c r="G119" s="397"/>
      <c r="H119" s="397"/>
      <c r="I119" s="397"/>
      <c r="J119" s="397"/>
      <c r="K119" s="397">
        <v>-0.98099999999999998</v>
      </c>
      <c r="L119" s="397"/>
      <c r="M119" s="397"/>
      <c r="N119" s="397"/>
      <c r="O119" s="397"/>
      <c r="P119" s="397"/>
      <c r="Q119" s="397"/>
      <c r="R119" s="397"/>
      <c r="S119" s="349"/>
      <c r="T119" s="346"/>
      <c r="U119" s="351">
        <v>0</v>
      </c>
      <c r="V119" s="397"/>
      <c r="W119" s="397"/>
      <c r="X119" s="397"/>
      <c r="Y119" s="363">
        <v>0</v>
      </c>
      <c r="Z119" s="399"/>
      <c r="AA119" s="399"/>
      <c r="AB119" s="399"/>
      <c r="AC119" s="363">
        <v>0</v>
      </c>
      <c r="AD119" s="394"/>
      <c r="AE119" s="334"/>
    </row>
    <row r="120" spans="1:31" s="387" customFormat="1" x14ac:dyDescent="0.2">
      <c r="A120" s="320" t="str">
        <f>IFERROR(VLOOKUP(B120,mapping_one_neo!A:B,2,FALSE),"")</f>
        <v/>
      </c>
      <c r="B120" s="387" t="s">
        <v>779</v>
      </c>
      <c r="C120" s="392"/>
      <c r="E120" s="393">
        <v>-2.9609999999999999</v>
      </c>
      <c r="G120" s="393">
        <v>0</v>
      </c>
      <c r="H120" s="393">
        <v>0</v>
      </c>
      <c r="I120" s="393">
        <v>0</v>
      </c>
      <c r="J120" s="393">
        <v>0</v>
      </c>
      <c r="K120" s="393">
        <v>-2.9609999999999999</v>
      </c>
      <c r="L120" s="393">
        <v>0</v>
      </c>
      <c r="M120" s="393">
        <v>0</v>
      </c>
      <c r="N120" s="393">
        <v>0</v>
      </c>
      <c r="O120" s="393">
        <v>0</v>
      </c>
      <c r="P120" s="393">
        <v>0</v>
      </c>
      <c r="Q120" s="393">
        <v>0</v>
      </c>
      <c r="R120" s="393">
        <v>0</v>
      </c>
      <c r="S120" s="349"/>
      <c r="T120" s="346"/>
      <c r="U120" s="393">
        <f>SUM(U118:U119)</f>
        <v>-1.173</v>
      </c>
      <c r="V120" s="393">
        <f t="shared" ref="V120:AC120" si="9">SUM(V118:V119)</f>
        <v>0</v>
      </c>
      <c r="W120" s="393">
        <f t="shared" si="9"/>
        <v>0</v>
      </c>
      <c r="X120" s="393">
        <f t="shared" si="9"/>
        <v>0</v>
      </c>
      <c r="Y120" s="393">
        <f t="shared" si="9"/>
        <v>-1.173</v>
      </c>
      <c r="Z120" s="393">
        <f t="shared" si="9"/>
        <v>0</v>
      </c>
      <c r="AA120" s="393">
        <f t="shared" si="9"/>
        <v>0</v>
      </c>
      <c r="AB120" s="393">
        <f t="shared" si="9"/>
        <v>0</v>
      </c>
      <c r="AC120" s="393">
        <f t="shared" si="9"/>
        <v>-1.173</v>
      </c>
      <c r="AD120" s="394"/>
      <c r="AE120" s="334"/>
    </row>
    <row r="121" spans="1:31" s="387" customFormat="1" x14ac:dyDescent="0.2">
      <c r="A121" s="320" t="str">
        <f>IFERROR(VLOOKUP(B121,mapping_one_neo!A:B,2,FALSE),"")</f>
        <v/>
      </c>
      <c r="C121" s="392"/>
      <c r="E121" s="397"/>
      <c r="G121" s="397"/>
      <c r="H121" s="397"/>
      <c r="I121" s="397"/>
      <c r="J121" s="397"/>
      <c r="K121" s="397"/>
      <c r="L121" s="397"/>
      <c r="M121" s="397"/>
      <c r="N121" s="397"/>
      <c r="O121" s="397"/>
      <c r="P121" s="397"/>
      <c r="Q121" s="397"/>
      <c r="R121" s="397"/>
      <c r="S121" s="349"/>
      <c r="T121" s="346"/>
      <c r="U121" s="397"/>
      <c r="V121" s="397"/>
      <c r="W121" s="397"/>
      <c r="X121" s="397"/>
      <c r="Y121" s="399"/>
      <c r="Z121" s="399"/>
      <c r="AA121" s="399"/>
      <c r="AB121" s="399"/>
      <c r="AC121" s="399"/>
      <c r="AD121" s="394"/>
      <c r="AE121" s="334"/>
    </row>
    <row r="122" spans="1:31" x14ac:dyDescent="0.2">
      <c r="A122" s="320">
        <f>IFERROR(VLOOKUP(B122,mapping_one_neo!A:B,2,FALSE),"")</f>
        <v>0</v>
      </c>
      <c r="B122" s="387" t="s">
        <v>82</v>
      </c>
      <c r="J122" s="335">
        <v>0</v>
      </c>
      <c r="M122" s="335">
        <v>0</v>
      </c>
      <c r="S122" s="349"/>
      <c r="T122" s="346"/>
      <c r="U122" s="351"/>
      <c r="V122" s="351"/>
      <c r="W122" s="351"/>
      <c r="X122" s="351"/>
      <c r="Y122" s="358"/>
      <c r="Z122" s="358"/>
      <c r="AA122" s="358"/>
      <c r="AB122" s="358"/>
      <c r="AC122" s="358"/>
      <c r="AD122" s="350"/>
    </row>
    <row r="123" spans="1:31" s="352" customFormat="1" x14ac:dyDescent="0.2">
      <c r="A123" s="320" t="str">
        <f>IFERROR(VLOOKUP(B123,mapping_one_neo!A:B,2,FALSE),"")</f>
        <v>Other office costs AU=0.INP</v>
      </c>
      <c r="B123" s="388" t="s">
        <v>83</v>
      </c>
      <c r="C123" s="353">
        <v>618100</v>
      </c>
      <c r="E123" s="356">
        <v>-0.57225000000000004</v>
      </c>
      <c r="G123" s="419">
        <v>-4.9939999999999998E-2</v>
      </c>
      <c r="H123" s="419">
        <v>-4.6719999999999998E-2</v>
      </c>
      <c r="I123" s="419">
        <v>-4.9940000000000012E-2</v>
      </c>
      <c r="J123" s="419">
        <v>-4.8320000000000002E-2</v>
      </c>
      <c r="K123" s="419">
        <v>-4.9939999999999984E-2</v>
      </c>
      <c r="L123" s="419">
        <v>-2.7389999999999998E-2</v>
      </c>
      <c r="M123" s="419">
        <v>-0.05</v>
      </c>
      <c r="N123" s="419">
        <v>-0.05</v>
      </c>
      <c r="O123" s="419">
        <v>-0.05</v>
      </c>
      <c r="P123" s="419">
        <v>-0.05</v>
      </c>
      <c r="Q123" s="419">
        <v>-0.05</v>
      </c>
      <c r="R123" s="419">
        <v>-0.05</v>
      </c>
      <c r="S123" s="345"/>
      <c r="T123" s="361"/>
      <c r="U123" s="351">
        <v>-0.20150000000000001</v>
      </c>
      <c r="V123" s="351"/>
      <c r="W123" s="351"/>
      <c r="X123" s="351"/>
      <c r="Y123" s="363">
        <v>-0.20150000000000001</v>
      </c>
      <c r="Z123" s="363"/>
      <c r="AA123" s="363"/>
      <c r="AB123" s="363"/>
      <c r="AC123" s="363">
        <v>-0.20150000000000001</v>
      </c>
      <c r="AD123" s="355"/>
      <c r="AE123" s="334" t="s">
        <v>134</v>
      </c>
    </row>
    <row r="124" spans="1:31" s="352" customFormat="1" x14ac:dyDescent="0.2">
      <c r="A124" s="320" t="str">
        <f>IFERROR(VLOOKUP(B124,mapping_one_neo!A:B,2,FALSE),"")</f>
        <v>Other office costs AU=0.INP</v>
      </c>
      <c r="B124" s="388" t="s">
        <v>84</v>
      </c>
      <c r="C124" s="353">
        <v>635110</v>
      </c>
      <c r="E124" s="356">
        <v>-99.999999999999986</v>
      </c>
      <c r="G124" s="419">
        <v>-8.3333333333333339</v>
      </c>
      <c r="H124" s="419">
        <v>-8.3333333333333339</v>
      </c>
      <c r="I124" s="419">
        <v>-8.3333333333333321</v>
      </c>
      <c r="J124" s="419">
        <v>-8.3333333333333357</v>
      </c>
      <c r="K124" s="419">
        <v>-8.3333333333333357</v>
      </c>
      <c r="L124" s="419">
        <v>-8.3333333333333357</v>
      </c>
      <c r="M124" s="419">
        <v>-8.3333333333333339</v>
      </c>
      <c r="N124" s="419">
        <v>-8.3333333333333339</v>
      </c>
      <c r="O124" s="419">
        <v>-8.3333333333333339</v>
      </c>
      <c r="P124" s="419">
        <v>-8.3333333333333339</v>
      </c>
      <c r="Q124" s="419">
        <v>-8.3333333333333339</v>
      </c>
      <c r="R124" s="419">
        <v>-8.3333333333333339</v>
      </c>
      <c r="S124" s="345"/>
      <c r="T124" s="361"/>
      <c r="U124" s="351"/>
      <c r="V124" s="351">
        <v>-27.5</v>
      </c>
      <c r="W124" s="351"/>
      <c r="X124" s="351"/>
      <c r="Y124" s="363">
        <v>-27.5</v>
      </c>
      <c r="Z124" s="363"/>
      <c r="AA124" s="363"/>
      <c r="AB124" s="363"/>
      <c r="AC124" s="363">
        <v>-27.5</v>
      </c>
      <c r="AD124" s="355"/>
      <c r="AE124" s="334"/>
    </row>
    <row r="125" spans="1:31" s="352" customFormat="1" ht="14.25" customHeight="1" x14ac:dyDescent="0.2">
      <c r="A125" s="320" t="str">
        <f>IFERROR(VLOOKUP(B125,mapping_one_neo!A:B,2,FALSE),"")</f>
        <v>Other office costs AU=0.INP</v>
      </c>
      <c r="B125" s="388" t="s">
        <v>85</v>
      </c>
      <c r="C125" s="353">
        <v>635140</v>
      </c>
      <c r="E125" s="356">
        <v>-7.9999999999999991</v>
      </c>
      <c r="G125" s="419">
        <v>-0.57099999999999995</v>
      </c>
      <c r="H125" s="419">
        <v>-0.57099999999999995</v>
      </c>
      <c r="I125" s="419">
        <v>-0.57099999999999995</v>
      </c>
      <c r="J125" s="419">
        <v>-0.57099999999999995</v>
      </c>
      <c r="K125" s="419">
        <v>-0.57099999999999973</v>
      </c>
      <c r="L125" s="419">
        <v>-0.57100000000000017</v>
      </c>
      <c r="M125" s="419">
        <v>-0.57099999999999995</v>
      </c>
      <c r="N125" s="419">
        <v>-0.57099999999999995</v>
      </c>
      <c r="O125" s="419">
        <v>-0.57099999999999995</v>
      </c>
      <c r="P125" s="419">
        <v>-0.57099999999999995</v>
      </c>
      <c r="Q125" s="419">
        <v>-0.57099999999999995</v>
      </c>
      <c r="R125" s="419">
        <v>-1.7190000000000001</v>
      </c>
      <c r="S125" s="345"/>
      <c r="T125" s="361"/>
      <c r="U125" s="425">
        <v>-1.3260000000000001</v>
      </c>
      <c r="V125" s="351"/>
      <c r="W125" s="351"/>
      <c r="X125" s="351"/>
      <c r="Y125" s="363">
        <v>-1.3260000000000001</v>
      </c>
      <c r="Z125" s="363"/>
      <c r="AA125" s="363"/>
      <c r="AB125" s="363"/>
      <c r="AC125" s="363">
        <v>-1.3260000000000001</v>
      </c>
      <c r="AD125" s="355"/>
      <c r="AE125" s="334"/>
    </row>
    <row r="126" spans="1:31" s="352" customFormat="1" ht="14.25" customHeight="1" x14ac:dyDescent="0.2">
      <c r="A126" s="320" t="str">
        <f>IFERROR(VLOOKUP(B126,mapping_one_neo!A:B,2,FALSE),"")</f>
        <v>Other office costs AU=0.INP</v>
      </c>
      <c r="B126" s="388" t="s">
        <v>712</v>
      </c>
      <c r="C126" s="353">
        <v>635800</v>
      </c>
      <c r="E126" s="356">
        <v>-1.76</v>
      </c>
      <c r="G126" s="419">
        <v>0</v>
      </c>
      <c r="H126" s="419">
        <v>0</v>
      </c>
      <c r="I126" s="419">
        <v>0</v>
      </c>
      <c r="J126" s="419">
        <v>0</v>
      </c>
      <c r="K126" s="419">
        <v>0</v>
      </c>
      <c r="L126" s="419">
        <v>0</v>
      </c>
      <c r="M126" s="419"/>
      <c r="N126" s="419">
        <v>-1.76</v>
      </c>
      <c r="O126" s="419"/>
      <c r="P126" s="419"/>
      <c r="Q126" s="419"/>
      <c r="R126" s="419"/>
      <c r="S126" s="345"/>
      <c r="T126" s="361"/>
      <c r="U126" s="425">
        <v>0</v>
      </c>
      <c r="V126" s="351"/>
      <c r="W126" s="351"/>
      <c r="X126" s="351"/>
      <c r="Y126" s="363">
        <v>0</v>
      </c>
      <c r="Z126" s="363"/>
      <c r="AA126" s="363"/>
      <c r="AB126" s="363"/>
      <c r="AC126" s="363">
        <v>0</v>
      </c>
      <c r="AD126" s="355"/>
      <c r="AE126" s="334"/>
    </row>
    <row r="127" spans="1:31" s="352" customFormat="1" x14ac:dyDescent="0.2">
      <c r="A127" s="320" t="str">
        <f>IFERROR(VLOOKUP(B127,mapping_one_neo!A:B,2,FALSE),"")</f>
        <v>Other office costs AU=0.INP</v>
      </c>
      <c r="B127" s="388" t="s">
        <v>86</v>
      </c>
      <c r="C127" s="353">
        <v>637100</v>
      </c>
      <c r="E127" s="356">
        <v>0</v>
      </c>
      <c r="G127" s="419">
        <v>-0.8</v>
      </c>
      <c r="H127" s="419">
        <v>0.8</v>
      </c>
      <c r="I127" s="419">
        <v>0</v>
      </c>
      <c r="J127" s="419">
        <v>0</v>
      </c>
      <c r="K127" s="419">
        <v>0</v>
      </c>
      <c r="L127" s="419">
        <v>0</v>
      </c>
      <c r="M127" s="419">
        <v>0</v>
      </c>
      <c r="N127" s="419">
        <v>0</v>
      </c>
      <c r="O127" s="419">
        <v>0</v>
      </c>
      <c r="P127" s="419">
        <v>0</v>
      </c>
      <c r="Q127" s="419">
        <v>0</v>
      </c>
      <c r="R127" s="419">
        <v>0</v>
      </c>
      <c r="S127" s="345"/>
      <c r="T127" s="361"/>
      <c r="U127" s="351">
        <v>0</v>
      </c>
      <c r="V127" s="351"/>
      <c r="W127" s="351"/>
      <c r="X127" s="351"/>
      <c r="Y127" s="363">
        <v>0</v>
      </c>
      <c r="Z127" s="363"/>
      <c r="AA127" s="363"/>
      <c r="AB127" s="363"/>
      <c r="AC127" s="363">
        <v>0</v>
      </c>
      <c r="AD127" s="355"/>
      <c r="AE127" s="334"/>
    </row>
    <row r="128" spans="1:31" s="352" customFormat="1" x14ac:dyDescent="0.2">
      <c r="A128" s="320" t="str">
        <f>IFERROR(VLOOKUP(B128,mapping_one_neo!A:B,2,FALSE),"")</f>
        <v>Other office costs AU=0.INP</v>
      </c>
      <c r="B128" s="388" t="s">
        <v>87</v>
      </c>
      <c r="C128" s="353">
        <v>658201</v>
      </c>
      <c r="E128" s="356">
        <v>-4.9999999999999982</v>
      </c>
      <c r="G128" s="419">
        <v>-0.21203709999999998</v>
      </c>
      <c r="H128" s="419">
        <v>-0.28796289999999991</v>
      </c>
      <c r="I128" s="419">
        <v>-0.25000000000000011</v>
      </c>
      <c r="J128" s="419">
        <v>-0.24999999999999978</v>
      </c>
      <c r="K128" s="419">
        <v>-0.25000000000000022</v>
      </c>
      <c r="L128" s="419">
        <v>-0.25</v>
      </c>
      <c r="M128" s="419">
        <v>-0.58333333333333326</v>
      </c>
      <c r="N128" s="419">
        <v>-0.58333333333333326</v>
      </c>
      <c r="O128" s="419">
        <v>-0.58333333333333326</v>
      </c>
      <c r="P128" s="419">
        <v>-0.58333333333333326</v>
      </c>
      <c r="Q128" s="419">
        <v>-0.58333333333333326</v>
      </c>
      <c r="R128" s="419">
        <v>-0.58333333333333326</v>
      </c>
      <c r="S128" s="345"/>
      <c r="T128" s="361"/>
      <c r="U128" s="351">
        <v>-0.99899999999999989</v>
      </c>
      <c r="V128" s="351"/>
      <c r="W128" s="351"/>
      <c r="X128" s="351"/>
      <c r="Y128" s="363">
        <v>-0.99899999999999989</v>
      </c>
      <c r="Z128" s="363"/>
      <c r="AA128" s="363"/>
      <c r="AB128" s="363"/>
      <c r="AC128" s="363">
        <v>-0.99899999999999989</v>
      </c>
      <c r="AD128" s="355"/>
      <c r="AE128" s="334"/>
    </row>
    <row r="129" spans="1:31" s="352" customFormat="1" x14ac:dyDescent="0.2">
      <c r="A129" s="320" t="str">
        <f>IFERROR(VLOOKUP(B129,mapping_one_neo!A:B,2,FALSE),"")</f>
        <v>Other office costs AU=0.INP</v>
      </c>
      <c r="B129" s="388" t="s">
        <v>88</v>
      </c>
      <c r="C129" s="353">
        <v>658000</v>
      </c>
      <c r="E129" s="356">
        <v>-1.7569999999999999E-2</v>
      </c>
      <c r="G129" s="419">
        <v>-3.13E-3</v>
      </c>
      <c r="H129" s="419">
        <v>-2.8000000000000004E-3</v>
      </c>
      <c r="I129" s="419">
        <v>-3.0199999999999992E-3</v>
      </c>
      <c r="J129" s="419">
        <v>-6.5999999999999913E-4</v>
      </c>
      <c r="K129" s="419">
        <v>-3.9600000000000017E-3</v>
      </c>
      <c r="L129" s="419">
        <v>-3.9999999999999983E-3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-4.6600000000000001E-3</v>
      </c>
      <c r="V129" s="351"/>
      <c r="W129" s="351"/>
      <c r="X129" s="351"/>
      <c r="Y129" s="363">
        <v>-4.6600000000000001E-3</v>
      </c>
      <c r="Z129" s="363"/>
      <c r="AA129" s="363"/>
      <c r="AB129" s="363"/>
      <c r="AC129" s="363">
        <v>-4.6600000000000001E-3</v>
      </c>
      <c r="AD129" s="355"/>
      <c r="AE129" s="334"/>
    </row>
    <row r="130" spans="1:31" s="352" customFormat="1" x14ac:dyDescent="0.2">
      <c r="A130" s="320" t="str">
        <f>IFERROR(VLOOKUP(B130,mapping_one_neo!A:B,2,FALSE),"")</f>
        <v>Other office costs AU=0.INP</v>
      </c>
      <c r="B130" s="388" t="s">
        <v>89</v>
      </c>
      <c r="C130" s="353">
        <v>681124</v>
      </c>
      <c r="E130" s="356">
        <v>-2.8426974999999994</v>
      </c>
      <c r="G130" s="419">
        <v>-0.20135</v>
      </c>
      <c r="H130" s="419">
        <v>-0.18837000000000001</v>
      </c>
      <c r="I130" s="419">
        <v>-0.20132999999999995</v>
      </c>
      <c r="J130" s="419">
        <v>-0.19486000000000003</v>
      </c>
      <c r="K130" s="419">
        <v>-0.20135999999999998</v>
      </c>
      <c r="L130" s="419">
        <v>-0.19485999999999992</v>
      </c>
      <c r="M130" s="419">
        <v>-0.27676125000000001</v>
      </c>
      <c r="N130" s="419">
        <v>-0.27676125000000001</v>
      </c>
      <c r="O130" s="419">
        <v>-0.27676125000000001</v>
      </c>
      <c r="P130" s="419">
        <v>-0.27676125000000001</v>
      </c>
      <c r="Q130" s="419">
        <v>-0.27676125000000001</v>
      </c>
      <c r="R130" s="419">
        <v>-0.27676125000000001</v>
      </c>
      <c r="S130" s="345"/>
      <c r="T130" s="361"/>
      <c r="U130" s="351">
        <v>-0.84138999999999997</v>
      </c>
      <c r="V130" s="351"/>
      <c r="W130" s="351"/>
      <c r="X130" s="351"/>
      <c r="Y130" s="363">
        <v>-0.84138999999999997</v>
      </c>
      <c r="Z130" s="363"/>
      <c r="AA130" s="363"/>
      <c r="AB130" s="363"/>
      <c r="AC130" s="363">
        <v>-0.84138999999999997</v>
      </c>
      <c r="AD130" s="355"/>
      <c r="AE130" s="334"/>
    </row>
    <row r="131" spans="1:31" s="352" customFormat="1" x14ac:dyDescent="0.2">
      <c r="A131" s="320" t="str">
        <f>IFERROR(VLOOKUP(B131,mapping_one_neo!A:B,2,FALSE),"")</f>
        <v>Other office costs AU=0.INP</v>
      </c>
      <c r="B131" s="388" t="s">
        <v>90</v>
      </c>
      <c r="C131" s="353"/>
      <c r="E131" s="356">
        <v>0</v>
      </c>
      <c r="G131" s="419">
        <v>0</v>
      </c>
      <c r="H131" s="419">
        <v>0</v>
      </c>
      <c r="I131" s="419">
        <v>0</v>
      </c>
      <c r="J131" s="419">
        <v>0</v>
      </c>
      <c r="K131" s="419">
        <v>0</v>
      </c>
      <c r="L131" s="419">
        <v>0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/>
      <c r="V131" s="351"/>
      <c r="W131" s="351"/>
      <c r="X131" s="351"/>
      <c r="Y131" s="363">
        <v>0</v>
      </c>
      <c r="Z131" s="363"/>
      <c r="AA131" s="363"/>
      <c r="AB131" s="363"/>
      <c r="AC131" s="363">
        <v>0</v>
      </c>
      <c r="AD131" s="355"/>
      <c r="AE131" s="334"/>
    </row>
    <row r="132" spans="1:31" s="352" customFormat="1" x14ac:dyDescent="0.2">
      <c r="A132" s="320" t="str">
        <f>IFERROR(VLOOKUP(B132,mapping_one_neo!A:B,2,FALSE),"")</f>
        <v>Staff Welfare</v>
      </c>
      <c r="B132" s="388" t="s">
        <v>53</v>
      </c>
      <c r="C132" s="353"/>
      <c r="E132" s="356">
        <v>0</v>
      </c>
      <c r="G132" s="419">
        <v>0</v>
      </c>
      <c r="H132" s="419">
        <v>0</v>
      </c>
      <c r="I132" s="419">
        <v>0</v>
      </c>
      <c r="J132" s="419">
        <v>0</v>
      </c>
      <c r="K132" s="419">
        <v>0</v>
      </c>
      <c r="L132" s="419">
        <v>0</v>
      </c>
      <c r="M132" s="419"/>
      <c r="N132" s="419"/>
      <c r="O132" s="419"/>
      <c r="P132" s="419"/>
      <c r="Q132" s="419"/>
      <c r="R132" s="419"/>
      <c r="S132" s="345"/>
      <c r="T132" s="361"/>
      <c r="U132" s="351"/>
      <c r="V132" s="351"/>
      <c r="W132" s="351"/>
      <c r="X132" s="351"/>
      <c r="Y132" s="363">
        <v>0</v>
      </c>
      <c r="Z132" s="363"/>
      <c r="AA132" s="363"/>
      <c r="AB132" s="363"/>
      <c r="AC132" s="363">
        <v>0</v>
      </c>
      <c r="AD132" s="355"/>
      <c r="AE132" s="334"/>
    </row>
    <row r="133" spans="1:31" s="387" customFormat="1" x14ac:dyDescent="0.2">
      <c r="A133" s="320">
        <f>IFERROR(VLOOKUP(B133,mapping_one_neo!A:B,2,FALSE),"")</f>
        <v>0</v>
      </c>
      <c r="B133" s="387" t="s">
        <v>91</v>
      </c>
      <c r="C133" s="392"/>
      <c r="E133" s="393">
        <v>-118.19251749999999</v>
      </c>
      <c r="G133" s="393">
        <v>-10.170790433333334</v>
      </c>
      <c r="H133" s="393">
        <v>-8.630186233333335</v>
      </c>
      <c r="I133" s="393">
        <v>-9.4086233333333311</v>
      </c>
      <c r="J133" s="393">
        <v>-9.3981733333333359</v>
      </c>
      <c r="K133" s="393">
        <v>-9.4095933333333335</v>
      </c>
      <c r="L133" s="393">
        <v>-9.3805833333333357</v>
      </c>
      <c r="M133" s="393">
        <v>-9.8144279166666681</v>
      </c>
      <c r="N133" s="393">
        <v>-11.574427916666668</v>
      </c>
      <c r="O133" s="393">
        <v>-9.8144279166666681</v>
      </c>
      <c r="P133" s="393">
        <v>-9.8144279166666681</v>
      </c>
      <c r="Q133" s="393">
        <v>-9.8144279166666681</v>
      </c>
      <c r="R133" s="393">
        <v>-10.962427916666668</v>
      </c>
      <c r="S133" s="349"/>
      <c r="T133" s="346"/>
      <c r="U133" s="393">
        <f>SUM(U123:U132)</f>
        <v>-3.3725499999999999</v>
      </c>
      <c r="V133" s="393">
        <f t="shared" ref="V133:AC133" si="10">SUM(V123:V132)</f>
        <v>-27.5</v>
      </c>
      <c r="W133" s="393">
        <f t="shared" si="10"/>
        <v>0</v>
      </c>
      <c r="X133" s="393">
        <f t="shared" si="10"/>
        <v>0</v>
      </c>
      <c r="Y133" s="393">
        <f t="shared" si="10"/>
        <v>-30.87255</v>
      </c>
      <c r="Z133" s="393">
        <f t="shared" si="10"/>
        <v>0</v>
      </c>
      <c r="AA133" s="393">
        <f t="shared" si="10"/>
        <v>0</v>
      </c>
      <c r="AB133" s="393">
        <f t="shared" si="10"/>
        <v>0</v>
      </c>
      <c r="AC133" s="393">
        <f t="shared" si="10"/>
        <v>-30.87255</v>
      </c>
      <c r="AD133" s="394"/>
      <c r="AE133" s="334"/>
    </row>
    <row r="134" spans="1:31" s="387" customFormat="1" x14ac:dyDescent="0.2">
      <c r="A134" s="320" t="str">
        <f>IFERROR(VLOOKUP(B134,mapping_one_neo!A:B,2,FALSE),"")</f>
        <v/>
      </c>
      <c r="C134" s="392"/>
      <c r="E134" s="397"/>
      <c r="G134" s="397"/>
      <c r="H134" s="397"/>
      <c r="I134" s="397"/>
      <c r="J134" s="397"/>
      <c r="K134" s="397"/>
      <c r="L134" s="397"/>
      <c r="M134" s="397"/>
      <c r="N134" s="397"/>
      <c r="O134" s="397"/>
      <c r="P134" s="397"/>
      <c r="Q134" s="397"/>
      <c r="R134" s="397"/>
      <c r="S134" s="349"/>
      <c r="T134" s="346"/>
      <c r="U134" s="397"/>
      <c r="V134" s="397"/>
      <c r="W134" s="397"/>
      <c r="X134" s="397"/>
      <c r="Y134" s="399"/>
      <c r="Z134" s="399"/>
      <c r="AA134" s="399"/>
      <c r="AB134" s="399"/>
      <c r="AC134" s="399"/>
      <c r="AD134" s="394"/>
      <c r="AE134" s="334"/>
    </row>
    <row r="135" spans="1:31" x14ac:dyDescent="0.2">
      <c r="A135" s="320">
        <f>IFERROR(VLOOKUP(B135,mapping_one_neo!A:B,2,FALSE),"")</f>
        <v>0</v>
      </c>
      <c r="B135" s="352" t="s">
        <v>92</v>
      </c>
      <c r="C135" s="353"/>
      <c r="E135" s="354">
        <v>-128.66603950000001</v>
      </c>
      <c r="G135" s="354">
        <v>-10.434640433333334</v>
      </c>
      <c r="H135" s="354">
        <v>-9.1118462333333348</v>
      </c>
      <c r="I135" s="354">
        <v>-9.7336733333333303</v>
      </c>
      <c r="J135" s="354">
        <v>-10.287403333333335</v>
      </c>
      <c r="K135" s="354">
        <v>-12.778823333333333</v>
      </c>
      <c r="L135" s="354">
        <v>-9.730593333333335</v>
      </c>
      <c r="M135" s="354">
        <v>-11.796843250000002</v>
      </c>
      <c r="N135" s="354">
        <v>-11.856843250000001</v>
      </c>
      <c r="O135" s="354">
        <v>-10.796843250000002</v>
      </c>
      <c r="P135" s="354">
        <v>-10.096843250000001</v>
      </c>
      <c r="Q135" s="354">
        <v>-10.096843250000001</v>
      </c>
      <c r="R135" s="354">
        <v>-11.944843250000002</v>
      </c>
      <c r="S135" s="349"/>
      <c r="T135" s="346"/>
      <c r="U135" s="354">
        <f>U133+U120+U115+U110</f>
        <v>-5.5716600000000005</v>
      </c>
      <c r="V135" s="354">
        <f t="shared" ref="V135:AC135" si="11">V133+V120+V115+V110</f>
        <v>-27.5</v>
      </c>
      <c r="W135" s="354">
        <f t="shared" si="11"/>
        <v>0</v>
      </c>
      <c r="X135" s="354">
        <f t="shared" si="11"/>
        <v>0</v>
      </c>
      <c r="Y135" s="354">
        <f t="shared" si="11"/>
        <v>-33.071660000000001</v>
      </c>
      <c r="Z135" s="354">
        <f t="shared" si="11"/>
        <v>0</v>
      </c>
      <c r="AA135" s="354">
        <f t="shared" si="11"/>
        <v>0</v>
      </c>
      <c r="AB135" s="354">
        <f t="shared" si="11"/>
        <v>0</v>
      </c>
      <c r="AC135" s="354">
        <f t="shared" si="11"/>
        <v>-33.071660000000001</v>
      </c>
      <c r="AD135" s="350"/>
    </row>
    <row r="136" spans="1:31" x14ac:dyDescent="0.2">
      <c r="A136" s="320" t="str">
        <f>IFERROR(VLOOKUP(B136,mapping_one_neo!A:B,2,FALSE),"")</f>
        <v/>
      </c>
      <c r="J136" s="335">
        <v>0</v>
      </c>
      <c r="M136" s="335">
        <v>0</v>
      </c>
      <c r="S136" s="349"/>
      <c r="T136" s="346"/>
      <c r="U136" s="351"/>
      <c r="V136" s="351"/>
      <c r="W136" s="351"/>
      <c r="X136" s="351"/>
      <c r="Y136" s="358"/>
      <c r="Z136" s="358"/>
      <c r="AA136" s="358"/>
      <c r="AB136" s="358"/>
      <c r="AC136" s="358"/>
      <c r="AD136" s="350"/>
    </row>
    <row r="137" spans="1:31" s="352" customFormat="1" x14ac:dyDescent="0.2">
      <c r="A137" s="320" t="str">
        <f>IFERROR(VLOOKUP(B137,mapping_one_neo!A:B,2,FALSE),"")</f>
        <v>Voice/fax communication costs</v>
      </c>
      <c r="B137" s="400" t="s">
        <v>93</v>
      </c>
      <c r="C137" s="353">
        <v>626110</v>
      </c>
      <c r="E137" s="356">
        <v>-8.0407407407407394</v>
      </c>
      <c r="G137" s="419">
        <v>-0.6</v>
      </c>
      <c r="H137" s="419">
        <v>-0.6</v>
      </c>
      <c r="I137" s="419">
        <v>-0.60000000000000009</v>
      </c>
      <c r="J137" s="419">
        <v>-0.7</v>
      </c>
      <c r="K137" s="419">
        <v>-0.36629999999999985</v>
      </c>
      <c r="L137" s="419">
        <v>-0.10000000000000053</v>
      </c>
      <c r="M137" s="419">
        <v>-0.84574012345678995</v>
      </c>
      <c r="N137" s="419">
        <v>-0.84574012345678995</v>
      </c>
      <c r="O137" s="419">
        <v>-0.84574012345678995</v>
      </c>
      <c r="P137" s="419">
        <v>-0.84574012345678995</v>
      </c>
      <c r="Q137" s="419">
        <v>-0.84574012345678995</v>
      </c>
      <c r="R137" s="419">
        <v>-0.84574012345678995</v>
      </c>
      <c r="S137" s="345"/>
      <c r="T137" s="361"/>
      <c r="U137" s="351">
        <v>-2.6</v>
      </c>
      <c r="V137" s="351"/>
      <c r="W137" s="351"/>
      <c r="X137" s="351"/>
      <c r="Y137" s="363">
        <v>-2.6</v>
      </c>
      <c r="Z137" s="363"/>
      <c r="AA137" s="363"/>
      <c r="AB137" s="363"/>
      <c r="AC137" s="363">
        <v>-2.6</v>
      </c>
      <c r="AD137" s="355"/>
      <c r="AE137" s="334"/>
    </row>
    <row r="138" spans="1:31" s="352" customFormat="1" x14ac:dyDescent="0.2">
      <c r="A138" s="320" t="str">
        <f>IFERROR(VLOOKUP(B138,mapping_one_neo!A:B,2,FALSE),"")</f>
        <v>Voice/fax communication costs</v>
      </c>
      <c r="B138" s="400" t="s">
        <v>94</v>
      </c>
      <c r="C138" s="353">
        <v>626110</v>
      </c>
      <c r="E138" s="356">
        <v>-4.0082500000000003</v>
      </c>
      <c r="G138" s="419">
        <v>-0.33300000000000002</v>
      </c>
      <c r="H138" s="419">
        <v>-0.33300000000000002</v>
      </c>
      <c r="I138" s="419">
        <v>-0.33300000000000007</v>
      </c>
      <c r="J138" s="419">
        <v>-0.33299999999999996</v>
      </c>
      <c r="K138" s="419">
        <v>-0.33299999999999996</v>
      </c>
      <c r="L138" s="419">
        <v>-0.33300000000000018</v>
      </c>
      <c r="M138" s="419">
        <v>-0.33475000000000005</v>
      </c>
      <c r="N138" s="419">
        <v>-0.33475000000000005</v>
      </c>
      <c r="O138" s="419">
        <v>-0.33475000000000005</v>
      </c>
      <c r="P138" s="419">
        <v>-0.33475000000000005</v>
      </c>
      <c r="Q138" s="419">
        <v>-0.33475000000000005</v>
      </c>
      <c r="R138" s="419">
        <v>-0.33650000000000002</v>
      </c>
      <c r="S138" s="389" t="s">
        <v>134</v>
      </c>
      <c r="T138" s="361"/>
      <c r="U138" s="351">
        <v>-1.6260000000000001</v>
      </c>
      <c r="V138" s="351"/>
      <c r="W138" s="351"/>
      <c r="X138" s="351"/>
      <c r="Y138" s="363">
        <v>-1.6260000000000001</v>
      </c>
      <c r="Z138" s="363"/>
      <c r="AA138" s="363"/>
      <c r="AB138" s="363"/>
      <c r="AC138" s="363">
        <v>-1.6260000000000001</v>
      </c>
      <c r="AD138" s="355"/>
      <c r="AE138" s="334"/>
    </row>
    <row r="139" spans="1:31" x14ac:dyDescent="0.2">
      <c r="A139" s="320" t="str">
        <f>IFERROR(VLOOKUP(B139,mapping_one_neo!A:B,2,FALSE),"")</f>
        <v/>
      </c>
      <c r="G139" s="398">
        <v>0</v>
      </c>
      <c r="H139" s="398">
        <v>0</v>
      </c>
      <c r="I139" s="398">
        <v>0</v>
      </c>
      <c r="J139" s="398">
        <v>0</v>
      </c>
      <c r="K139" s="398">
        <v>0</v>
      </c>
      <c r="L139" s="398">
        <v>0</v>
      </c>
      <c r="M139" s="398">
        <v>0</v>
      </c>
      <c r="N139" s="398">
        <v>0</v>
      </c>
      <c r="O139" s="398"/>
      <c r="P139" s="398"/>
      <c r="Q139" s="398"/>
      <c r="R139" s="398"/>
      <c r="S139" s="349"/>
      <c r="T139" s="346"/>
      <c r="U139" s="351"/>
      <c r="V139" s="351"/>
      <c r="W139" s="351"/>
      <c r="X139" s="351"/>
      <c r="Y139" s="358"/>
      <c r="Z139" s="358"/>
      <c r="AA139" s="358"/>
      <c r="AB139" s="358"/>
      <c r="AC139" s="358"/>
      <c r="AD139" s="350"/>
    </row>
    <row r="140" spans="1:31" s="352" customFormat="1" x14ac:dyDescent="0.2">
      <c r="A140" s="320" t="str">
        <f>IFERROR(VLOOKUP(B140,mapping_one_neo!A:B,2,FALSE),"")</f>
        <v>Data communication costs AU=0ADJ16</v>
      </c>
      <c r="B140" s="400" t="s">
        <v>95</v>
      </c>
      <c r="C140" s="353">
        <v>626400</v>
      </c>
      <c r="E140" s="356">
        <v>0</v>
      </c>
      <c r="G140" s="419">
        <v>0</v>
      </c>
      <c r="H140" s="419">
        <v>0</v>
      </c>
      <c r="I140" s="419">
        <v>0</v>
      </c>
      <c r="J140" s="419">
        <v>0</v>
      </c>
      <c r="K140" s="419">
        <v>0</v>
      </c>
      <c r="L140" s="419">
        <v>0</v>
      </c>
      <c r="M140" s="419">
        <v>0</v>
      </c>
      <c r="N140" s="419">
        <v>0</v>
      </c>
      <c r="O140" s="419">
        <v>0</v>
      </c>
      <c r="P140" s="419">
        <v>0</v>
      </c>
      <c r="Q140" s="419">
        <v>0</v>
      </c>
      <c r="R140" s="419">
        <v>0</v>
      </c>
      <c r="S140" s="345"/>
      <c r="T140" s="361"/>
      <c r="U140" s="351"/>
      <c r="V140" s="351"/>
      <c r="W140" s="351"/>
      <c r="X140" s="351"/>
      <c r="Y140" s="363">
        <v>0</v>
      </c>
      <c r="Z140" s="363"/>
      <c r="AA140" s="363"/>
      <c r="AB140" s="363"/>
      <c r="AC140" s="363">
        <v>0</v>
      </c>
      <c r="AD140" s="355"/>
      <c r="AE140" s="334"/>
    </row>
    <row r="141" spans="1:31" s="352" customFormat="1" x14ac:dyDescent="0.2">
      <c r="A141" s="320" t="str">
        <f>IFERROR(VLOOKUP(B141,mapping_one_neo!A:B,2,FALSE),"")</f>
        <v>Data communication costs AU=0ADJ16</v>
      </c>
      <c r="B141" s="400" t="s">
        <v>96</v>
      </c>
      <c r="C141" s="353">
        <v>626400</v>
      </c>
      <c r="E141" s="356">
        <v>-0.99833333333333341</v>
      </c>
      <c r="G141" s="419">
        <v>-8.3000000000000004E-2</v>
      </c>
      <c r="H141" s="419">
        <v>-8.3000000000000004E-2</v>
      </c>
      <c r="I141" s="419">
        <v>-8.299999999999999E-2</v>
      </c>
      <c r="J141" s="419">
        <v>-8.3000000000000018E-2</v>
      </c>
      <c r="K141" s="419">
        <v>-8.3000000000000018E-2</v>
      </c>
      <c r="L141" s="419">
        <v>-8.2999999999999963E-2</v>
      </c>
      <c r="M141" s="419">
        <v>-8.3333333333333329E-2</v>
      </c>
      <c r="N141" s="419">
        <v>-8.3333333333333329E-2</v>
      </c>
      <c r="O141" s="419">
        <v>-8.3333333333333329E-2</v>
      </c>
      <c r="P141" s="419">
        <v>-8.3333333333333329E-2</v>
      </c>
      <c r="Q141" s="419">
        <v>-8.3333333333333329E-2</v>
      </c>
      <c r="R141" s="419">
        <v>-8.3666666666666598E-2</v>
      </c>
      <c r="S141" s="345"/>
      <c r="T141" s="361"/>
      <c r="U141" s="351">
        <v>-0.249</v>
      </c>
      <c r="V141" s="351"/>
      <c r="W141" s="351"/>
      <c r="X141" s="351"/>
      <c r="Y141" s="363">
        <v>-0.249</v>
      </c>
      <c r="Z141" s="363"/>
      <c r="AA141" s="363"/>
      <c r="AB141" s="363"/>
      <c r="AC141" s="363">
        <v>-0.249</v>
      </c>
      <c r="AD141" s="355"/>
      <c r="AE141" s="334"/>
    </row>
    <row r="142" spans="1:31" x14ac:dyDescent="0.2">
      <c r="A142" s="320" t="str">
        <f>IFERROR(VLOOKUP(B142,mapping_one_neo!A:B,2,FALSE),"")</f>
        <v/>
      </c>
      <c r="G142" s="398"/>
      <c r="H142" s="398"/>
      <c r="I142" s="398"/>
      <c r="J142" s="398"/>
      <c r="K142" s="398"/>
      <c r="L142" s="398"/>
      <c r="M142" s="398"/>
      <c r="N142" s="398"/>
      <c r="O142" s="398"/>
      <c r="P142" s="398"/>
      <c r="Q142" s="398"/>
      <c r="R142" s="398"/>
      <c r="S142" s="349"/>
      <c r="T142" s="346"/>
      <c r="U142" s="351"/>
      <c r="V142" s="351"/>
      <c r="W142" s="351"/>
      <c r="X142" s="351"/>
      <c r="Y142" s="358"/>
      <c r="Z142" s="358"/>
      <c r="AA142" s="358"/>
      <c r="AB142" s="358"/>
      <c r="AC142" s="358"/>
      <c r="AD142" s="350"/>
    </row>
    <row r="143" spans="1:31" x14ac:dyDescent="0.2">
      <c r="A143" s="320">
        <f>IFERROR(VLOOKUP(B143,mapping_one_neo!A:B,2,FALSE),"")</f>
        <v>0</v>
      </c>
      <c r="B143" s="387" t="s">
        <v>97</v>
      </c>
      <c r="J143" s="335">
        <v>0</v>
      </c>
      <c r="M143" s="335">
        <v>0</v>
      </c>
      <c r="S143" s="349"/>
      <c r="T143" s="346"/>
      <c r="U143" s="351"/>
      <c r="V143" s="351"/>
      <c r="W143" s="351"/>
      <c r="X143" s="351"/>
      <c r="Y143" s="358"/>
      <c r="Z143" s="358"/>
      <c r="AA143" s="358"/>
      <c r="AB143" s="358"/>
      <c r="AC143" s="358"/>
      <c r="AD143" s="350"/>
    </row>
    <row r="144" spans="1:31" s="352" customFormat="1" x14ac:dyDescent="0.2">
      <c r="A144" s="320" t="str">
        <f>IFERROR(VLOOKUP(B144,mapping_one_neo!A:B,2,FALSE),"")</f>
        <v>Outsourced business systems AU=0ADJ16</v>
      </c>
      <c r="B144" s="388" t="s">
        <v>755</v>
      </c>
      <c r="C144" s="353" t="s">
        <v>157</v>
      </c>
      <c r="E144" s="356">
        <v>0</v>
      </c>
      <c r="G144" s="356">
        <v>0</v>
      </c>
      <c r="H144" s="356">
        <v>0</v>
      </c>
      <c r="I144" s="356">
        <v>0</v>
      </c>
      <c r="J144" s="356">
        <v>0</v>
      </c>
      <c r="K144" s="356">
        <v>0</v>
      </c>
      <c r="L144" s="356">
        <v>0</v>
      </c>
      <c r="M144" s="356">
        <v>0</v>
      </c>
      <c r="N144" s="356">
        <v>0</v>
      </c>
      <c r="O144" s="356">
        <v>0</v>
      </c>
      <c r="P144" s="356">
        <v>0</v>
      </c>
      <c r="Q144" s="356">
        <v>0</v>
      </c>
      <c r="R144" s="356">
        <v>0</v>
      </c>
      <c r="S144" s="345"/>
      <c r="T144" s="361"/>
      <c r="U144" s="362"/>
      <c r="V144" s="362"/>
      <c r="W144" s="362"/>
      <c r="X144" s="351"/>
      <c r="Y144" s="363"/>
      <c r="Z144" s="363"/>
      <c r="AA144" s="363"/>
      <c r="AB144" s="363"/>
      <c r="AC144" s="363"/>
      <c r="AD144" s="355"/>
      <c r="AE144" s="334"/>
    </row>
    <row r="145" spans="1:31" s="352" customFormat="1" x14ac:dyDescent="0.2">
      <c r="A145" s="320" t="str">
        <f>IFERROR(VLOOKUP(B145,mapping_one_neo!A:B,2,FALSE),"")</f>
        <v>Outsourced business systems AU=0ADJ16</v>
      </c>
      <c r="B145" s="388" t="s">
        <v>98</v>
      </c>
      <c r="C145" s="353" t="s">
        <v>157</v>
      </c>
      <c r="E145" s="356">
        <v>-18</v>
      </c>
      <c r="G145" s="419">
        <v>-1.5</v>
      </c>
      <c r="H145" s="419">
        <v>-1.5</v>
      </c>
      <c r="I145" s="419">
        <v>-1.5</v>
      </c>
      <c r="J145" s="419">
        <v>-1.5</v>
      </c>
      <c r="K145" s="419">
        <v>-1.5</v>
      </c>
      <c r="L145" s="419">
        <v>-1.5</v>
      </c>
      <c r="M145" s="419">
        <v>-1.5</v>
      </c>
      <c r="N145" s="419">
        <v>-1.5</v>
      </c>
      <c r="O145" s="419">
        <v>-1.5</v>
      </c>
      <c r="P145" s="419">
        <v>-1.5</v>
      </c>
      <c r="Q145" s="419">
        <v>-1.5</v>
      </c>
      <c r="R145" s="419">
        <v>-1.5</v>
      </c>
      <c r="S145" s="345"/>
      <c r="T145" s="361"/>
      <c r="U145" s="351">
        <v>-5.25</v>
      </c>
      <c r="V145" s="351"/>
      <c r="W145" s="351"/>
      <c r="X145" s="351"/>
      <c r="Y145" s="363">
        <v>-5.25</v>
      </c>
      <c r="Z145" s="363"/>
      <c r="AA145" s="363"/>
      <c r="AB145" s="363"/>
      <c r="AC145" s="363">
        <v>-5.25</v>
      </c>
      <c r="AD145" s="355"/>
      <c r="AE145" s="334"/>
    </row>
    <row r="146" spans="1:31" s="352" customFormat="1" x14ac:dyDescent="0.2">
      <c r="A146" s="320" t="str">
        <f>IFERROR(VLOOKUP(B146,mapping_one_neo!A:B,2,FALSE),"")</f>
        <v>Outsourced business systems AU=0ADJ16</v>
      </c>
      <c r="B146" s="388" t="s">
        <v>799</v>
      </c>
      <c r="C146" s="353" t="s">
        <v>157</v>
      </c>
      <c r="E146" s="356"/>
      <c r="G146" s="419"/>
      <c r="H146" s="419"/>
      <c r="I146" s="419"/>
      <c r="J146" s="419"/>
      <c r="K146" s="419"/>
      <c r="L146" s="419"/>
      <c r="M146" s="419"/>
      <c r="N146" s="419"/>
      <c r="O146" s="419"/>
      <c r="P146" s="419"/>
      <c r="Q146" s="419"/>
      <c r="R146" s="419"/>
      <c r="S146" s="345"/>
      <c r="T146" s="361"/>
      <c r="U146" s="351">
        <v>-0.17400000000000002</v>
      </c>
      <c r="V146" s="351"/>
      <c r="W146" s="351"/>
      <c r="X146" s="351"/>
      <c r="Y146" s="363">
        <v>-0.17400000000000002</v>
      </c>
      <c r="Z146" s="363"/>
      <c r="AA146" s="363"/>
      <c r="AB146" s="363"/>
      <c r="AC146" s="363">
        <v>-0.17400000000000002</v>
      </c>
      <c r="AD146" s="355"/>
      <c r="AE146" s="334"/>
    </row>
    <row r="147" spans="1:31" s="352" customFormat="1" x14ac:dyDescent="0.2">
      <c r="A147" s="320" t="str">
        <f>IFERROR(VLOOKUP(B147,mapping_one_neo!A:B,2,FALSE),"")</f>
        <v>Computer equipment maintenance/service AU=0ADJ16</v>
      </c>
      <c r="B147" s="388" t="s">
        <v>99</v>
      </c>
      <c r="C147" s="353">
        <v>615620</v>
      </c>
      <c r="E147" s="356">
        <v>-0.61181084444444411</v>
      </c>
      <c r="G147" s="419">
        <v>0</v>
      </c>
      <c r="H147" s="419">
        <v>0</v>
      </c>
      <c r="I147" s="419">
        <v>0</v>
      </c>
      <c r="J147" s="419">
        <v>0</v>
      </c>
      <c r="K147" s="419">
        <v>0</v>
      </c>
      <c r="L147" s="419">
        <v>0</v>
      </c>
      <c r="M147" s="419">
        <v>-0.101968474074074</v>
      </c>
      <c r="N147" s="419">
        <v>-0.101968474074074</v>
      </c>
      <c r="O147" s="419">
        <v>-0.101968474074074</v>
      </c>
      <c r="P147" s="419">
        <v>-0.101968474074074</v>
      </c>
      <c r="Q147" s="419">
        <v>-0.101968474074074</v>
      </c>
      <c r="R147" s="419">
        <v>-0.101968474074074</v>
      </c>
      <c r="S147" s="345"/>
      <c r="T147" s="361"/>
      <c r="U147" s="351">
        <v>-1.7425999999999986</v>
      </c>
      <c r="V147" s="351"/>
      <c r="W147" s="351"/>
      <c r="X147" s="351"/>
      <c r="Y147" s="363">
        <v>-1.7425999999999986</v>
      </c>
      <c r="Z147" s="363"/>
      <c r="AA147" s="363"/>
      <c r="AB147" s="363"/>
      <c r="AC147" s="363">
        <v>-1.7425999999999986</v>
      </c>
      <c r="AD147" s="355"/>
      <c r="AE147" s="334"/>
    </row>
    <row r="148" spans="1:31" s="352" customFormat="1" x14ac:dyDescent="0.2">
      <c r="A148" s="320" t="str">
        <f>IFERROR(VLOOKUP(B148,mapping_one_neo!A:B,2,FALSE),"")</f>
        <v>Outsourced business systems AU=0ADJ16</v>
      </c>
      <c r="B148" s="388" t="s">
        <v>100</v>
      </c>
      <c r="C148" s="353" t="s">
        <v>157</v>
      </c>
      <c r="E148" s="356">
        <v>-5.7623066666666656</v>
      </c>
      <c r="G148" s="419">
        <v>-0.47642000000000029</v>
      </c>
      <c r="H148" s="419">
        <v>-0.44569000000000059</v>
      </c>
      <c r="I148" s="419">
        <v>-0.4764199999999994</v>
      </c>
      <c r="J148" s="419">
        <v>-0.46104999999999863</v>
      </c>
      <c r="K148" s="419">
        <v>-0.47642000000000095</v>
      </c>
      <c r="L148" s="419">
        <v>-0.46106000000000025</v>
      </c>
      <c r="M148" s="419">
        <v>-0.4916666666666667</v>
      </c>
      <c r="N148" s="419">
        <v>-0.4916666666666667</v>
      </c>
      <c r="O148" s="419">
        <v>-0.4916666666666667</v>
      </c>
      <c r="P148" s="419">
        <v>-0.4916666666666667</v>
      </c>
      <c r="Q148" s="419">
        <v>-0.4916666666666667</v>
      </c>
      <c r="R148" s="419">
        <v>-0.50691333333333199</v>
      </c>
      <c r="S148" s="345"/>
      <c r="T148" s="361"/>
      <c r="U148" s="351">
        <v>-7.5</v>
      </c>
      <c r="V148" s="351"/>
      <c r="W148" s="351"/>
      <c r="X148" s="351"/>
      <c r="Y148" s="363">
        <v>-7.5</v>
      </c>
      <c r="Z148" s="363"/>
      <c r="AA148" s="363"/>
      <c r="AB148" s="363"/>
      <c r="AC148" s="363">
        <v>-7.5</v>
      </c>
      <c r="AD148" s="355"/>
      <c r="AE148" s="334"/>
    </row>
    <row r="149" spans="1:31" s="352" customFormat="1" x14ac:dyDescent="0.2">
      <c r="A149" s="320" t="str">
        <f>IFERROR(VLOOKUP(B149,mapping_one_neo!A:B,2,FALSE),"")</f>
        <v>Outsourced business systems AU=0ADJ16</v>
      </c>
      <c r="B149" s="388" t="s">
        <v>101</v>
      </c>
      <c r="C149" s="353" t="s">
        <v>157</v>
      </c>
      <c r="E149" s="356">
        <v>-29.459999999999994</v>
      </c>
      <c r="G149" s="419">
        <v>-2.3999999999999995</v>
      </c>
      <c r="H149" s="419">
        <v>-2.5100000000000002</v>
      </c>
      <c r="I149" s="419">
        <v>-2.4550000000000001</v>
      </c>
      <c r="J149" s="419">
        <v>-2.4550000000000001</v>
      </c>
      <c r="K149" s="419">
        <v>-2.4550000000000001</v>
      </c>
      <c r="L149" s="419">
        <v>-2.4550000000000001</v>
      </c>
      <c r="M149" s="419">
        <v>-2.4550000000000001</v>
      </c>
      <c r="N149" s="419">
        <v>-2.4550000000000001</v>
      </c>
      <c r="O149" s="419">
        <v>-2.4550000000000001</v>
      </c>
      <c r="P149" s="419">
        <v>-2.4550000000000001</v>
      </c>
      <c r="Q149" s="419">
        <v>-2.4550000000000001</v>
      </c>
      <c r="R149" s="419">
        <v>-2.4550000000000001</v>
      </c>
      <c r="S149" s="345"/>
      <c r="T149" s="361"/>
      <c r="U149" s="351">
        <v>-1.5750000000000002</v>
      </c>
      <c r="V149" s="351"/>
      <c r="W149" s="351"/>
      <c r="X149" s="351"/>
      <c r="Y149" s="363">
        <v>-1.5750000000000002</v>
      </c>
      <c r="Z149" s="363"/>
      <c r="AA149" s="363"/>
      <c r="AB149" s="363"/>
      <c r="AC149" s="363">
        <v>-1.5750000000000002</v>
      </c>
      <c r="AD149" s="355"/>
      <c r="AE149" s="334" t="s">
        <v>134</v>
      </c>
    </row>
    <row r="150" spans="1:31" s="352" customFormat="1" x14ac:dyDescent="0.2">
      <c r="A150" s="320" t="str">
        <f>IFERROR(VLOOKUP(B150,mapping_one_neo!A:B,2,FALSE),"")</f>
        <v>Outsourced business systems AU=0ADJ16</v>
      </c>
      <c r="B150" s="388" t="s">
        <v>102</v>
      </c>
      <c r="C150" s="353" t="s">
        <v>157</v>
      </c>
      <c r="E150" s="356">
        <v>-6.9993333333333316</v>
      </c>
      <c r="G150" s="419">
        <v>-0.58299999999999996</v>
      </c>
      <c r="H150" s="419">
        <v>-0.58299999999999996</v>
      </c>
      <c r="I150" s="419">
        <v>-0.58299999999999996</v>
      </c>
      <c r="J150" s="419">
        <v>-0.58299999999999996</v>
      </c>
      <c r="K150" s="419">
        <v>-0.58300000000000018</v>
      </c>
      <c r="L150" s="419">
        <v>-0.58299999999999974</v>
      </c>
      <c r="M150" s="419">
        <v>-0.58299999999999996</v>
      </c>
      <c r="N150" s="419">
        <v>-0.58299999999999996</v>
      </c>
      <c r="O150" s="419">
        <v>-0.58299999999999996</v>
      </c>
      <c r="P150" s="419">
        <v>-0.58299999999999996</v>
      </c>
      <c r="Q150" s="419">
        <v>-0.58299999999999996</v>
      </c>
      <c r="R150" s="419">
        <v>-0.58633333333333104</v>
      </c>
      <c r="S150" s="345"/>
      <c r="T150" s="361"/>
      <c r="U150" s="351"/>
      <c r="V150" s="351"/>
      <c r="W150" s="351"/>
      <c r="X150" s="351"/>
      <c r="Y150" s="363"/>
      <c r="Z150" s="363"/>
      <c r="AA150" s="363"/>
      <c r="AB150" s="363"/>
      <c r="AC150" s="363"/>
      <c r="AD150" s="355"/>
      <c r="AE150" s="334"/>
    </row>
    <row r="151" spans="1:31" s="352" customFormat="1" x14ac:dyDescent="0.2">
      <c r="A151" s="320" t="str">
        <f>IFERROR(VLOOKUP(B151,mapping_one_neo!A:B,2,FALSE),"")</f>
        <v>Outsourced business systems AU=0ADJ16</v>
      </c>
      <c r="B151" s="388" t="s">
        <v>103</v>
      </c>
      <c r="C151" s="353">
        <v>681202</v>
      </c>
      <c r="E151" s="356">
        <v>0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0</v>
      </c>
      <c r="N151" s="419">
        <v>0</v>
      </c>
      <c r="O151" s="419">
        <v>0</v>
      </c>
      <c r="P151" s="419">
        <v>0</v>
      </c>
      <c r="Q151" s="419">
        <v>0</v>
      </c>
      <c r="R151" s="419">
        <v>0</v>
      </c>
      <c r="S151" s="345"/>
      <c r="T151" s="361"/>
      <c r="U151" s="351"/>
      <c r="V151" s="351"/>
      <c r="W151" s="351"/>
      <c r="X151" s="351"/>
      <c r="Y151" s="363">
        <v>0</v>
      </c>
      <c r="Z151" s="363"/>
      <c r="AA151" s="363"/>
      <c r="AB151" s="363"/>
      <c r="AC151" s="363">
        <v>0</v>
      </c>
      <c r="AD151" s="355"/>
      <c r="AE151" s="334"/>
    </row>
    <row r="152" spans="1:31" s="352" customFormat="1" x14ac:dyDescent="0.2">
      <c r="A152" s="320" t="str">
        <f>IFERROR(VLOOKUP(B152,mapping_one_neo!A:B,2,FALSE),"")</f>
        <v>Outsourced business systems AU=0ADJ16</v>
      </c>
      <c r="B152" s="388" t="s">
        <v>104</v>
      </c>
      <c r="C152" s="353">
        <v>615625</v>
      </c>
      <c r="E152" s="356">
        <v>-3</v>
      </c>
      <c r="G152" s="419">
        <v>-0.25</v>
      </c>
      <c r="H152" s="419">
        <v>-0.25</v>
      </c>
      <c r="I152" s="419">
        <v>-0.25</v>
      </c>
      <c r="J152" s="419">
        <v>-0.25</v>
      </c>
      <c r="K152" s="419">
        <v>-0.25</v>
      </c>
      <c r="L152" s="419">
        <v>-0.25</v>
      </c>
      <c r="M152" s="419">
        <v>-0.25</v>
      </c>
      <c r="N152" s="419">
        <v>-0.25</v>
      </c>
      <c r="O152" s="419">
        <v>-0.25</v>
      </c>
      <c r="P152" s="419">
        <v>-0.25</v>
      </c>
      <c r="Q152" s="419">
        <v>-0.25</v>
      </c>
      <c r="R152" s="419">
        <v>-0.25</v>
      </c>
      <c r="S152" s="345"/>
      <c r="T152" s="361"/>
      <c r="U152" s="351"/>
      <c r="V152" s="351">
        <v>-1.125</v>
      </c>
      <c r="W152" s="351"/>
      <c r="X152" s="351"/>
      <c r="Y152" s="363">
        <v>-1.125</v>
      </c>
      <c r="Z152" s="363"/>
      <c r="AA152" s="363"/>
      <c r="AB152" s="363"/>
      <c r="AC152" s="363">
        <v>-1.125</v>
      </c>
      <c r="AD152" s="355"/>
      <c r="AE152" s="334"/>
    </row>
    <row r="153" spans="1:31" s="352" customFormat="1" x14ac:dyDescent="0.2">
      <c r="A153" s="320" t="str">
        <f>IFERROR(VLOOKUP(B153,mapping_one_neo!A:B,2,FALSE),"")</f>
        <v>WPP Business Services/IBM cost allocation</v>
      </c>
      <c r="B153" s="388" t="s">
        <v>105</v>
      </c>
      <c r="C153" s="353">
        <v>622617</v>
      </c>
      <c r="E153" s="356">
        <v>-22.998333333333335</v>
      </c>
      <c r="G153" s="419">
        <v>-1.9166666666666667</v>
      </c>
      <c r="H153" s="419">
        <v>-1.9163333333333334</v>
      </c>
      <c r="I153" s="419">
        <v>-1.9163333333333337</v>
      </c>
      <c r="J153" s="419">
        <v>-1.9163333333333341</v>
      </c>
      <c r="K153" s="419">
        <v>-1.9163333333333332</v>
      </c>
      <c r="L153" s="419">
        <v>-1.9163333333333323</v>
      </c>
      <c r="M153" s="419">
        <v>-1.9166666666666667</v>
      </c>
      <c r="N153" s="419">
        <v>-1.9166666666666667</v>
      </c>
      <c r="O153" s="419">
        <v>-1.9166666666666667</v>
      </c>
      <c r="P153" s="419">
        <v>-1.9166666666666667</v>
      </c>
      <c r="Q153" s="419">
        <v>-1.9166666666666667</v>
      </c>
      <c r="R153" s="419">
        <v>-1.9166666666666667</v>
      </c>
      <c r="S153" s="345"/>
      <c r="T153" s="361"/>
      <c r="U153" s="351"/>
      <c r="V153" s="351"/>
      <c r="W153" s="351"/>
      <c r="X153" s="351">
        <v>-5.7493333333333343</v>
      </c>
      <c r="Y153" s="363">
        <v>-5.7493333333333343</v>
      </c>
      <c r="Z153" s="363"/>
      <c r="AA153" s="363"/>
      <c r="AB153" s="363"/>
      <c r="AC153" s="363">
        <v>-5.7493333333333343</v>
      </c>
      <c r="AD153" s="355"/>
      <c r="AE153" s="334"/>
    </row>
    <row r="154" spans="1:31" s="387" customFormat="1" x14ac:dyDescent="0.2">
      <c r="A154" s="320">
        <f>IFERROR(VLOOKUP(B154,mapping_one_neo!A:B,2,FALSE),"")</f>
        <v>0</v>
      </c>
      <c r="B154" s="387" t="s">
        <v>106</v>
      </c>
      <c r="C154" s="392"/>
      <c r="E154" s="393">
        <v>-86.831784177777763</v>
      </c>
      <c r="G154" s="393">
        <v>-7.1260866666666667</v>
      </c>
      <c r="H154" s="393">
        <v>-7.205023333333334</v>
      </c>
      <c r="I154" s="393">
        <v>-7.1807533333333335</v>
      </c>
      <c r="J154" s="393">
        <v>-7.1653833333333328</v>
      </c>
      <c r="K154" s="393">
        <v>-7.1807533333333344</v>
      </c>
      <c r="L154" s="393">
        <v>-7.1653933333333324</v>
      </c>
      <c r="M154" s="393">
        <v>-7.298301807407408</v>
      </c>
      <c r="N154" s="393">
        <v>-7.298301807407408</v>
      </c>
      <c r="O154" s="393">
        <v>-7.298301807407408</v>
      </c>
      <c r="P154" s="393">
        <v>-7.298301807407408</v>
      </c>
      <c r="Q154" s="393">
        <v>-7.298301807407408</v>
      </c>
      <c r="R154" s="393">
        <v>-7.3168818074074045</v>
      </c>
      <c r="S154" s="349"/>
      <c r="T154" s="346"/>
      <c r="U154" s="393">
        <f>SUM(U144:U153)</f>
        <v>-16.241599999999998</v>
      </c>
      <c r="V154" s="393">
        <f t="shared" ref="V154:AC154" si="12">SUM(V144:V153)</f>
        <v>-1.125</v>
      </c>
      <c r="W154" s="393">
        <f t="shared" si="12"/>
        <v>0</v>
      </c>
      <c r="X154" s="393">
        <f t="shared" si="12"/>
        <v>-5.7493333333333343</v>
      </c>
      <c r="Y154" s="393">
        <f t="shared" si="12"/>
        <v>-23.115933333333331</v>
      </c>
      <c r="Z154" s="393">
        <f t="shared" si="12"/>
        <v>0</v>
      </c>
      <c r="AA154" s="393">
        <f t="shared" si="12"/>
        <v>0</v>
      </c>
      <c r="AB154" s="393">
        <f t="shared" si="12"/>
        <v>0</v>
      </c>
      <c r="AC154" s="393">
        <f t="shared" si="12"/>
        <v>-23.115933333333331</v>
      </c>
      <c r="AD154" s="394"/>
      <c r="AE154" s="334"/>
    </row>
    <row r="155" spans="1:31" s="387" customFormat="1" x14ac:dyDescent="0.2">
      <c r="A155" s="320" t="str">
        <f>IFERROR(VLOOKUP(B155,mapping_one_neo!A:B,2,FALSE),"")</f>
        <v/>
      </c>
      <c r="C155" s="353"/>
      <c r="E155" s="397"/>
      <c r="G155" s="397"/>
      <c r="H155" s="397"/>
      <c r="I155" s="397"/>
      <c r="J155" s="397"/>
      <c r="K155" s="397"/>
      <c r="L155" s="397"/>
      <c r="M155" s="397"/>
      <c r="N155" s="397"/>
      <c r="O155" s="397"/>
      <c r="P155" s="397"/>
      <c r="Q155" s="397"/>
      <c r="R155" s="397"/>
      <c r="S155" s="349"/>
      <c r="T155" s="346"/>
      <c r="U155" s="397"/>
      <c r="V155" s="397"/>
      <c r="W155" s="397"/>
      <c r="X155" s="397"/>
      <c r="Y155" s="397"/>
      <c r="Z155" s="397"/>
      <c r="AA155" s="397"/>
      <c r="AB155" s="397"/>
      <c r="AC155" s="397"/>
      <c r="AD155" s="394"/>
      <c r="AE155" s="334"/>
    </row>
    <row r="156" spans="1:31" s="352" customFormat="1" x14ac:dyDescent="0.2">
      <c r="A156" s="320" t="str">
        <f>IFERROR(VLOOKUP(B156,mapping_one_neo!A:B,2,FALSE),"")</f>
        <v>Stationery/art &amp; materials AU=0.INP</v>
      </c>
      <c r="B156" s="388" t="s">
        <v>107</v>
      </c>
      <c r="C156" s="353" t="s">
        <v>158</v>
      </c>
      <c r="E156" s="356">
        <v>-1.5</v>
      </c>
      <c r="G156" s="419">
        <v>-0.125</v>
      </c>
      <c r="H156" s="419">
        <v>-0.125</v>
      </c>
      <c r="I156" s="419">
        <v>-0.125</v>
      </c>
      <c r="J156" s="419">
        <v>-0.125</v>
      </c>
      <c r="K156" s="419">
        <v>-0.125</v>
      </c>
      <c r="L156" s="419">
        <v>-0.125</v>
      </c>
      <c r="M156" s="419">
        <v>-0.125</v>
      </c>
      <c r="N156" s="419">
        <v>-0.125</v>
      </c>
      <c r="O156" s="419">
        <v>-0.125</v>
      </c>
      <c r="P156" s="419">
        <v>-0.125</v>
      </c>
      <c r="Q156" s="419">
        <v>-0.125</v>
      </c>
      <c r="R156" s="419">
        <v>-0.125</v>
      </c>
      <c r="S156" s="345"/>
      <c r="T156" s="361"/>
      <c r="U156" s="351">
        <v>-0.30000000000000004</v>
      </c>
      <c r="V156" s="351"/>
      <c r="W156" s="351"/>
      <c r="X156" s="351"/>
      <c r="Y156" s="363">
        <v>-0.30000000000000004</v>
      </c>
      <c r="Z156" s="363"/>
      <c r="AA156" s="363"/>
      <c r="AB156" s="363"/>
      <c r="AC156" s="363">
        <v>-0.30000000000000004</v>
      </c>
      <c r="AD156" s="355"/>
      <c r="AE156" s="334"/>
    </row>
    <row r="157" spans="1:31" s="352" customFormat="1" x14ac:dyDescent="0.2">
      <c r="A157" s="320" t="str">
        <f>IFERROR(VLOOKUP(B157,mapping_one_neo!A:B,2,FALSE),"")</f>
        <v>Software/hardware expenses</v>
      </c>
      <c r="B157" s="388" t="s">
        <v>108</v>
      </c>
      <c r="C157" s="353">
        <v>606420</v>
      </c>
      <c r="E157" s="356">
        <v>-3.9547024999999989</v>
      </c>
      <c r="G157" s="419">
        <v>-0.44634000000000001</v>
      </c>
      <c r="H157" s="419">
        <v>0</v>
      </c>
      <c r="I157" s="419">
        <v>-0.68500000000000005</v>
      </c>
      <c r="J157" s="419">
        <v>0</v>
      </c>
      <c r="K157" s="419">
        <v>0</v>
      </c>
      <c r="L157" s="419">
        <v>-3.0450000000000088E-2</v>
      </c>
      <c r="M157" s="419">
        <v>-1</v>
      </c>
      <c r="N157" s="419">
        <v>-0.35858250000000003</v>
      </c>
      <c r="O157" s="419">
        <v>-0.35858250000000003</v>
      </c>
      <c r="P157" s="419">
        <v>-0.35858250000000003</v>
      </c>
      <c r="Q157" s="419">
        <v>-0.35858250000000003</v>
      </c>
      <c r="R157" s="419">
        <v>-0.35858250000000003</v>
      </c>
      <c r="S157" s="345"/>
      <c r="T157" s="361"/>
      <c r="U157" s="351"/>
      <c r="V157" s="351"/>
      <c r="W157" s="351"/>
      <c r="X157" s="351"/>
      <c r="Y157" s="363">
        <v>0</v>
      </c>
      <c r="Z157" s="363"/>
      <c r="AA157" s="363"/>
      <c r="AB157" s="363"/>
      <c r="AC157" s="363">
        <v>0</v>
      </c>
      <c r="AD157" s="355"/>
      <c r="AE157" s="334" t="s">
        <v>792</v>
      </c>
    </row>
    <row r="158" spans="1:31" s="352" customFormat="1" x14ac:dyDescent="0.2">
      <c r="A158" s="320" t="str">
        <f>IFERROR(VLOOKUP(B158,mapping_one_neo!A:B,2,FALSE),"")</f>
        <v>Stationery/art &amp; materials AU=0.INP</v>
      </c>
      <c r="B158" s="388" t="s">
        <v>109</v>
      </c>
      <c r="C158" s="353" t="s">
        <v>159</v>
      </c>
      <c r="E158" s="356">
        <v>-7.5</v>
      </c>
      <c r="G158" s="419">
        <v>-0.625</v>
      </c>
      <c r="H158" s="419">
        <v>-0.625</v>
      </c>
      <c r="I158" s="419">
        <v>-0.625</v>
      </c>
      <c r="J158" s="419">
        <v>-0.625</v>
      </c>
      <c r="K158" s="419">
        <v>-0.625</v>
      </c>
      <c r="L158" s="419">
        <v>-0.625</v>
      </c>
      <c r="M158" s="419">
        <v>-0.625</v>
      </c>
      <c r="N158" s="419">
        <v>-0.625</v>
      </c>
      <c r="O158" s="419">
        <v>-0.625</v>
      </c>
      <c r="P158" s="419">
        <v>-0.625</v>
      </c>
      <c r="Q158" s="419">
        <v>-0.625</v>
      </c>
      <c r="R158" s="419">
        <v>-0.625</v>
      </c>
      <c r="S158" s="345"/>
      <c r="T158" s="361"/>
      <c r="U158" s="351">
        <v>-1.899</v>
      </c>
      <c r="V158" s="351"/>
      <c r="W158" s="351"/>
      <c r="X158" s="351"/>
      <c r="Y158" s="363">
        <v>-1.899</v>
      </c>
      <c r="Z158" s="363"/>
      <c r="AA158" s="363"/>
      <c r="AB158" s="363"/>
      <c r="AC158" s="363">
        <v>-1.899</v>
      </c>
      <c r="AD158" s="355"/>
      <c r="AE158" s="334"/>
    </row>
    <row r="159" spans="1:31" s="352" customFormat="1" x14ac:dyDescent="0.2">
      <c r="A159" s="320" t="str">
        <f>IFERROR(VLOOKUP(B159,mapping_one_neo!A:B,2,FALSE),"")</f>
        <v>Other office costs AU=0.INP</v>
      </c>
      <c r="B159" s="388" t="s">
        <v>110</v>
      </c>
      <c r="C159" s="353">
        <v>658201</v>
      </c>
      <c r="E159" s="356">
        <v>-3.9603704333333338</v>
      </c>
      <c r="G159" s="419">
        <v>-0.37096289999999998</v>
      </c>
      <c r="H159" s="419">
        <v>-0.29503710000000005</v>
      </c>
      <c r="I159" s="419">
        <v>-0.33300000000000007</v>
      </c>
      <c r="J159" s="419">
        <v>-0.33299999999999996</v>
      </c>
      <c r="K159" s="419">
        <v>-0.33299999999999996</v>
      </c>
      <c r="L159" s="419">
        <v>-0.33300000000000018</v>
      </c>
      <c r="M159" s="419">
        <v>-0.33333333333333331</v>
      </c>
      <c r="N159" s="419">
        <v>-0.33333333333333331</v>
      </c>
      <c r="O159" s="419">
        <v>-0.33333333333333331</v>
      </c>
      <c r="P159" s="419">
        <v>-0.33333333333333331</v>
      </c>
      <c r="Q159" s="419">
        <v>-0.33333333333333331</v>
      </c>
      <c r="R159" s="419">
        <v>-0.29570376666666598</v>
      </c>
      <c r="S159" s="345"/>
      <c r="T159" s="361"/>
      <c r="U159" s="351">
        <v>-0.75</v>
      </c>
      <c r="V159" s="351"/>
      <c r="W159" s="351"/>
      <c r="X159" s="351"/>
      <c r="Y159" s="363">
        <v>-0.75</v>
      </c>
      <c r="Z159" s="363"/>
      <c r="AA159" s="363"/>
      <c r="AB159" s="363"/>
      <c r="AC159" s="363">
        <v>-0.75</v>
      </c>
      <c r="AD159" s="355"/>
      <c r="AE159" s="334"/>
    </row>
    <row r="160" spans="1:31" s="352" customFormat="1" x14ac:dyDescent="0.2">
      <c r="A160" s="320" t="str">
        <f>IFERROR(VLOOKUP(B160,mapping_one_neo!A:B,2,FALSE),"")</f>
        <v>Other office costs AU=0.INP</v>
      </c>
      <c r="B160" s="388" t="s">
        <v>111</v>
      </c>
      <c r="C160" s="353">
        <v>681122</v>
      </c>
      <c r="E160" s="356">
        <v>-7.2424500000000016</v>
      </c>
      <c r="G160" s="419">
        <v>-0.54120000000000001</v>
      </c>
      <c r="H160" s="419">
        <v>-0.50627999999999995</v>
      </c>
      <c r="I160" s="419">
        <v>-0.54116999999999993</v>
      </c>
      <c r="J160" s="419">
        <v>-0.62921000000000005</v>
      </c>
      <c r="K160" s="419">
        <v>-0.63658999999999999</v>
      </c>
      <c r="L160" s="419">
        <v>-0.61274000000000006</v>
      </c>
      <c r="M160" s="419">
        <v>-0.62921000000000005</v>
      </c>
      <c r="N160" s="419">
        <v>-0.62921000000000005</v>
      </c>
      <c r="O160" s="419">
        <v>-0.62921000000000005</v>
      </c>
      <c r="P160" s="419">
        <v>-0.62921000000000005</v>
      </c>
      <c r="Q160" s="419">
        <v>-0.62921000000000005</v>
      </c>
      <c r="R160" s="419">
        <v>-0.62921000000000005</v>
      </c>
      <c r="S160" s="345"/>
      <c r="T160" s="361"/>
      <c r="U160" s="351">
        <v>-2.6959900000000001</v>
      </c>
      <c r="V160" s="351"/>
      <c r="W160" s="351"/>
      <c r="X160" s="351"/>
      <c r="Y160" s="363">
        <v>-2.6959900000000001</v>
      </c>
      <c r="Z160" s="363"/>
      <c r="AA160" s="363"/>
      <c r="AB160" s="363"/>
      <c r="AC160" s="363">
        <v>-2.6959900000000001</v>
      </c>
      <c r="AD160" s="355"/>
      <c r="AE160" s="334"/>
    </row>
    <row r="161" spans="1:31" s="387" customFormat="1" x14ac:dyDescent="0.2">
      <c r="A161" s="320">
        <f>IFERROR(VLOOKUP(B161,mapping_one_neo!A:B,2,FALSE),"")</f>
        <v>0</v>
      </c>
      <c r="B161" s="387" t="s">
        <v>112</v>
      </c>
      <c r="C161" s="353"/>
      <c r="E161" s="393">
        <v>-24.157522933333336</v>
      </c>
      <c r="G161" s="393">
        <v>-2.1085029</v>
      </c>
      <c r="H161" s="393">
        <v>-1.5513170999999999</v>
      </c>
      <c r="I161" s="393">
        <v>-2.3091699999999999</v>
      </c>
      <c r="J161" s="393">
        <v>-1.71221</v>
      </c>
      <c r="K161" s="393">
        <v>-1.71959</v>
      </c>
      <c r="L161" s="393">
        <v>-1.7261900000000003</v>
      </c>
      <c r="M161" s="393">
        <v>-2.7125433333333335</v>
      </c>
      <c r="N161" s="393">
        <v>-2.0711258333333333</v>
      </c>
      <c r="O161" s="393">
        <v>-2.0711258333333333</v>
      </c>
      <c r="P161" s="393">
        <v>-2.0711258333333333</v>
      </c>
      <c r="Q161" s="393">
        <v>-2.0711258333333333</v>
      </c>
      <c r="R161" s="393">
        <v>-2.0334962666666661</v>
      </c>
      <c r="S161" s="349"/>
      <c r="T161" s="346"/>
      <c r="U161" s="393">
        <f>SUM(U156:U160)</f>
        <v>-5.64499</v>
      </c>
      <c r="V161" s="393">
        <f>SUM(V156:V160)</f>
        <v>0</v>
      </c>
      <c r="W161" s="393">
        <f t="shared" ref="W161:AC161" si="13">SUM(W156:W160)</f>
        <v>0</v>
      </c>
      <c r="X161" s="393">
        <f t="shared" si="13"/>
        <v>0</v>
      </c>
      <c r="Y161" s="393">
        <f t="shared" si="13"/>
        <v>-5.64499</v>
      </c>
      <c r="Z161" s="393">
        <f t="shared" si="13"/>
        <v>0</v>
      </c>
      <c r="AA161" s="393">
        <f t="shared" si="13"/>
        <v>0</v>
      </c>
      <c r="AB161" s="393">
        <f t="shared" si="13"/>
        <v>0</v>
      </c>
      <c r="AC161" s="393">
        <f t="shared" si="13"/>
        <v>-5.64499</v>
      </c>
      <c r="AD161" s="355"/>
      <c r="AE161" s="334"/>
    </row>
    <row r="162" spans="1:31" s="387" customFormat="1" x14ac:dyDescent="0.2">
      <c r="A162" s="320" t="str">
        <f>IFERROR(VLOOKUP(B162,mapping_one_neo!A:B,2,FALSE),"")</f>
        <v/>
      </c>
      <c r="C162" s="353"/>
      <c r="E162" s="397"/>
      <c r="G162" s="397"/>
      <c r="H162" s="397"/>
      <c r="I162" s="397"/>
      <c r="J162" s="397"/>
      <c r="K162" s="397"/>
      <c r="L162" s="397"/>
      <c r="M162" s="397"/>
      <c r="N162" s="397"/>
      <c r="O162" s="397"/>
      <c r="P162" s="397"/>
      <c r="Q162" s="397"/>
      <c r="R162" s="397"/>
      <c r="S162" s="349"/>
      <c r="T162" s="346"/>
      <c r="U162" s="397"/>
      <c r="V162" s="397"/>
      <c r="W162" s="397"/>
      <c r="X162" s="397"/>
      <c r="Y162" s="397"/>
      <c r="Z162" s="397"/>
      <c r="AA162" s="397"/>
      <c r="AB162" s="397"/>
      <c r="AC162" s="397"/>
      <c r="AD162" s="394"/>
      <c r="AE162" s="334"/>
    </row>
    <row r="163" spans="1:31" s="387" customFormat="1" x14ac:dyDescent="0.2">
      <c r="A163" s="320" t="str">
        <f>IFERROR(VLOOKUP(B163,mapping_one_neo!A:B,2,FALSE),"")</f>
        <v/>
      </c>
      <c r="C163" s="392"/>
      <c r="E163" s="397"/>
      <c r="G163" s="397"/>
      <c r="H163" s="397"/>
      <c r="I163" s="397"/>
      <c r="J163" s="397"/>
      <c r="K163" s="397"/>
      <c r="L163" s="397"/>
      <c r="M163" s="397"/>
      <c r="N163" s="397"/>
      <c r="O163" s="397"/>
      <c r="P163" s="397"/>
      <c r="Q163" s="397"/>
      <c r="R163" s="397"/>
      <c r="S163" s="349"/>
      <c r="T163" s="346"/>
      <c r="U163" s="397"/>
      <c r="V163" s="397"/>
      <c r="W163" s="397">
        <v>-4.6749999999999998</v>
      </c>
      <c r="X163" s="397"/>
      <c r="Y163" s="397">
        <v>-4.6749999999999998</v>
      </c>
      <c r="Z163" s="397"/>
      <c r="AA163" s="397"/>
      <c r="AB163" s="397"/>
      <c r="AC163" s="397">
        <v>-4.6749999999999998</v>
      </c>
      <c r="AD163" s="394"/>
      <c r="AE163" s="334"/>
    </row>
    <row r="164" spans="1:31" s="400" customFormat="1" x14ac:dyDescent="0.2">
      <c r="A164" s="320" t="str">
        <f>IFERROR(VLOOKUP(B164,mapping_one_neo!A:B,2,FALSE),"")</f>
        <v>vide</v>
      </c>
      <c r="B164" s="400" t="s">
        <v>113</v>
      </c>
      <c r="C164" s="402"/>
      <c r="E164" s="356">
        <v>-9.492231230702151</v>
      </c>
      <c r="G164" s="419">
        <v>-0.79101916666666661</v>
      </c>
      <c r="H164" s="419">
        <v>-0.79101916666666661</v>
      </c>
      <c r="I164" s="419">
        <v>-0.79101916666666661</v>
      </c>
      <c r="J164" s="419">
        <v>-0.79101916666666661</v>
      </c>
      <c r="K164" s="419">
        <v>-0.79101916666666661</v>
      </c>
      <c r="L164" s="419">
        <v>-0.79101916666666661</v>
      </c>
      <c r="M164" s="419">
        <v>-0.79101916666666661</v>
      </c>
      <c r="N164" s="419">
        <v>-0.79101916666666661</v>
      </c>
      <c r="O164" s="419">
        <v>-0.79101916666666661</v>
      </c>
      <c r="P164" s="419">
        <v>-0.79101916666666661</v>
      </c>
      <c r="Q164" s="419">
        <v>-0.79101916666666661</v>
      </c>
      <c r="R164" s="419">
        <v>-0.79102039736881802</v>
      </c>
      <c r="S164" s="345"/>
      <c r="T164" s="361"/>
      <c r="U164" s="426"/>
      <c r="V164" s="426"/>
      <c r="W164" s="426"/>
      <c r="X164" s="426"/>
      <c r="Y164" s="405"/>
      <c r="Z164" s="405"/>
      <c r="AA164" s="405"/>
      <c r="AB164" s="405"/>
      <c r="AC164" s="363"/>
      <c r="AD164" s="403"/>
      <c r="AE164" s="334"/>
    </row>
    <row r="165" spans="1:31" x14ac:dyDescent="0.2">
      <c r="A165" s="320" t="str">
        <f>IFERROR(VLOOKUP(B165,mapping_one_neo!A:B,2,FALSE),"")</f>
        <v/>
      </c>
      <c r="J165" s="335">
        <v>0</v>
      </c>
      <c r="M165" s="335">
        <v>0</v>
      </c>
      <c r="S165" s="349"/>
      <c r="T165" s="346"/>
      <c r="U165" s="351"/>
      <c r="V165" s="351"/>
      <c r="W165" s="351"/>
      <c r="X165" s="351"/>
      <c r="Y165" s="358"/>
      <c r="Z165" s="358"/>
      <c r="AA165" s="358"/>
      <c r="AB165" s="358"/>
      <c r="AC165" s="358"/>
      <c r="AD165" s="350"/>
    </row>
    <row r="166" spans="1:31" x14ac:dyDescent="0.2">
      <c r="A166" s="320">
        <f>IFERROR(VLOOKUP(B166,mapping_one_neo!A:B,2,FALSE),"")</f>
        <v>0</v>
      </c>
      <c r="B166" s="352" t="s">
        <v>114</v>
      </c>
      <c r="C166" s="353"/>
      <c r="E166" s="354">
        <v>-133.52886241588732</v>
      </c>
      <c r="G166" s="404">
        <v>-11.041608733333334</v>
      </c>
      <c r="H166" s="404">
        <v>-10.563359600000002</v>
      </c>
      <c r="I166" s="404">
        <v>-11.2969425</v>
      </c>
      <c r="J166" s="404">
        <v>-10.7846125</v>
      </c>
      <c r="K166" s="404">
        <v>-10.473662500000001</v>
      </c>
      <c r="L166" s="404">
        <v>-10.198602500000002</v>
      </c>
      <c r="M166" s="404">
        <v>-12.065687764197531</v>
      </c>
      <c r="N166" s="404">
        <v>-11.424270264197531</v>
      </c>
      <c r="O166" s="404">
        <v>-11.424270264197531</v>
      </c>
      <c r="P166" s="404">
        <v>-11.424270264197531</v>
      </c>
      <c r="Q166" s="404">
        <v>-11.424270264197531</v>
      </c>
      <c r="R166" s="404">
        <v>-11.407305261566346</v>
      </c>
      <c r="S166" s="349"/>
      <c r="T166" s="346"/>
      <c r="U166" s="354">
        <f t="shared" ref="U166:V166" si="14">U161+U154+U141+U138+U137+U163</f>
        <v>-26.36159</v>
      </c>
      <c r="V166" s="354">
        <f t="shared" si="14"/>
        <v>-1.125</v>
      </c>
      <c r="W166" s="354">
        <f>W161+W154+W141+W138+W137+W163</f>
        <v>-4.6749999999999998</v>
      </c>
      <c r="X166" s="354">
        <f t="shared" ref="X166:AC166" si="15">X161+X154+X141+X138+X137+X163</f>
        <v>-5.7493333333333343</v>
      </c>
      <c r="Y166" s="357">
        <f t="shared" si="15"/>
        <v>-37.910923333333329</v>
      </c>
      <c r="Z166" s="357">
        <f t="shared" si="15"/>
        <v>0</v>
      </c>
      <c r="AA166" s="357">
        <f t="shared" si="15"/>
        <v>0</v>
      </c>
      <c r="AB166" s="357">
        <f t="shared" si="15"/>
        <v>0</v>
      </c>
      <c r="AC166" s="357">
        <f t="shared" si="15"/>
        <v>-37.910923333333329</v>
      </c>
      <c r="AD166" s="403"/>
    </row>
    <row r="167" spans="1:31" x14ac:dyDescent="0.2">
      <c r="A167" s="320" t="str">
        <f>IFERROR(VLOOKUP(B167,mapping_one_neo!A:B,2,FALSE),"")</f>
        <v/>
      </c>
      <c r="J167" s="335">
        <v>0</v>
      </c>
      <c r="M167" s="335">
        <v>0</v>
      </c>
      <c r="S167" s="349"/>
      <c r="T167" s="346"/>
      <c r="U167" s="351"/>
      <c r="V167" s="351"/>
      <c r="W167" s="351"/>
      <c r="X167" s="351"/>
      <c r="Y167" s="358"/>
      <c r="Z167" s="358"/>
      <c r="AA167" s="358"/>
      <c r="AB167" s="358"/>
      <c r="AC167" s="358"/>
      <c r="AD167" s="350"/>
    </row>
    <row r="168" spans="1:31" x14ac:dyDescent="0.2">
      <c r="A168" s="320" t="str">
        <f>IFERROR(VLOOKUP(B168,mapping_one_neo!A:B,2,FALSE),"")</f>
        <v/>
      </c>
      <c r="S168" s="349"/>
      <c r="T168" s="346"/>
      <c r="U168" s="351"/>
      <c r="V168" s="351"/>
      <c r="W168" s="351"/>
      <c r="X168" s="351"/>
      <c r="Y168" s="358"/>
      <c r="Z168" s="358"/>
      <c r="AA168" s="358"/>
      <c r="AB168" s="358"/>
      <c r="AC168" s="358"/>
      <c r="AD168" s="350"/>
    </row>
    <row r="169" spans="1:31" x14ac:dyDescent="0.2">
      <c r="A169" s="320">
        <f>IFERROR(VLOOKUP(B169,mapping_one_neo!A:B,2,FALSE),"")</f>
        <v>0</v>
      </c>
      <c r="B169" s="352" t="s">
        <v>115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8"/>
      <c r="AD169" s="350"/>
    </row>
    <row r="170" spans="1:31" s="352" customFormat="1" x14ac:dyDescent="0.2">
      <c r="A170" s="320" t="str">
        <f>IFERROR(VLOOKUP(B170,mapping_one_neo!A:B,2,FALSE),"")</f>
        <v>Insurance</v>
      </c>
      <c r="B170" s="352" t="s">
        <v>116</v>
      </c>
      <c r="C170" s="353" t="s">
        <v>160</v>
      </c>
      <c r="E170" s="356">
        <v>-0.69833333333333336</v>
      </c>
      <c r="G170" s="419">
        <v>-5.8000000000000003E-2</v>
      </c>
      <c r="H170" s="419">
        <v>-5.8000000000000003E-2</v>
      </c>
      <c r="I170" s="419">
        <v>-5.800000000000001E-2</v>
      </c>
      <c r="J170" s="419">
        <v>-5.7999999999999996E-2</v>
      </c>
      <c r="K170" s="419">
        <v>-5.8000000000000024E-2</v>
      </c>
      <c r="L170" s="419">
        <v>-5.7999999999999996E-2</v>
      </c>
      <c r="M170" s="419">
        <v>-5.8333333333333327E-2</v>
      </c>
      <c r="N170" s="419">
        <v>-5.8333333333333327E-2</v>
      </c>
      <c r="O170" s="419">
        <v>-5.8333333333333327E-2</v>
      </c>
      <c r="P170" s="419">
        <v>-5.8333333333333327E-2</v>
      </c>
      <c r="Q170" s="419">
        <v>-5.8333333333333327E-2</v>
      </c>
      <c r="R170" s="419">
        <v>-5.8666666666666603E-2</v>
      </c>
      <c r="S170" s="345"/>
      <c r="T170" s="361"/>
      <c r="U170" s="351">
        <v>-1.125</v>
      </c>
      <c r="V170" s="362"/>
      <c r="W170" s="362"/>
      <c r="X170" s="362"/>
      <c r="Y170" s="363">
        <v>-1.125</v>
      </c>
      <c r="Z170" s="363"/>
      <c r="AA170" s="363"/>
      <c r="AB170" s="363"/>
      <c r="AC170" s="363">
        <v>-1.125</v>
      </c>
      <c r="AD170" s="355"/>
      <c r="AE170" s="334"/>
    </row>
    <row r="171" spans="1:31" s="352" customFormat="1" x14ac:dyDescent="0.2">
      <c r="A171" s="320" t="str">
        <f>IFERROR(VLOOKUP(B171,mapping_one_neo!A:B,2,FALSE),"")</f>
        <v>Insurance</v>
      </c>
      <c r="B171" s="352" t="s">
        <v>117</v>
      </c>
      <c r="C171" s="353">
        <v>616021</v>
      </c>
      <c r="E171" s="356">
        <v>0</v>
      </c>
      <c r="G171" s="419">
        <v>0</v>
      </c>
      <c r="H171" s="419">
        <v>0</v>
      </c>
      <c r="I171" s="419">
        <v>0</v>
      </c>
      <c r="J171" s="419">
        <v>0</v>
      </c>
      <c r="K171" s="419">
        <v>0</v>
      </c>
      <c r="L171" s="419">
        <v>0</v>
      </c>
      <c r="M171" s="419">
        <v>0</v>
      </c>
      <c r="N171" s="419">
        <v>0</v>
      </c>
      <c r="O171" s="419">
        <v>0</v>
      </c>
      <c r="P171" s="419">
        <v>0</v>
      </c>
      <c r="Q171" s="419">
        <v>0</v>
      </c>
      <c r="R171" s="419">
        <v>0</v>
      </c>
      <c r="S171" s="345"/>
      <c r="T171" s="361"/>
      <c r="U171" s="351">
        <v>0</v>
      </c>
      <c r="V171" s="351">
        <v>0</v>
      </c>
      <c r="W171" s="351"/>
      <c r="X171" s="351"/>
      <c r="Y171" s="363">
        <v>0</v>
      </c>
      <c r="Z171" s="363"/>
      <c r="AA171" s="363"/>
      <c r="AB171" s="363"/>
      <c r="AC171" s="363">
        <v>0</v>
      </c>
      <c r="AD171" s="355"/>
      <c r="AE171" s="334"/>
    </row>
    <row r="172" spans="1:31" s="352" customFormat="1" x14ac:dyDescent="0.2">
      <c r="A172" s="320" t="str">
        <f>IFERROR(VLOOKUP(B172,mapping_one_neo!A:B,2,FALSE),"")</f>
        <v>Audit fees</v>
      </c>
      <c r="B172" s="352" t="s">
        <v>118</v>
      </c>
      <c r="C172" s="353">
        <v>622600</v>
      </c>
      <c r="E172" s="356">
        <v>-4</v>
      </c>
      <c r="G172" s="419">
        <v>-0.33333333333333331</v>
      </c>
      <c r="H172" s="419">
        <v>-0.33333333333333331</v>
      </c>
      <c r="I172" s="419">
        <v>-0.33333333333333337</v>
      </c>
      <c r="J172" s="419">
        <v>-0.33333333333333326</v>
      </c>
      <c r="K172" s="419">
        <v>-0.33333333333333326</v>
      </c>
      <c r="L172" s="419">
        <v>-0.33333333333333326</v>
      </c>
      <c r="M172" s="419">
        <v>-0.33333333333333326</v>
      </c>
      <c r="N172" s="419">
        <v>-0.33333333333333348</v>
      </c>
      <c r="O172" s="419">
        <v>-0.33333333333333331</v>
      </c>
      <c r="P172" s="419">
        <v>-0.33333333333333331</v>
      </c>
      <c r="Q172" s="419">
        <v>-0.33333333333333331</v>
      </c>
      <c r="R172" s="419">
        <v>-0.33333333333333331</v>
      </c>
      <c r="S172" s="345"/>
      <c r="T172" s="361"/>
      <c r="U172" s="351"/>
      <c r="V172" s="351">
        <v>-1</v>
      </c>
      <c r="W172" s="351"/>
      <c r="X172" s="351"/>
      <c r="Y172" s="363">
        <v>-1</v>
      </c>
      <c r="Z172" s="363"/>
      <c r="AA172" s="363"/>
      <c r="AB172" s="363"/>
      <c r="AC172" s="363">
        <v>-1</v>
      </c>
      <c r="AD172" s="355"/>
      <c r="AE172" s="334"/>
    </row>
    <row r="173" spans="1:31" s="352" customFormat="1" x14ac:dyDescent="0.2">
      <c r="A173" s="320" t="str">
        <f>IFERROR(VLOOKUP(B173,mapping_one_neo!A:B,2,FALSE),"")</f>
        <v>Other finance &amp; general costs</v>
      </c>
      <c r="B173" s="352" t="s">
        <v>119</v>
      </c>
      <c r="C173" s="353">
        <v>618200</v>
      </c>
      <c r="E173" s="356">
        <v>-15.28218</v>
      </c>
      <c r="G173" s="419">
        <v>-0.86299999999999999</v>
      </c>
      <c r="H173" s="419">
        <v>-0.625</v>
      </c>
      <c r="I173" s="419">
        <v>-0.625</v>
      </c>
      <c r="J173" s="419">
        <v>-0.625</v>
      </c>
      <c r="K173" s="419">
        <v>-0.60273999999999983</v>
      </c>
      <c r="L173" s="419">
        <v>-0.61644000000000032</v>
      </c>
      <c r="M173" s="419">
        <v>-0.625</v>
      </c>
      <c r="N173" s="419">
        <v>-0.625</v>
      </c>
      <c r="O173" s="419">
        <v>-0.625</v>
      </c>
      <c r="P173" s="419">
        <v>-0.625</v>
      </c>
      <c r="Q173" s="419">
        <v>-0.625</v>
      </c>
      <c r="R173" s="419">
        <v>-8.1999999999999993</v>
      </c>
      <c r="S173" s="345"/>
      <c r="T173" s="361"/>
      <c r="U173" s="351">
        <v>-1.875</v>
      </c>
      <c r="V173" s="351"/>
      <c r="W173" s="351"/>
      <c r="X173" s="351"/>
      <c r="Y173" s="363">
        <v>-1.875</v>
      </c>
      <c r="Z173" s="363"/>
      <c r="AA173" s="363"/>
      <c r="AB173" s="363"/>
      <c r="AC173" s="363">
        <v>-1.875</v>
      </c>
      <c r="AD173" s="355"/>
      <c r="AE173" s="334"/>
    </row>
    <row r="174" spans="1:31" s="352" customFormat="1" x14ac:dyDescent="0.2">
      <c r="A174" s="320" t="str">
        <f>IFERROR(VLOOKUP(B174,mapping_one_neo!A:B,2,FALSE),"")</f>
        <v>Bank charges</v>
      </c>
      <c r="B174" s="352" t="s">
        <v>120</v>
      </c>
      <c r="C174" s="353">
        <v>627800</v>
      </c>
      <c r="E174" s="356">
        <v>-4.3593520000000003</v>
      </c>
      <c r="G174" s="419">
        <v>-0.31032999999999999</v>
      </c>
      <c r="H174" s="419">
        <v>-0.26900000000000002</v>
      </c>
      <c r="I174" s="419">
        <v>-0.51026000000000005</v>
      </c>
      <c r="J174" s="419">
        <v>-0.48784999999999989</v>
      </c>
      <c r="K174" s="419">
        <v>-0.26075000000000004</v>
      </c>
      <c r="L174" s="419">
        <v>-0.46876000000000007</v>
      </c>
      <c r="M174" s="419">
        <v>-0.34206700000000001</v>
      </c>
      <c r="N174" s="419">
        <v>-0.34206700000000001</v>
      </c>
      <c r="O174" s="419">
        <v>-0.34206700000000001</v>
      </c>
      <c r="P174" s="419">
        <v>-0.34206700000000001</v>
      </c>
      <c r="Q174" s="419">
        <v>-0.34206700000000001</v>
      </c>
      <c r="R174" s="419">
        <v>-0.34206700000000001</v>
      </c>
      <c r="S174" s="345"/>
      <c r="T174" s="361"/>
      <c r="U174" s="351">
        <v>-0.82901999999999998</v>
      </c>
      <c r="V174" s="351"/>
      <c r="W174" s="351"/>
      <c r="X174" s="351"/>
      <c r="Y174" s="363">
        <v>-0.82901999999999998</v>
      </c>
      <c r="Z174" s="363"/>
      <c r="AA174" s="363"/>
      <c r="AB174" s="363"/>
      <c r="AC174" s="363">
        <v>-0.82901999999999998</v>
      </c>
      <c r="AD174" s="355"/>
      <c r="AE174" s="334"/>
    </row>
    <row r="175" spans="1:31" s="352" customFormat="1" x14ac:dyDescent="0.2">
      <c r="A175" s="320" t="str">
        <f>IFERROR(VLOOKUP(B175,mapping_one_neo!A:B,2,FALSE),"")</f>
        <v>Other finance &amp; general costs</v>
      </c>
      <c r="B175" s="352" t="s">
        <v>756</v>
      </c>
      <c r="C175" s="353" t="s">
        <v>757</v>
      </c>
      <c r="E175" s="356">
        <v>0</v>
      </c>
      <c r="G175" s="419">
        <v>0</v>
      </c>
      <c r="H175" s="419">
        <v>0</v>
      </c>
      <c r="I175" s="419">
        <v>0</v>
      </c>
      <c r="J175" s="419">
        <v>-0.33400000000000002</v>
      </c>
      <c r="K175" s="419">
        <v>0.24400000000000002</v>
      </c>
      <c r="L175" s="419">
        <v>0.09</v>
      </c>
      <c r="M175" s="419"/>
      <c r="N175" s="419"/>
      <c r="O175" s="419"/>
      <c r="P175" s="419"/>
      <c r="Q175" s="419"/>
      <c r="R175" s="419"/>
      <c r="S175" s="345"/>
      <c r="T175" s="361"/>
      <c r="U175" s="351"/>
      <c r="V175" s="351"/>
      <c r="W175" s="351"/>
      <c r="X175" s="351"/>
      <c r="Y175" s="363">
        <v>0</v>
      </c>
      <c r="Z175" s="363"/>
      <c r="AA175" s="363"/>
      <c r="AB175" s="363"/>
      <c r="AC175" s="363">
        <v>0</v>
      </c>
      <c r="AD175" s="355"/>
      <c r="AE175" s="334"/>
    </row>
    <row r="176" spans="1:31" s="352" customFormat="1" x14ac:dyDescent="0.2">
      <c r="A176" s="320" t="str">
        <f>IFERROR(VLOOKUP(B176,mapping_one_neo!A:B,2,FALSE),"")</f>
        <v>Other finance &amp; general costs</v>
      </c>
      <c r="B176" s="352" t="s">
        <v>121</v>
      </c>
      <c r="C176" s="353">
        <v>622605</v>
      </c>
      <c r="E176" s="356">
        <v>-1.1000000000000001</v>
      </c>
      <c r="G176" s="419">
        <v>0</v>
      </c>
      <c r="H176" s="419">
        <v>0</v>
      </c>
      <c r="I176" s="419">
        <v>0</v>
      </c>
      <c r="J176" s="419">
        <v>0</v>
      </c>
      <c r="K176" s="419">
        <v>-0.3</v>
      </c>
      <c r="L176" s="419">
        <v>0</v>
      </c>
      <c r="M176" s="419">
        <v>0</v>
      </c>
      <c r="N176" s="419">
        <v>0</v>
      </c>
      <c r="O176" s="419">
        <v>-0.4</v>
      </c>
      <c r="P176" s="419"/>
      <c r="Q176" s="419"/>
      <c r="R176" s="419">
        <v>-0.4</v>
      </c>
      <c r="S176" s="345"/>
      <c r="T176" s="361"/>
      <c r="U176" s="351"/>
      <c r="V176" s="351"/>
      <c r="W176" s="351"/>
      <c r="X176" s="351"/>
      <c r="Y176" s="363"/>
      <c r="Z176" s="363"/>
      <c r="AA176" s="363"/>
      <c r="AB176" s="363"/>
      <c r="AC176" s="363"/>
      <c r="AD176" s="355"/>
      <c r="AE176" s="334"/>
    </row>
    <row r="177" spans="1:31" s="352" customFormat="1" x14ac:dyDescent="0.2">
      <c r="A177" s="320" t="str">
        <f>IFERROR(VLOOKUP(B177,mapping_one_neo!A:B,2,FALSE),"")</f>
        <v>I/G exchange gains/(losses)</v>
      </c>
      <c r="B177" s="352" t="s">
        <v>793</v>
      </c>
      <c r="C177" s="353">
        <v>766000</v>
      </c>
      <c r="E177" s="356">
        <v>13.01343</v>
      </c>
      <c r="G177" s="419">
        <v>4.4179300000000001</v>
      </c>
      <c r="H177" s="419">
        <v>7.4658999999999995</v>
      </c>
      <c r="I177" s="419">
        <v>0.92795000000000094</v>
      </c>
      <c r="J177" s="419"/>
      <c r="K177" s="419">
        <v>5.7760000000000034E-2</v>
      </c>
      <c r="L177" s="419">
        <v>0.14388999999999896</v>
      </c>
      <c r="M177" s="419"/>
      <c r="N177" s="419"/>
      <c r="O177" s="419"/>
      <c r="P177" s="419"/>
      <c r="Q177" s="419"/>
      <c r="R177" s="419"/>
      <c r="S177" s="345"/>
      <c r="T177" s="361"/>
      <c r="U177" s="351"/>
      <c r="V177" s="351"/>
      <c r="W177" s="351"/>
      <c r="X177" s="351"/>
      <c r="Y177" s="363"/>
      <c r="Z177" s="363"/>
      <c r="AA177" s="363"/>
      <c r="AB177" s="363"/>
      <c r="AC177" s="363"/>
      <c r="AD177" s="355"/>
      <c r="AE177" s="334"/>
    </row>
    <row r="178" spans="1:31" s="352" customFormat="1" x14ac:dyDescent="0.2">
      <c r="A178" s="320">
        <f>IFERROR(VLOOKUP(B178,mapping_one_neo!A:B,2,FALSE),"")</f>
        <v>0</v>
      </c>
      <c r="B178" s="352" t="s">
        <v>127</v>
      </c>
      <c r="C178" s="353"/>
      <c r="E178" s="356">
        <v>0</v>
      </c>
      <c r="G178" s="419">
        <v>0</v>
      </c>
      <c r="H178" s="419">
        <v>0</v>
      </c>
      <c r="I178" s="419">
        <v>0</v>
      </c>
      <c r="J178" s="419">
        <v>0</v>
      </c>
      <c r="K178" s="419">
        <v>0</v>
      </c>
      <c r="L178" s="419">
        <v>0</v>
      </c>
      <c r="M178" s="419"/>
      <c r="N178" s="419"/>
      <c r="O178" s="419"/>
      <c r="P178" s="419"/>
      <c r="Q178" s="419"/>
      <c r="R178" s="419"/>
      <c r="S178" s="345"/>
      <c r="T178" s="361"/>
      <c r="U178" s="351"/>
      <c r="V178" s="351"/>
      <c r="W178" s="351"/>
      <c r="X178" s="351"/>
      <c r="Y178" s="363"/>
      <c r="Z178" s="363"/>
      <c r="AA178" s="363"/>
      <c r="AB178" s="363"/>
      <c r="AC178" s="363"/>
      <c r="AD178" s="355"/>
      <c r="AE178" s="334"/>
    </row>
    <row r="179" spans="1:31" x14ac:dyDescent="0.2">
      <c r="A179" s="320">
        <f>IFERROR(VLOOKUP(B179,mapping_one_neo!A:B,2,FALSE),"")</f>
        <v>0</v>
      </c>
      <c r="B179" s="352" t="s">
        <v>122</v>
      </c>
      <c r="C179" s="353"/>
      <c r="E179" s="354">
        <v>-12.426435333333337</v>
      </c>
      <c r="G179" s="354">
        <v>2.8532666666666668</v>
      </c>
      <c r="H179" s="354">
        <v>6.1805666666666657</v>
      </c>
      <c r="I179" s="354">
        <v>-0.59864333333333253</v>
      </c>
      <c r="J179" s="354">
        <v>-1.8381833333333333</v>
      </c>
      <c r="K179" s="354">
        <v>-1.2530633333333332</v>
      </c>
      <c r="L179" s="354">
        <v>-1.2426433333333347</v>
      </c>
      <c r="M179" s="354">
        <v>-1.3587336666666667</v>
      </c>
      <c r="N179" s="354">
        <v>-1.3587336666666667</v>
      </c>
      <c r="O179" s="354">
        <v>-1.7587336666666666</v>
      </c>
      <c r="P179" s="354">
        <v>-1.3587336666666667</v>
      </c>
      <c r="Q179" s="354">
        <v>-1.3587336666666667</v>
      </c>
      <c r="R179" s="354">
        <v>-9.3340669999999992</v>
      </c>
      <c r="S179" s="349"/>
      <c r="T179" s="346"/>
      <c r="U179" s="354">
        <f>SUM(U170:U176)</f>
        <v>-3.8290199999999999</v>
      </c>
      <c r="V179" s="354">
        <f t="shared" ref="V179:AC179" si="16">SUM(V170:V176)</f>
        <v>-1</v>
      </c>
      <c r="W179" s="354">
        <f t="shared" si="16"/>
        <v>0</v>
      </c>
      <c r="X179" s="354">
        <f t="shared" si="16"/>
        <v>0</v>
      </c>
      <c r="Y179" s="354">
        <f t="shared" si="16"/>
        <v>-4.8290199999999999</v>
      </c>
      <c r="Z179" s="354">
        <f t="shared" si="16"/>
        <v>0</v>
      </c>
      <c r="AA179" s="354">
        <f t="shared" si="16"/>
        <v>0</v>
      </c>
      <c r="AB179" s="354">
        <f t="shared" si="16"/>
        <v>0</v>
      </c>
      <c r="AC179" s="354">
        <f t="shared" si="16"/>
        <v>-4.8290199999999999</v>
      </c>
      <c r="AD179" s="350"/>
    </row>
    <row r="180" spans="1:31" x14ac:dyDescent="0.2">
      <c r="A180" s="320" t="str">
        <f>IFERROR(VLOOKUP(B180,mapping_one_neo!A:B,2,FALSE),"")</f>
        <v/>
      </c>
      <c r="S180" s="349"/>
      <c r="T180" s="346"/>
      <c r="U180" s="351"/>
      <c r="V180" s="351"/>
      <c r="W180" s="351"/>
      <c r="X180" s="351"/>
      <c r="Y180" s="358"/>
      <c r="Z180" s="358"/>
      <c r="AA180" s="358"/>
      <c r="AB180" s="358"/>
      <c r="AC180" s="358"/>
      <c r="AD180" s="350"/>
    </row>
    <row r="181" spans="1:31" s="352" customFormat="1" x14ac:dyDescent="0.2">
      <c r="A181" s="320">
        <f>IFERROR(VLOOKUP(B181,mapping_one_neo!A:B,2,FALSE),"")</f>
        <v>0</v>
      </c>
      <c r="B181" s="352" t="s">
        <v>123</v>
      </c>
      <c r="C181" s="353"/>
      <c r="E181" s="356">
        <v>-1056.4001456871595</v>
      </c>
      <c r="G181" s="356">
        <v>-72.381549166666659</v>
      </c>
      <c r="H181" s="356">
        <v>-77.538119166666675</v>
      </c>
      <c r="I181" s="356">
        <v>-87.084399166666671</v>
      </c>
      <c r="J181" s="356">
        <v>-83.282141759259233</v>
      </c>
      <c r="K181" s="356">
        <v>-81.486561759259217</v>
      </c>
      <c r="L181" s="356">
        <v>-79.562363981481568</v>
      </c>
      <c r="M181" s="356">
        <v>-101.4223185968211</v>
      </c>
      <c r="N181" s="356">
        <v>-91.743487902376756</v>
      </c>
      <c r="O181" s="356">
        <v>-90.708533423210099</v>
      </c>
      <c r="P181" s="356">
        <v>-91.704564673210086</v>
      </c>
      <c r="Q181" s="356">
        <v>-90.004564673210098</v>
      </c>
      <c r="R181" s="356">
        <v>-109.48154141833135</v>
      </c>
      <c r="S181" s="349"/>
      <c r="T181" s="346"/>
      <c r="U181" s="354">
        <f>U58+U81+U102+U135+U166+U179</f>
        <v>-218.03163000000001</v>
      </c>
      <c r="V181" s="354">
        <f t="shared" ref="V181:AC181" si="17">V58+V81+V102+V135+V166+V179</f>
        <v>-73.353149999999999</v>
      </c>
      <c r="W181" s="354">
        <f t="shared" si="17"/>
        <v>-4.6749999999999998</v>
      </c>
      <c r="X181" s="354">
        <f t="shared" si="17"/>
        <v>-8.1386233333333351</v>
      </c>
      <c r="Y181" s="357">
        <f t="shared" si="17"/>
        <v>-304.1691033333334</v>
      </c>
      <c r="Z181" s="357">
        <f t="shared" si="17"/>
        <v>0</v>
      </c>
      <c r="AA181" s="357">
        <f t="shared" si="17"/>
        <v>0</v>
      </c>
      <c r="AB181" s="357">
        <f t="shared" si="17"/>
        <v>0</v>
      </c>
      <c r="AC181" s="357">
        <f t="shared" si="17"/>
        <v>-304.1691033333334</v>
      </c>
      <c r="AD181" s="355"/>
      <c r="AE181" s="334"/>
    </row>
    <row r="182" spans="1:31" x14ac:dyDescent="0.2">
      <c r="A182" s="320" t="str">
        <f>IFERROR(VLOOKUP(B182,mapping_one_neo!A:B,2,FALSE),"")</f>
        <v/>
      </c>
      <c r="S182" s="349"/>
      <c r="T182" s="346"/>
      <c r="U182" s="351"/>
      <c r="V182" s="351"/>
      <c r="W182" s="351"/>
      <c r="X182" s="351"/>
      <c r="Y182" s="358"/>
      <c r="Z182" s="358"/>
      <c r="AA182" s="358"/>
      <c r="AB182" s="358"/>
      <c r="AC182" s="358"/>
      <c r="AD182" s="350"/>
    </row>
    <row r="183" spans="1:31" x14ac:dyDescent="0.2">
      <c r="A183" s="320" t="str">
        <f>IFERROR(VLOOKUP(B183,mapping_one_neo!A:B,2,FALSE),"")</f>
        <v>Country overhead AU=0.INP Neo</v>
      </c>
      <c r="B183" s="352" t="s">
        <v>124</v>
      </c>
      <c r="C183" s="337" t="s">
        <v>768</v>
      </c>
      <c r="E183" s="356">
        <v>-562.73365000000001</v>
      </c>
      <c r="G183" s="356">
        <v>-46.894470833333337</v>
      </c>
      <c r="H183" s="356">
        <v>-46.894470833333337</v>
      </c>
      <c r="I183" s="356">
        <v>-46.894470833333337</v>
      </c>
      <c r="J183" s="356">
        <v>-46.894470833333337</v>
      </c>
      <c r="K183" s="356">
        <v>-46.894470833333337</v>
      </c>
      <c r="L183" s="356">
        <v>-46.894470833333337</v>
      </c>
      <c r="M183" s="356">
        <v>-46.894470833333337</v>
      </c>
      <c r="N183" s="356">
        <v>-46.894470833333337</v>
      </c>
      <c r="O183" s="356">
        <v>-46.894470833333337</v>
      </c>
      <c r="P183" s="356">
        <v>-46.894470833333337</v>
      </c>
      <c r="Q183" s="356">
        <v>-46.894470833333337</v>
      </c>
      <c r="R183" s="356">
        <v>-46.894470833333337</v>
      </c>
      <c r="S183" s="349"/>
      <c r="T183" s="346"/>
      <c r="U183" s="351">
        <v>-11.750999999999999</v>
      </c>
      <c r="V183" s="351">
        <v>0</v>
      </c>
      <c r="W183" s="351">
        <v>-120.024</v>
      </c>
      <c r="X183" s="351">
        <v>0</v>
      </c>
      <c r="Y183" s="358">
        <v>-131.77500000000001</v>
      </c>
      <c r="Z183" s="358"/>
      <c r="AA183" s="358"/>
      <c r="AB183" s="358"/>
      <c r="AC183" s="363">
        <v>-131.77500000000001</v>
      </c>
      <c r="AD183" s="350"/>
    </row>
    <row r="184" spans="1:31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8"/>
      <c r="AD184" s="350"/>
    </row>
    <row r="185" spans="1:31" s="352" customFormat="1" ht="13.5" thickBot="1" x14ac:dyDescent="0.25">
      <c r="A185" s="320">
        <f>IFERROR(VLOOKUP(B185,mapping_one_neo!A:B,2,FALSE),"")</f>
        <v>0</v>
      </c>
      <c r="B185" s="352" t="s">
        <v>125</v>
      </c>
      <c r="C185" s="353"/>
      <c r="E185" s="406">
        <v>1064.7890899761505</v>
      </c>
      <c r="G185" s="407">
        <v>-47.638120017778</v>
      </c>
      <c r="H185" s="407">
        <v>66.287604982221978</v>
      </c>
      <c r="I185" s="407">
        <v>60.890894982221901</v>
      </c>
      <c r="J185" s="407">
        <v>121.09979912740795</v>
      </c>
      <c r="K185" s="407">
        <v>107.85232907407365</v>
      </c>
      <c r="L185" s="407">
        <v>131.96869745185273</v>
      </c>
      <c r="M185" s="407">
        <v>11.106425399242518</v>
      </c>
      <c r="N185" s="407">
        <v>75.889422760352915</v>
      </c>
      <c r="O185" s="407">
        <v>216.34490612047261</v>
      </c>
      <c r="P185" s="407">
        <v>127.9979051561865</v>
      </c>
      <c r="Q185" s="407">
        <v>124.69790515618649</v>
      </c>
      <c r="R185" s="407">
        <v>67.698319783708541</v>
      </c>
      <c r="S185" s="349"/>
      <c r="T185" s="346"/>
      <c r="U185" s="406">
        <f>U6+U49+U181+U183</f>
        <v>80.241710000000381</v>
      </c>
      <c r="V185" s="406">
        <f t="shared" ref="V185:AC185" si="18">V6+V49+V181+V183</f>
        <v>-46.402050000000003</v>
      </c>
      <c r="W185" s="406">
        <f t="shared" si="18"/>
        <v>-124.699</v>
      </c>
      <c r="X185" s="406">
        <f t="shared" si="18"/>
        <v>-14.282215333333335</v>
      </c>
      <c r="Y185" s="411">
        <f t="shared" si="18"/>
        <v>-105.11225533333302</v>
      </c>
      <c r="Z185" s="411">
        <f t="shared" si="18"/>
        <v>1243.4697800000001</v>
      </c>
      <c r="AA185" s="411">
        <f t="shared" si="18"/>
        <v>1243.4697800000001</v>
      </c>
      <c r="AB185" s="411">
        <f t="shared" si="18"/>
        <v>1243.4697800000001</v>
      </c>
      <c r="AC185" s="411">
        <f t="shared" si="18"/>
        <v>-105.11225533333302</v>
      </c>
      <c r="AD185" s="355"/>
      <c r="AE185" s="334"/>
    </row>
    <row r="186" spans="1:31" s="408" customFormat="1" ht="13.5" thickTop="1" x14ac:dyDescent="0.2">
      <c r="A186" s="320" t="str">
        <f>IFERROR(VLOOKUP(B186,mapping_one_neo!A:B,2,FALSE),"")</f>
        <v/>
      </c>
      <c r="E186" s="409">
        <v>0.17023361408393931</v>
      </c>
      <c r="G186" s="408">
        <v>-0.1395572912694007</v>
      </c>
      <c r="H186" s="408">
        <v>0.14595496269585756</v>
      </c>
      <c r="I186" s="408">
        <v>0.12442763665003939</v>
      </c>
      <c r="J186" s="408">
        <v>0.23553786205916724</v>
      </c>
      <c r="K186" s="408">
        <v>0.20834089102311387</v>
      </c>
      <c r="L186" s="408">
        <v>0.23022728151277719</v>
      </c>
      <c r="M186" s="408">
        <v>2.296659815619486E-2</v>
      </c>
      <c r="N186" s="408">
        <v>0.14945030311906116</v>
      </c>
      <c r="O186" s="408">
        <v>0.35450467469009223</v>
      </c>
      <c r="P186" s="408">
        <v>0.22213063957647869</v>
      </c>
      <c r="Q186" s="408">
        <v>0.21829793772579228</v>
      </c>
      <c r="R186" s="408">
        <v>0.10992658010645354</v>
      </c>
      <c r="S186" s="349"/>
      <c r="T186" s="346"/>
      <c r="U186" s="427">
        <v>0.10138171547854044</v>
      </c>
      <c r="V186" s="427" t="e">
        <v>#DIV/0!</v>
      </c>
      <c r="W186" s="427" t="e">
        <v>#DIV/0!</v>
      </c>
      <c r="X186" s="427" t="e">
        <v>#DIV/0!</v>
      </c>
      <c r="Y186" s="427">
        <v>-0.11464460809174173</v>
      </c>
      <c r="Z186" s="427"/>
      <c r="AA186" s="427"/>
      <c r="AB186" s="427" t="e">
        <v>#DIV/0!</v>
      </c>
      <c r="AC186" s="427">
        <v>-0.11464460809174173</v>
      </c>
      <c r="AD186" s="410"/>
      <c r="AE186" s="334"/>
    </row>
    <row r="187" spans="1:31" x14ac:dyDescent="0.2">
      <c r="A187" s="320" t="str">
        <f>IFERROR(VLOOKUP(B187,mapping_one_neo!A:B,2,FALSE),"")</f>
        <v/>
      </c>
      <c r="S187" s="349"/>
      <c r="T187" s="346"/>
      <c r="U187" s="351"/>
      <c r="V187" s="351"/>
      <c r="W187" s="351"/>
      <c r="X187" s="351"/>
      <c r="Y187" s="358"/>
      <c r="Z187" s="358"/>
      <c r="AA187" s="358"/>
      <c r="AB187" s="358"/>
      <c r="AC187" s="358"/>
      <c r="AD187" s="350"/>
    </row>
    <row r="188" spans="1:31" x14ac:dyDescent="0.2">
      <c r="A188" s="320" t="str">
        <f>IFERROR(VLOOKUP(B188,mapping_one_neo!A:B,2,FALSE),"")</f>
        <v>I/G exchange gains/(losses)</v>
      </c>
      <c r="B188" s="352" t="s">
        <v>126</v>
      </c>
      <c r="S188" s="349"/>
      <c r="T188" s="346"/>
      <c r="U188" s="428">
        <v>0.96501000000000003</v>
      </c>
      <c r="V188" s="412">
        <v>0</v>
      </c>
      <c r="W188" s="412">
        <v>0</v>
      </c>
      <c r="X188" s="412">
        <v>0</v>
      </c>
      <c r="Y188" s="401">
        <v>0.96501000000000003</v>
      </c>
      <c r="Z188" s="401"/>
      <c r="AA188" s="401"/>
      <c r="AB188" s="401"/>
      <c r="AC188" s="429">
        <v>0.96501000000000003</v>
      </c>
      <c r="AD188" s="350"/>
    </row>
    <row r="189" spans="1:31" x14ac:dyDescent="0.2">
      <c r="A189" s="320" t="str">
        <f>IFERROR(VLOOKUP(B189,mapping_one_neo!A:B,2,FALSE),"")</f>
        <v>I/G exchange gains/(losses)</v>
      </c>
      <c r="B189" s="334" t="s">
        <v>126</v>
      </c>
      <c r="C189" s="337">
        <v>768003</v>
      </c>
      <c r="G189" s="335">
        <v>-46.894470833333337</v>
      </c>
      <c r="S189" s="349"/>
      <c r="T189" s="346"/>
      <c r="U189" s="430">
        <v>0.13264000000000001</v>
      </c>
      <c r="V189" s="351"/>
      <c r="W189" s="351"/>
      <c r="X189" s="351"/>
      <c r="Y189" s="358"/>
      <c r="Z189" s="358"/>
      <c r="AA189" s="358"/>
      <c r="AB189" s="358"/>
      <c r="AC189" s="431">
        <v>0</v>
      </c>
      <c r="AD189" s="350"/>
    </row>
    <row r="190" spans="1:31" x14ac:dyDescent="0.2">
      <c r="A190" s="320">
        <f>IFERROR(VLOOKUP(B190,mapping_one_neo!A:B,2,FALSE),"")</f>
        <v>0</v>
      </c>
      <c r="B190" s="334" t="s">
        <v>127</v>
      </c>
      <c r="C190" s="337">
        <v>758000</v>
      </c>
      <c r="S190" s="349"/>
      <c r="T190" s="346"/>
      <c r="U190" s="432">
        <v>0.83237000000000005</v>
      </c>
      <c r="V190" s="413"/>
      <c r="W190" s="413"/>
      <c r="X190" s="413"/>
      <c r="Y190" s="433"/>
      <c r="Z190" s="433"/>
      <c r="AA190" s="433"/>
      <c r="AB190" s="433"/>
      <c r="AC190" s="434">
        <v>0</v>
      </c>
      <c r="AD190" s="350"/>
    </row>
    <row r="191" spans="1:31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8"/>
      <c r="AD191" s="350"/>
    </row>
    <row r="192" spans="1:31" x14ac:dyDescent="0.2">
      <c r="A192" s="320" t="str">
        <f>IFERROR(VLOOKUP(B192,mapping_one_neo!A:B,2,FALSE),"")</f>
        <v>I/G exchange gains/(losses)</v>
      </c>
      <c r="B192" s="352" t="s">
        <v>128</v>
      </c>
      <c r="S192" s="349"/>
      <c r="T192" s="346"/>
      <c r="U192" s="428">
        <v>-5.1199999999999996E-2</v>
      </c>
      <c r="V192" s="412">
        <v>0</v>
      </c>
      <c r="W192" s="412">
        <v>0</v>
      </c>
      <c r="X192" s="412">
        <v>0</v>
      </c>
      <c r="Y192" s="401">
        <v>-5.1199999999999996E-2</v>
      </c>
      <c r="Z192" s="401"/>
      <c r="AA192" s="401"/>
      <c r="AB192" s="401"/>
      <c r="AC192" s="429">
        <v>-5.1199999999999996E-2</v>
      </c>
      <c r="AD192" s="350"/>
    </row>
    <row r="193" spans="1:31" x14ac:dyDescent="0.2">
      <c r="A193" s="320" t="str">
        <f>IFERROR(VLOOKUP(B193,mapping_one_neo!A:B,2,FALSE),"")</f>
        <v>I/G exchange gains/(losses)</v>
      </c>
      <c r="B193" s="334" t="s">
        <v>129</v>
      </c>
      <c r="C193" s="337">
        <v>666000</v>
      </c>
      <c r="S193" s="349"/>
      <c r="T193" s="346"/>
      <c r="U193" s="430">
        <v>-5.1229999999999998E-2</v>
      </c>
      <c r="V193" s="351"/>
      <c r="W193" s="351"/>
      <c r="X193" s="351"/>
      <c r="Y193" s="358"/>
      <c r="Z193" s="358"/>
      <c r="AA193" s="358"/>
      <c r="AB193" s="358"/>
      <c r="AC193" s="431">
        <v>0</v>
      </c>
      <c r="AD193" s="350"/>
    </row>
    <row r="194" spans="1:31" x14ac:dyDescent="0.2">
      <c r="A194" s="320">
        <f>IFERROR(VLOOKUP(B194,mapping_one_neo!A:B,2,FALSE),"")</f>
        <v>0</v>
      </c>
      <c r="B194" s="334" t="s">
        <v>127</v>
      </c>
      <c r="C194" s="414" t="s">
        <v>758</v>
      </c>
      <c r="S194" s="349"/>
      <c r="T194" s="346"/>
      <c r="U194" s="432">
        <v>3.0000000000000001E-5</v>
      </c>
      <c r="V194" s="441"/>
      <c r="W194" s="413"/>
      <c r="X194" s="413"/>
      <c r="Y194" s="433"/>
      <c r="Z194" s="433"/>
      <c r="AA194" s="433"/>
      <c r="AB194" s="433"/>
      <c r="AC194" s="434">
        <v>0</v>
      </c>
      <c r="AD194" s="350"/>
    </row>
    <row r="195" spans="1:31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8" t="s">
        <v>134</v>
      </c>
      <c r="AD195" s="350"/>
    </row>
    <row r="196" spans="1:31" x14ac:dyDescent="0.2">
      <c r="A196" s="320">
        <f>IFERROR(VLOOKUP(B196,mapping_one_neo!A:B,2,FALSE),"")</f>
        <v>0</v>
      </c>
      <c r="B196" s="352" t="s">
        <v>130</v>
      </c>
      <c r="S196" s="349"/>
      <c r="T196" s="346"/>
      <c r="U196" s="415">
        <v>179.77052000000029</v>
      </c>
      <c r="V196" s="415">
        <v>-46.402050000000003</v>
      </c>
      <c r="W196" s="415">
        <v>-124.699</v>
      </c>
      <c r="X196" s="415">
        <v>-14.252915333333334</v>
      </c>
      <c r="Y196" s="435">
        <v>-5.5834453333330716</v>
      </c>
      <c r="Z196" s="435">
        <v>0</v>
      </c>
      <c r="AA196" s="435"/>
      <c r="AB196" s="435">
        <v>0</v>
      </c>
      <c r="AC196" s="435">
        <v>-5.5834453333330716</v>
      </c>
      <c r="AD196" s="350"/>
    </row>
    <row r="197" spans="1:31" x14ac:dyDescent="0.2">
      <c r="A197" s="320" t="str">
        <f>IFERROR(VLOOKUP(B197,mapping_one_neo!A:B,2,FALSE),"")</f>
        <v/>
      </c>
      <c r="S197" s="349"/>
      <c r="T197" s="346"/>
      <c r="U197" s="351"/>
      <c r="V197" s="351"/>
      <c r="W197" s="351"/>
      <c r="X197" s="351"/>
      <c r="Y197" s="358"/>
      <c r="Z197" s="358"/>
      <c r="AA197" s="358"/>
      <c r="AB197" s="358"/>
      <c r="AC197" s="358"/>
      <c r="AD197" s="350"/>
    </row>
    <row r="198" spans="1:31" s="352" customFormat="1" x14ac:dyDescent="0.2">
      <c r="A198" s="320">
        <f>IFERROR(VLOOKUP(B198,mapping_one_neo!A:B,2,FALSE),"")</f>
        <v>0</v>
      </c>
      <c r="B198" s="352" t="s">
        <v>131</v>
      </c>
      <c r="C198" s="353"/>
      <c r="E198" s="356"/>
      <c r="G198" s="335"/>
      <c r="H198" s="335"/>
      <c r="I198" s="335"/>
      <c r="J198" s="335"/>
      <c r="K198" s="335"/>
      <c r="L198" s="335"/>
      <c r="M198" s="335"/>
      <c r="N198" s="335"/>
      <c r="O198" s="335"/>
      <c r="P198" s="335"/>
      <c r="Q198" s="335"/>
      <c r="R198" s="335"/>
      <c r="S198" s="349"/>
      <c r="T198" s="346"/>
      <c r="U198" s="415">
        <v>179.77052000000029</v>
      </c>
      <c r="V198" s="354"/>
      <c r="W198" s="354"/>
      <c r="X198" s="415">
        <v>-14.252915333333334</v>
      </c>
      <c r="Y198" s="435">
        <v>0</v>
      </c>
      <c r="Z198" s="435">
        <v>0</v>
      </c>
      <c r="AA198" s="435"/>
      <c r="AB198" s="435">
        <v>0</v>
      </c>
      <c r="AC198" s="435">
        <v>0</v>
      </c>
      <c r="AD198" s="355"/>
    </row>
    <row r="199" spans="1:31" ht="13.5" thickBot="1" x14ac:dyDescent="0.25">
      <c r="A199" s="320" t="str">
        <f>IFERROR(VLOOKUP(B199,mapping_one_neo!A:B,2,FALSE),"")</f>
        <v/>
      </c>
      <c r="S199" s="349"/>
      <c r="T199" s="416"/>
      <c r="U199" s="418"/>
      <c r="V199" s="418"/>
      <c r="W199" s="418"/>
      <c r="X199" s="418"/>
      <c r="Y199" s="436"/>
      <c r="Z199" s="436"/>
      <c r="AA199" s="436"/>
      <c r="AB199" s="436"/>
      <c r="AC199" s="436"/>
      <c r="AD199" s="417"/>
    </row>
    <row r="200" spans="1:31" x14ac:dyDescent="0.2">
      <c r="A200" s="320" t="str">
        <f>IFERROR(VLOOKUP(B200,mapping_one_neo!A:B,2,FALSE),"")</f>
        <v/>
      </c>
    </row>
    <row r="201" spans="1:31" s="352" customFormat="1" x14ac:dyDescent="0.2">
      <c r="A201" s="320">
        <f>IFERROR(VLOOKUP(B201,mapping_one_neo!A:B,2,FALSE),"")</f>
        <v>0</v>
      </c>
      <c r="B201" s="352" t="s">
        <v>132</v>
      </c>
      <c r="C201" s="353"/>
      <c r="E201" s="356"/>
      <c r="G201" s="356"/>
      <c r="H201" s="356"/>
      <c r="I201" s="356"/>
      <c r="J201" s="356"/>
      <c r="K201" s="356"/>
      <c r="L201" s="356"/>
      <c r="M201" s="356"/>
      <c r="N201" s="356"/>
      <c r="O201" s="356"/>
      <c r="P201" s="356"/>
      <c r="Q201" s="356"/>
      <c r="R201" s="356"/>
      <c r="U201" s="356"/>
      <c r="V201" s="356"/>
      <c r="W201" s="356"/>
      <c r="X201" s="356"/>
      <c r="Y201" s="437"/>
      <c r="Z201" s="437"/>
      <c r="AA201" s="437"/>
      <c r="AB201" s="437"/>
      <c r="AC201" s="437">
        <f>AC6+AC49+AC58+AC81+AC102+AC135+AC166+AC179+U183+U188+U192-AC163</f>
        <v>20.500554666667053</v>
      </c>
      <c r="AE201" s="352" t="s">
        <v>759</v>
      </c>
    </row>
    <row r="202" spans="1:31" x14ac:dyDescent="0.2">
      <c r="A202" s="320" t="str">
        <f>IFERROR(VLOOKUP(B202,mapping_one_neo!A:B,2,FALSE),"")</f>
        <v/>
      </c>
    </row>
    <row r="203" spans="1:31" s="352" customFormat="1" x14ac:dyDescent="0.2">
      <c r="A203" s="320">
        <f>IFERROR(VLOOKUP(B203,mapping_one_neo!A:B,2,FALSE),"")</f>
        <v>0</v>
      </c>
      <c r="B203" s="352" t="s">
        <v>133</v>
      </c>
      <c r="C203" s="353"/>
      <c r="E203" s="356"/>
      <c r="G203" s="356"/>
      <c r="H203" s="356"/>
      <c r="I203" s="356"/>
      <c r="J203" s="356"/>
      <c r="K203" s="356"/>
      <c r="L203" s="356"/>
      <c r="M203" s="356"/>
      <c r="N203" s="356"/>
      <c r="O203" s="356"/>
      <c r="P203" s="356"/>
      <c r="Q203" s="356"/>
      <c r="R203" s="356"/>
      <c r="U203" s="335"/>
      <c r="V203" s="335"/>
      <c r="W203" s="356"/>
      <c r="X203" s="356"/>
      <c r="Y203" s="437"/>
      <c r="Z203" s="437"/>
      <c r="AA203" s="437"/>
      <c r="AB203" s="437"/>
      <c r="AC203" s="437"/>
    </row>
    <row r="204" spans="1:31" x14ac:dyDescent="0.2">
      <c r="A204" s="320" t="str">
        <f>IFERROR(VLOOKUP(B204,mapping_one_neo!A:B,2,FALSE),"")</f>
        <v/>
      </c>
    </row>
    <row r="206" spans="1:31" x14ac:dyDescent="0.2">
      <c r="B206" s="334" t="s">
        <v>794</v>
      </c>
    </row>
    <row r="211" spans="1:31" s="335" customFormat="1" x14ac:dyDescent="0.2">
      <c r="A211" s="320"/>
      <c r="C211" s="337"/>
      <c r="D211" s="334"/>
      <c r="F211" s="334"/>
      <c r="S211" s="334"/>
      <c r="T211" s="334"/>
      <c r="Y211" s="420"/>
      <c r="Z211" s="420"/>
      <c r="AA211" s="420"/>
      <c r="AB211" s="420"/>
      <c r="AC211" s="420"/>
      <c r="AD211" s="334"/>
      <c r="AE211" s="334"/>
    </row>
    <row r="212" spans="1:31" s="335" customFormat="1" x14ac:dyDescent="0.2">
      <c r="A212" s="320"/>
      <c r="C212" s="337"/>
      <c r="D212" s="334"/>
      <c r="F212" s="334"/>
      <c r="S212" s="334"/>
      <c r="T212" s="334"/>
      <c r="Y212" s="420"/>
      <c r="Z212" s="420"/>
      <c r="AA212" s="420"/>
      <c r="AB212" s="420"/>
      <c r="AC212" s="420"/>
      <c r="AD212" s="334"/>
      <c r="AE212" s="334"/>
    </row>
    <row r="213" spans="1:31" s="335" customFormat="1" x14ac:dyDescent="0.2">
      <c r="A213" s="320"/>
      <c r="C213" s="337"/>
      <c r="D213" s="334"/>
      <c r="F213" s="334"/>
      <c r="S213" s="334"/>
      <c r="T213" s="334"/>
      <c r="Y213" s="420"/>
      <c r="Z213" s="420"/>
      <c r="AA213" s="420"/>
      <c r="AB213" s="420"/>
      <c r="AC213" s="420"/>
      <c r="AD213" s="334"/>
      <c r="AE213" s="334"/>
    </row>
    <row r="214" spans="1:31" s="335" customFormat="1" x14ac:dyDescent="0.2">
      <c r="A214" s="320"/>
      <c r="C214" s="337"/>
      <c r="D214" s="334"/>
      <c r="F214" s="334"/>
      <c r="S214" s="334"/>
      <c r="T214" s="334"/>
      <c r="Y214" s="420"/>
      <c r="Z214" s="420"/>
      <c r="AA214" s="420"/>
      <c r="AB214" s="420"/>
      <c r="AC214" s="420"/>
      <c r="AD214" s="334"/>
      <c r="AE214" s="334"/>
    </row>
    <row r="215" spans="1:31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420"/>
      <c r="AD215" s="334"/>
      <c r="AE215" s="334"/>
    </row>
  </sheetData>
  <autoFilter ref="A1:A215"/>
  <mergeCells count="1">
    <mergeCell ref="AE9:AE10"/>
  </mergeCells>
  <pageMargins left="0.7" right="0.7" top="0.75" bottom="0.75" header="0.3" footer="0.3"/>
  <pageSetup paperSize="12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  <pageSetUpPr fitToPage="1"/>
  </sheetPr>
  <dimension ref="A1:N75"/>
  <sheetViews>
    <sheetView showGridLines="0" topLeftCell="A45" workbookViewId="0">
      <selection activeCell="J28" sqref="J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42795</v>
      </c>
      <c r="E13" s="324">
        <f ca="1">NOW()</f>
        <v>43075.51473761574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SUMIF(Mar!$A:$A,'p&amp;l Mar'!D16,Mar!$Y:$Y)</f>
        <v>1243.4697800000001</v>
      </c>
      <c r="F16" s="289">
        <f>SUMIF(Fev!$A:$A,'p&amp;l Mar'!D16,Fev!$X:$X)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SUMIF(Mar!$A:$A,'p&amp;l Mar'!D19,Mar!$Y:$Y)</f>
        <v>-613.75905999999975</v>
      </c>
      <c r="F19" s="316">
        <f>SUMIF(Fev!$A:$A,'p&amp;l Mar'!D19,Fev!$X:$X)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SUMIF(Mar!$A:$A,'p&amp;l Mar'!D20,Mar!$Y:$Y)</f>
        <v>-254.61959199999995</v>
      </c>
      <c r="F20" s="316">
        <f>SUMIF(Fev!$A:$A,'p&amp;l Mar'!D20,Fev!$X:$X)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SUMIF(Mar!$A:$A,'p&amp;l Mar'!D21,Mar!$Y:$Y)</f>
        <v>-58.856499999999997</v>
      </c>
      <c r="F21" s="316">
        <f>SUMIF(Fev!$A:$A,'p&amp;l Mar'!D21,Fev!$X:$X)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SUMIF(Mar!$A:$A,'p&amp;l Mar'!D22,Mar!$Y:$Y)</f>
        <v>0</v>
      </c>
      <c r="F22" s="316">
        <f>SUMIF(Fev!$A:$A,'p&amp;l Mar'!D22,Fev!$X:$X)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SUMIF(Mar!$A:$A,'p&amp;l Mar'!D23,Mar!$Y:$Y)</f>
        <v>0</v>
      </c>
      <c r="F23" s="316">
        <f>SUMIF(Fev!$A:$A,'p&amp;l Mar'!D23,Fev!$X:$X)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SUMIF(Mar!$A:$A,'p&amp;l Mar'!D24,Mar!$Y:$Y)</f>
        <v>0.74000000000000021</v>
      </c>
      <c r="F24" s="316">
        <f>SUMIF(Fev!$A:$A,'p&amp;l Mar'!D24,Fev!$X:$X)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SUMIF(Mar!$A:$A,'p&amp;l Mar'!D25,Mar!$Y:$Y)</f>
        <v>0</v>
      </c>
      <c r="F25" s="316">
        <f>SUMIF(Fev!$A:$A,'p&amp;l Mar'!D25,Fev!$X:$X)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SUMIF(Mar!$A:$A,'p&amp;l Mar'!D26,Mar!$Y:$Y)</f>
        <v>-12.079780000000001</v>
      </c>
      <c r="F26" s="316">
        <f>SUMIF(Fev!$A:$A,'p&amp;l Mar'!D26,Fev!$X:$X)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SUMIF(Mar!$A:$A,'p&amp;l Mar'!D27,Mar!$Y:$Y)</f>
        <v>-3.06</v>
      </c>
      <c r="F27" s="316">
        <f>SUMIF(Fev!$A:$A,'p&amp;l Mar'!D27,Fev!$X:$X)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SUMIF(Mar!$A:$A,'p&amp;l Mar'!D28,Mar!$Y:$Y)</f>
        <v>28.996999999999986</v>
      </c>
      <c r="F28" s="316">
        <f>SUMIF(Fev!$A:$A,'p&amp;l Mar'!D28,Fev!$X:$X)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-912.63793199999964</v>
      </c>
      <c r="F29" s="317">
        <f>SUMIF(Fev!$A:$A,'p&amp;l Mar'!D29,Fev!$X:$X)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SUMIF(Mar!$A:$A,'p&amp;l Mar'!D31,Mar!$Y:$Y)</f>
        <v>-69.25200000000001</v>
      </c>
      <c r="F31" s="316">
        <f>SUMIF(Fev!$A:$A,'p&amp;l Mar'!D31,Fev!$X:$X)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SUMIF(Mar!$A:$A,'p&amp;l Mar'!D32,Mar!$Y:$Y)</f>
        <v>-0.99655000000000005</v>
      </c>
      <c r="F32" s="316">
        <f>SUMIF(Fev!$A:$A,'p&amp;l Mar'!D32,Fev!$X:$X)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-70.248550000000009</v>
      </c>
      <c r="F33" s="317">
        <f>SUMIF(Fev!$A:$A,'p&amp;l Mar'!D33,Fev!$X:$X)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SUMIF(Mar!$A:$A,'p&amp;l Mar'!D34,Mar!$Y:$Y)</f>
        <v>-9.8325099999999992</v>
      </c>
      <c r="F34" s="316">
        <f>SUMIF(Fev!$A:$A,'p&amp;l Mar'!D34,Fev!$X:$X)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SUMIF(Mar!$A:$A,'p&amp;l Mar'!D35,Mar!$Y:$Y)</f>
        <v>-46.887469999999993</v>
      </c>
      <c r="F35" s="316">
        <f>SUMIF(Fev!$A:$A,'p&amp;l Mar'!D35,Fev!$X:$X)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SUMIF(Mar!$A:$A,'p&amp;l Mar'!D36,Mar!$Y:$Y)</f>
        <v>-2.9393899999999999</v>
      </c>
      <c r="F36" s="316">
        <f>SUMIF(Fev!$A:$A,'p&amp;l Mar'!D36,Fev!$X:$X)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SUMIF(Mar!$A:$A,'p&amp;l Mar'!D37,Mar!$Y:$Y)</f>
        <v>-10.346169999999999</v>
      </c>
      <c r="F37" s="316">
        <f>SUMIF(Fev!$A:$A,'p&amp;l Mar'!D37,Fev!$X:$X)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-70.005539999999996</v>
      </c>
      <c r="F38" s="317">
        <f>SUMIF(Fev!$A:$A,'p&amp;l Mar'!D38,Fev!$X:$X)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SUMIF(Mar!$A:$A,'p&amp;l Mar'!D40,Mar!$Y:$Y)</f>
        <v>-0.28745999999999999</v>
      </c>
      <c r="F40" s="316">
        <f>SUMIF(Fev!$A:$A,'p&amp;l Mar'!D40,Fev!$X:$X)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SUMIF(Mar!$A:$A,'p&amp;l Mar'!D41,Mar!$Y:$Y)</f>
        <v>-0.53791999999999995</v>
      </c>
      <c r="F41" s="316">
        <f>SUMIF(Fev!$A:$A,'p&amp;l Mar'!D41,Fev!$X:$X)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SUMIF(Mar!$A:$A,'p&amp;l Mar'!D42,Mar!$Y:$Y)</f>
        <v>-68.916179999999997</v>
      </c>
      <c r="F42" s="316">
        <f>SUMIF(Fev!$A:$A,'p&amp;l Mar'!D42,Fev!$X:$X)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SUMIF(Mar!$A:$A,'p&amp;l Mar'!D43,Mar!$Y:$Y)</f>
        <v>-15.500999999999999</v>
      </c>
      <c r="F43" s="316">
        <f>SUMIF(Fev!$A:$A,'p&amp;l Mar'!D43,Fev!$X:$X)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-85.242559999999997</v>
      </c>
      <c r="F44" s="317">
        <f>SUMIF(Fev!$A:$A,'p&amp;l Mar'!D44,Fev!$X:$X)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SUMIF(Mar!$A:$A,'p&amp;l Mar'!D46,Mar!$Y:$Y)</f>
        <v>-2.81332</v>
      </c>
      <c r="F46" s="316">
        <f>SUMIF(Fev!$A:$A,'p&amp;l Mar'!D46,Fev!$X:$X)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SUMIF(Mar!$A:$A,'p&amp;l Mar'!D47,Mar!$Y:$Y)</f>
        <v>-0.47613</v>
      </c>
      <c r="F47" s="316">
        <f>SUMIF(Fev!$A:$A,'p&amp;l Mar'!D47,Fev!$X:$X)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SUMIF(Mar!$A:$A,'p&amp;l Mar'!D48,Mar!$Y:$Y)</f>
        <v>-35.491540000000001</v>
      </c>
      <c r="F48" s="316">
        <f>SUMIF(Fev!$A:$A,'p&amp;l Mar'!D48,Fev!$X:$X)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SUMIF(Mar!$A:$A,'p&amp;l Mar'!D49,Mar!$Y:$Y)</f>
        <v>-4.226</v>
      </c>
      <c r="F49" s="316">
        <f>SUMIF(Fev!$A:$A,'p&amp;l Mar'!D49,Fev!$X:$X)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SUMIF(Mar!$A:$A,'p&amp;l Mar'!D50,Mar!$Y:$Y)</f>
        <v>-0.249</v>
      </c>
      <c r="F50" s="316">
        <f>SUMIF(Fev!$A:$A,'p&amp;l Mar'!D50,Fev!$X:$X)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SUMIF(Mar!$A:$A,'p&amp;l Mar'!D51,Mar!$Y:$Y)</f>
        <v>-15.623999999999999</v>
      </c>
      <c r="F51" s="316">
        <f>SUMIF(Fev!$A:$A,'p&amp;l Mar'!D51,Fev!$X:$X)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525</v>
      </c>
      <c r="E52" s="327">
        <f>SUMIF(Mar!$A:$A,'p&amp;l Mar'!D52,Mar!$Y:$Y)</f>
        <v>-1.7425999999999986</v>
      </c>
      <c r="F52" s="316">
        <f>SUMIF(Fev!$A:$A,'p&amp;l Mar'!D52,Fev!$X:$X)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SUMIF(Mar!$A:$A,'p&amp;l Mar'!D53,Mar!$Y:$Y)</f>
        <v>0</v>
      </c>
      <c r="F53" s="316">
        <f>SUMIF(Fev!$A:$A,'p&amp;l Mar'!D53,Fev!$X:$X)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SUMIF(Mar!$A:$A,'p&amp;l Mar'!D54,Mar!$Y:$Y)</f>
        <v>-5.7493333333333343</v>
      </c>
      <c r="F54" s="316">
        <f>SUMIF(Fev!$A:$A,'p&amp;l Mar'!D54,Fev!$X:$X)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-66.371923333333342</v>
      </c>
      <c r="F55" s="317">
        <f>SUMIF(Fev!$A:$A,'p&amp;l Mar'!D55,Fev!$X:$X)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SUMIF(Mar!$A:$A,'p&amp;l Mar'!D57,Mar!$Y:$Y)</f>
        <v>-1.125</v>
      </c>
      <c r="F57" s="316">
        <f>SUMIF(Fev!$A:$A,'p&amp;l Mar'!D57,Fev!$X:$X)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SUMIF(Mar!$A:$A,'p&amp;l Mar'!D58,Mar!$Y:$Y)</f>
        <v>-1</v>
      </c>
      <c r="F58" s="316">
        <f>SUMIF(Fev!$A:$A,'p&amp;l Mar'!D58,Fev!$X:$X)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SUMIF(Mar!$A:$A,'p&amp;l Mar'!D59,Mar!$Y:$Y)</f>
        <v>-1.875</v>
      </c>
      <c r="F59" s="316">
        <f>SUMIF(Fev!$A:$A,'p&amp;l Mar'!D59,Fev!$X:$X)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SUMIF(Mar!$A:$A,'p&amp;l Mar'!D60,Mar!$Y:$Y)</f>
        <v>-0.82901999999999998</v>
      </c>
      <c r="F60" s="316">
        <f>SUMIF(Fev!$A:$A,'p&amp;l Mar'!D60,Fev!$X:$X)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SUMIF(Mar!$A:$A,'p&amp;l Mar'!D61,Mar!$Y:$Y)</f>
        <v>0</v>
      </c>
      <c r="F61" s="316">
        <f>SUMIF(Fev!$A:$A,'p&amp;l Mar'!D61,Fev!$X:$X)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-4.8290199999999999</v>
      </c>
      <c r="F62" s="317">
        <f>SUMIF(Fev!$A:$A,'p&amp;l Mar'!D62,Fev!$X:$X)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SUMIF(Mar!$A:$U,'p&amp;l Mar'!D64,Mar!$U:$U)</f>
        <v>-11.750999999999999</v>
      </c>
      <c r="F64" s="316">
        <f>SUMIF(Fev!$A:$A,'p&amp;l Mar'!D64,Fev!$X:$X)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-11.750999999999999</v>
      </c>
      <c r="F65" s="317">
        <f>SUMIF(Fev!$A:$A,'p&amp;l Mar'!D65,Fev!$X:$X)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SUMIF(Mar!$A:$A,'p&amp;l Mar'!D67,Mar!$Y:$Y)</f>
        <v>0.91381000000000001</v>
      </c>
      <c r="F67" s="316">
        <f>SUMIF(Fev!$A:$A,'p&amp;l Mar'!D67,Fev!$X:$X)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0.91381000000000001</v>
      </c>
      <c r="F68" s="317">
        <f>SUMIF(Fev!$A:$A,'p&amp;l Mar'!D68,Fev!$X:$X)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-1220.1727153333327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23.297064666667438</v>
      </c>
    </row>
    <row r="74" spans="1:8" x14ac:dyDescent="0.25">
      <c r="D74" t="s">
        <v>762</v>
      </c>
      <c r="E74" s="331">
        <f>Mar!AC201</f>
        <v>20.500554666667053</v>
      </c>
    </row>
    <row r="75" spans="1:8" x14ac:dyDescent="0.25">
      <c r="D75" s="315" t="s">
        <v>763</v>
      </c>
      <c r="E75" s="319">
        <f ca="1">E73-E74</f>
        <v>2.7965100000003851</v>
      </c>
    </row>
  </sheetData>
  <dataValidations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215"/>
  <sheetViews>
    <sheetView showGridLines="0" topLeftCell="A167" workbookViewId="0">
      <selection activeCell="J28" sqref="J28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7" width="13.85546875" style="420" hidden="1" customWidth="1" outlineLevel="1"/>
    <col min="28" max="28" width="13.42578125" style="420" hidden="1" customWidth="1" outlineLevel="1"/>
    <col min="29" max="29" width="13.85546875" style="420" customWidth="1" collapsed="1"/>
    <col min="30" max="30" width="1.7109375" style="334" customWidth="1"/>
    <col min="31" max="31" width="38.140625" style="334" customWidth="1" outlineLevel="1"/>
    <col min="32" max="16384" width="11.42578125" style="334"/>
  </cols>
  <sheetData>
    <row r="1" spans="1:31" x14ac:dyDescent="0.2">
      <c r="A1" s="320" t="s">
        <v>760</v>
      </c>
      <c r="B1" s="332" t="s">
        <v>803</v>
      </c>
      <c r="C1" s="333"/>
      <c r="F1" s="335"/>
      <c r="X1" s="335" t="s">
        <v>134</v>
      </c>
    </row>
    <row r="2" spans="1:31" ht="13.5" thickBot="1" x14ac:dyDescent="0.25">
      <c r="J2" s="335" t="s">
        <v>134</v>
      </c>
      <c r="V2" s="335" t="s">
        <v>134</v>
      </c>
    </row>
    <row r="3" spans="1:31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421"/>
      <c r="AD3" s="339"/>
    </row>
    <row r="4" spans="1:31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743</v>
      </c>
      <c r="AA4" s="423" t="s">
        <v>765</v>
      </c>
      <c r="AB4" s="423" t="s">
        <v>744</v>
      </c>
      <c r="AC4" s="423" t="s">
        <v>139</v>
      </c>
      <c r="AD4" s="347"/>
    </row>
    <row r="5" spans="1:31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8"/>
      <c r="AD5" s="350"/>
    </row>
    <row r="6" spans="1:31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1704618.05666667/1000</f>
        <v>1704.6180566666699</v>
      </c>
      <c r="V6" s="440"/>
      <c r="W6" s="440"/>
      <c r="X6" s="440"/>
      <c r="Y6" s="440">
        <v>1704.6180566666699</v>
      </c>
      <c r="Z6" s="440">
        <v>1243.4697800000001</v>
      </c>
      <c r="AA6" s="440">
        <v>1243.4697800000001</v>
      </c>
      <c r="AB6" s="440">
        <v>1243.4697800000001</v>
      </c>
      <c r="AC6" s="440">
        <v>1704.6180566666699</v>
      </c>
      <c r="AD6" s="355"/>
      <c r="AE6" s="334"/>
    </row>
    <row r="7" spans="1:31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8"/>
      <c r="AD7" s="350"/>
      <c r="AE7" s="334" t="s">
        <v>134</v>
      </c>
    </row>
    <row r="8" spans="1:31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8"/>
      <c r="AD8" s="350"/>
    </row>
    <row r="9" spans="1:31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-797.8041999999997</v>
      </c>
      <c r="V9" s="362">
        <v>2.5525000000000002</v>
      </c>
      <c r="W9" s="362"/>
      <c r="X9" s="351">
        <v>-5.6492800000000001</v>
      </c>
      <c r="Y9" s="363">
        <v>-800.90097999999966</v>
      </c>
      <c r="Z9" s="363"/>
      <c r="AA9" s="363"/>
      <c r="AB9" s="363"/>
      <c r="AC9" s="363">
        <v>-800.90097999999966</v>
      </c>
      <c r="AD9" s="355"/>
      <c r="AE9" s="485" t="s">
        <v>782</v>
      </c>
    </row>
    <row r="10" spans="1:31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-342.49515000000002</v>
      </c>
      <c r="V10" s="362">
        <v>1.1964699999999999</v>
      </c>
      <c r="W10" s="362"/>
      <c r="X10" s="351">
        <v>-2.542176</v>
      </c>
      <c r="Y10" s="363">
        <v>-343.84085600000003</v>
      </c>
      <c r="Z10" s="363"/>
      <c r="AA10" s="363"/>
      <c r="AB10" s="363"/>
      <c r="AC10" s="363">
        <v>-343.84085600000003</v>
      </c>
      <c r="AD10" s="355"/>
      <c r="AE10" s="485"/>
    </row>
    <row r="11" spans="1:31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12.5</v>
      </c>
      <c r="W11" s="362"/>
      <c r="X11" s="351"/>
      <c r="Y11" s="363">
        <v>12.5</v>
      </c>
      <c r="Z11" s="363"/>
      <c r="AA11" s="363"/>
      <c r="AB11" s="363"/>
      <c r="AC11" s="363">
        <v>12.5</v>
      </c>
      <c r="AD11" s="355"/>
      <c r="AE11" s="366" t="s">
        <v>783</v>
      </c>
    </row>
    <row r="12" spans="1:31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5.625</v>
      </c>
      <c r="W12" s="362"/>
      <c r="X12" s="351"/>
      <c r="Y12" s="363">
        <v>5.625</v>
      </c>
      <c r="Z12" s="363"/>
      <c r="AA12" s="363"/>
      <c r="AB12" s="363"/>
      <c r="AC12" s="363">
        <v>5.625</v>
      </c>
      <c r="AD12" s="355"/>
      <c r="AE12" s="366" t="s">
        <v>783</v>
      </c>
    </row>
    <row r="13" spans="1:31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/>
      <c r="Z13" s="363"/>
      <c r="AA13" s="363"/>
      <c r="AB13" s="363"/>
      <c r="AC13" s="363"/>
      <c r="AD13" s="355"/>
      <c r="AE13" s="334"/>
    </row>
    <row r="14" spans="1:31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/>
      <c r="AC14" s="363">
        <v>0</v>
      </c>
      <c r="AD14" s="355"/>
      <c r="AE14" s="334"/>
    </row>
    <row r="15" spans="1:31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/>
      <c r="AC15" s="363">
        <v>6.2080000000000002</v>
      </c>
      <c r="AD15" s="355"/>
      <c r="AE15" s="334"/>
    </row>
    <row r="16" spans="1:31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/>
      <c r="AC16" s="363">
        <v>2.9798399999999998</v>
      </c>
      <c r="AD16" s="355"/>
      <c r="AE16" s="334"/>
    </row>
    <row r="17" spans="1:31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1.0620000000000001</v>
      </c>
      <c r="W17" s="362"/>
      <c r="X17" s="362">
        <v>0.7</v>
      </c>
      <c r="Y17" s="363">
        <v>1.762</v>
      </c>
      <c r="Z17" s="363"/>
      <c r="AA17" s="363"/>
      <c r="AB17" s="363"/>
      <c r="AC17" s="363">
        <v>1.762</v>
      </c>
      <c r="AD17" s="355"/>
      <c r="AE17" s="334"/>
    </row>
    <row r="18" spans="1:31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0.51</v>
      </c>
      <c r="V18" s="362"/>
      <c r="W18" s="362"/>
      <c r="X18" s="362">
        <v>0.28289999999999998</v>
      </c>
      <c r="Y18" s="363">
        <v>0.79289999999999994</v>
      </c>
      <c r="Z18" s="363"/>
      <c r="AA18" s="363"/>
      <c r="AB18" s="363"/>
      <c r="AC18" s="363">
        <v>0.79289999999999994</v>
      </c>
      <c r="AD18" s="355"/>
      <c r="AE18" s="334"/>
    </row>
    <row r="19" spans="1:31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13.917999999999999</v>
      </c>
      <c r="V19" s="362"/>
      <c r="W19" s="362"/>
      <c r="X19" s="362"/>
      <c r="Y19" s="363">
        <v>13.917999999999999</v>
      </c>
      <c r="Z19" s="363"/>
      <c r="AA19" s="363"/>
      <c r="AB19" s="363"/>
      <c r="AC19" s="363">
        <v>13.917999999999999</v>
      </c>
      <c r="AD19" s="355"/>
      <c r="AE19" s="334"/>
    </row>
    <row r="20" spans="1:31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/>
      <c r="V20" s="362"/>
      <c r="W20" s="362"/>
      <c r="X20" s="362"/>
      <c r="Y20" s="363"/>
      <c r="Z20" s="363"/>
      <c r="AA20" s="363"/>
      <c r="AB20" s="363"/>
      <c r="AC20" s="363"/>
      <c r="AD20" s="355"/>
      <c r="AE20" s="334" t="s">
        <v>134</v>
      </c>
    </row>
    <row r="21" spans="1:31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/>
      <c r="Z21" s="363"/>
      <c r="AA21" s="363"/>
      <c r="AB21" s="363"/>
      <c r="AC21" s="363"/>
      <c r="AD21" s="355"/>
      <c r="AE21" s="334"/>
    </row>
    <row r="22" spans="1:31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/>
      <c r="AC22" s="363">
        <v>-8.75</v>
      </c>
      <c r="AD22" s="355"/>
      <c r="AE22" s="334"/>
    </row>
    <row r="23" spans="1:31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/>
      <c r="AC23" s="363">
        <v>0</v>
      </c>
      <c r="AD23" s="355"/>
      <c r="AE23" s="334"/>
    </row>
    <row r="24" spans="1:31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-21.815999999999999</v>
      </c>
      <c r="V24" s="362"/>
      <c r="W24" s="362"/>
      <c r="X24" s="362">
        <v>0</v>
      </c>
      <c r="Y24" s="363">
        <v>-21.815999999999999</v>
      </c>
      <c r="Z24" s="363"/>
      <c r="AA24" s="363"/>
      <c r="AB24" s="363"/>
      <c r="AC24" s="363">
        <v>-21.815999999999999</v>
      </c>
      <c r="AD24" s="355"/>
      <c r="AE24" s="369"/>
    </row>
    <row r="25" spans="1:31" s="352" customFormat="1" x14ac:dyDescent="0.2">
      <c r="A25" s="320" t="str">
        <f>IFERROR(VLOOKUP(B25,mapping_one_neo!A:B,2,FALSE),"")</f>
        <v/>
      </c>
      <c r="B25" s="352" t="s">
        <v>14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-3.867</v>
      </c>
      <c r="V25" s="362"/>
      <c r="W25" s="362"/>
      <c r="X25" s="362">
        <v>0</v>
      </c>
      <c r="Y25" s="363">
        <v>-3.867</v>
      </c>
      <c r="Z25" s="363"/>
      <c r="AA25" s="363"/>
      <c r="AB25" s="363"/>
      <c r="AC25" s="363">
        <v>-3.867</v>
      </c>
      <c r="AD25" s="355"/>
      <c r="AE25" s="334"/>
    </row>
    <row r="26" spans="1:31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-11.625</v>
      </c>
      <c r="V26" s="362"/>
      <c r="W26" s="362"/>
      <c r="X26" s="362">
        <v>0</v>
      </c>
      <c r="Y26" s="363">
        <v>-11.625</v>
      </c>
      <c r="Z26" s="363"/>
      <c r="AA26" s="363"/>
      <c r="AB26" s="363"/>
      <c r="AC26" s="363">
        <v>-11.625</v>
      </c>
      <c r="AD26" s="355"/>
      <c r="AE26" s="334"/>
    </row>
    <row r="27" spans="1:31" s="352" customFormat="1" x14ac:dyDescent="0.2">
      <c r="A27" s="320" t="str">
        <f>IFERROR(VLOOKUP(B27,mapping_one_neo!A:B,2,FALSE),"")</f>
        <v/>
      </c>
      <c r="B27" s="352" t="s">
        <v>16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-1.952</v>
      </c>
      <c r="V27" s="362"/>
      <c r="W27" s="362"/>
      <c r="X27" s="362"/>
      <c r="Y27" s="363">
        <v>-1.952</v>
      </c>
      <c r="Z27" s="363"/>
      <c r="AA27" s="363"/>
      <c r="AB27" s="363"/>
      <c r="AC27" s="363">
        <v>-1.952</v>
      </c>
      <c r="AD27" s="355"/>
      <c r="AE27" s="334"/>
    </row>
    <row r="28" spans="1:31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>
        <v>0</v>
      </c>
      <c r="Y28" s="363">
        <v>0</v>
      </c>
      <c r="Z28" s="363"/>
      <c r="AA28" s="363"/>
      <c r="AB28" s="363"/>
      <c r="AC28" s="363">
        <v>0</v>
      </c>
      <c r="AD28" s="355"/>
      <c r="AE28" s="334"/>
    </row>
    <row r="29" spans="1:31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0.74000000000000021</v>
      </c>
      <c r="V29" s="362"/>
      <c r="W29" s="362"/>
      <c r="X29" s="362"/>
      <c r="Y29" s="363">
        <v>0.74000000000000021</v>
      </c>
      <c r="Z29" s="363"/>
      <c r="AA29" s="363"/>
      <c r="AB29" s="363"/>
      <c r="AC29" s="363">
        <v>0.74000000000000021</v>
      </c>
      <c r="AD29" s="355"/>
      <c r="AE29" s="334"/>
    </row>
    <row r="30" spans="1:31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-14.369870000000001</v>
      </c>
      <c r="V30" s="362"/>
      <c r="W30" s="362"/>
      <c r="X30" s="363">
        <v>-5.9850000000000003</v>
      </c>
      <c r="Y30" s="363">
        <v>-20.354870000000002</v>
      </c>
      <c r="Z30" s="363"/>
      <c r="AA30" s="363"/>
      <c r="AB30" s="363"/>
      <c r="AC30" s="363">
        <v>-20.354870000000002</v>
      </c>
      <c r="AD30" s="355"/>
      <c r="AE30" s="334"/>
    </row>
    <row r="31" spans="1:31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-37.735999999999997</v>
      </c>
      <c r="V31" s="362"/>
      <c r="W31" s="362"/>
      <c r="X31" s="362">
        <v>5.4089999999999998</v>
      </c>
      <c r="Y31" s="363">
        <v>-32.326999999999998</v>
      </c>
      <c r="Z31" s="363"/>
      <c r="AA31" s="363"/>
      <c r="AB31" s="363"/>
      <c r="AC31" s="363">
        <v>-32.326999999999998</v>
      </c>
      <c r="AD31" s="355"/>
      <c r="AE31" s="334"/>
    </row>
    <row r="32" spans="1:31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/>
      <c r="AC32" s="363"/>
      <c r="AD32" s="355"/>
      <c r="AE32" s="334"/>
    </row>
    <row r="33" spans="1:31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/>
      <c r="AC33" s="363"/>
      <c r="AD33" s="355"/>
      <c r="AE33" s="334"/>
    </row>
    <row r="34" spans="1:31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/>
      <c r="Y34" s="363"/>
      <c r="Z34" s="363"/>
      <c r="AA34" s="363"/>
      <c r="AB34" s="363"/>
      <c r="AC34" s="363"/>
      <c r="AD34" s="355"/>
      <c r="AE34" s="334"/>
    </row>
    <row r="35" spans="1:31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/>
      <c r="AC35" s="363"/>
      <c r="AD35" s="355"/>
      <c r="AE35" s="334"/>
    </row>
    <row r="36" spans="1:31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/>
      <c r="AC36" s="363"/>
      <c r="AD36" s="355"/>
      <c r="AE36" s="334"/>
    </row>
    <row r="37" spans="1:31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-15.0906</v>
      </c>
      <c r="V37" s="351"/>
      <c r="W37" s="351"/>
      <c r="X37" s="351">
        <v>1.0601699999999998</v>
      </c>
      <c r="Y37" s="363">
        <v>-14.030430000000001</v>
      </c>
      <c r="Z37" s="363"/>
      <c r="AA37" s="363"/>
      <c r="AB37" s="363"/>
      <c r="AC37" s="363">
        <v>-14.030430000000001</v>
      </c>
      <c r="AD37" s="355"/>
      <c r="AE37" s="334"/>
    </row>
    <row r="38" spans="1:31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-10.717829999999999</v>
      </c>
      <c r="V38" s="351"/>
      <c r="W38" s="351"/>
      <c r="X38" s="351"/>
      <c r="Y38" s="363"/>
      <c r="Z38" s="363"/>
      <c r="AA38" s="363"/>
      <c r="AB38" s="363"/>
      <c r="AC38" s="363">
        <v>0</v>
      </c>
      <c r="AD38" s="350"/>
    </row>
    <row r="39" spans="1:31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-1.46</v>
      </c>
      <c r="V39" s="351"/>
      <c r="W39" s="351"/>
      <c r="X39" s="351"/>
      <c r="Y39" s="363"/>
      <c r="Z39" s="363"/>
      <c r="AA39" s="363"/>
      <c r="AB39" s="363"/>
      <c r="AC39" s="363">
        <v>0</v>
      </c>
      <c r="AD39" s="350"/>
    </row>
    <row r="40" spans="1:31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-1.01552</v>
      </c>
      <c r="V40" s="362"/>
      <c r="W40" s="351"/>
      <c r="X40" s="351">
        <v>0.5</v>
      </c>
      <c r="Y40" s="363"/>
      <c r="Z40" s="363"/>
      <c r="AA40" s="363"/>
      <c r="AB40" s="363"/>
      <c r="AC40" s="363">
        <v>0</v>
      </c>
      <c r="AD40" s="350"/>
      <c r="AE40" s="334" t="s">
        <v>134</v>
      </c>
    </row>
    <row r="41" spans="1:31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-1.8972500000000001</v>
      </c>
      <c r="V41" s="362"/>
      <c r="W41" s="362"/>
      <c r="X41" s="351">
        <v>0.56016999999999995</v>
      </c>
      <c r="Y41" s="363"/>
      <c r="Z41" s="363"/>
      <c r="AA41" s="363"/>
      <c r="AB41" s="363"/>
      <c r="AC41" s="363">
        <v>0</v>
      </c>
      <c r="AD41" s="350"/>
    </row>
    <row r="42" spans="1:31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-4.08</v>
      </c>
      <c r="V42" s="362"/>
      <c r="W42" s="362"/>
      <c r="X42" s="351"/>
      <c r="Y42" s="363">
        <v>-4.08</v>
      </c>
      <c r="Z42" s="363"/>
      <c r="AA42" s="363"/>
      <c r="AB42" s="363"/>
      <c r="AC42" s="363">
        <v>-4.08</v>
      </c>
      <c r="AD42" s="355"/>
      <c r="AE42" s="334"/>
    </row>
    <row r="43" spans="1:31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C43" s="352">
        <v>0</v>
      </c>
      <c r="AD43" s="355"/>
      <c r="AE43" s="334"/>
    </row>
    <row r="44" spans="1:31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28.996999999999986</v>
      </c>
      <c r="V44" s="351"/>
      <c r="W44" s="351"/>
      <c r="X44" s="351"/>
      <c r="Y44" s="363">
        <v>28.996999999999986</v>
      </c>
      <c r="Z44" s="363"/>
      <c r="AA44" s="363"/>
      <c r="AB44" s="363"/>
      <c r="AC44" s="363">
        <v>28.996999999999986</v>
      </c>
      <c r="AD44" s="350"/>
    </row>
    <row r="45" spans="1:31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/>
      <c r="V45" s="351"/>
      <c r="W45" s="351"/>
      <c r="X45" s="351"/>
      <c r="Y45" s="363"/>
      <c r="Z45" s="363"/>
      <c r="AA45" s="363"/>
      <c r="AB45" s="363"/>
      <c r="AC45" s="363"/>
      <c r="AD45" s="350"/>
      <c r="AE45" s="334" t="s">
        <v>134</v>
      </c>
    </row>
    <row r="46" spans="1:31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78"/>
      <c r="AC46" s="378"/>
      <c r="AD46" s="377"/>
      <c r="AE46" s="334"/>
    </row>
    <row r="47" spans="1:31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/>
      <c r="AA47" s="378"/>
      <c r="AB47" s="363"/>
      <c r="AC47" s="378"/>
      <c r="AD47" s="377"/>
      <c r="AE47" s="334"/>
    </row>
    <row r="48" spans="1:31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8"/>
      <c r="AD48" s="377"/>
      <c r="AE48" s="334"/>
    </row>
    <row r="49" spans="1:31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v>-1215.4208199999998</v>
      </c>
      <c r="V49" s="383">
        <v>32.123809999999999</v>
      </c>
      <c r="W49" s="383">
        <v>0</v>
      </c>
      <c r="X49" s="383">
        <v>-6.7243860000000009</v>
      </c>
      <c r="Y49" s="383">
        <v>-1190.0213959999996</v>
      </c>
      <c r="Z49" s="383">
        <v>0</v>
      </c>
      <c r="AA49" s="383"/>
      <c r="AB49" s="383">
        <v>0</v>
      </c>
      <c r="AC49" s="383">
        <v>-1190.0213959999996</v>
      </c>
      <c r="AD49" s="377"/>
      <c r="AE49" s="382" t="s">
        <v>134</v>
      </c>
    </row>
    <row r="50" spans="1:31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8"/>
      <c r="AD50" s="377"/>
      <c r="AE50" s="334"/>
    </row>
    <row r="51" spans="1:31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8"/>
      <c r="AD51" s="350"/>
    </row>
    <row r="52" spans="1:31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-66.668000000000006</v>
      </c>
      <c r="V52" s="362"/>
      <c r="W52" s="362"/>
      <c r="X52" s="362"/>
      <c r="Y52" s="363">
        <v>-66.668000000000006</v>
      </c>
      <c r="Z52" s="363"/>
      <c r="AA52" s="363"/>
      <c r="AB52" s="363"/>
      <c r="AC52" s="363">
        <v>-66.668000000000006</v>
      </c>
      <c r="AD52" s="355"/>
      <c r="AE52" s="334"/>
    </row>
    <row r="53" spans="1:31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-16</v>
      </c>
      <c r="V53" s="362"/>
      <c r="W53" s="362"/>
      <c r="X53" s="362"/>
      <c r="Y53" s="363">
        <v>-16</v>
      </c>
      <c r="Z53" s="363"/>
      <c r="AA53" s="363"/>
      <c r="AB53" s="363"/>
      <c r="AC53" s="363">
        <v>-16</v>
      </c>
      <c r="AD53" s="355"/>
      <c r="AE53" s="334"/>
    </row>
    <row r="54" spans="1:31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-9.6679999999999993</v>
      </c>
      <c r="V54" s="362"/>
      <c r="W54" s="362"/>
      <c r="X54" s="362"/>
      <c r="Y54" s="363">
        <v>-9.6679999999999993</v>
      </c>
      <c r="Z54" s="363"/>
      <c r="AA54" s="363"/>
      <c r="AB54" s="363"/>
      <c r="AC54" s="363">
        <v>-9.6679999999999993</v>
      </c>
      <c r="AD54" s="355"/>
      <c r="AE54" s="334"/>
    </row>
    <row r="55" spans="1:31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-1.1426100000000001</v>
      </c>
      <c r="V55" s="362"/>
      <c r="W55" s="362"/>
      <c r="X55" s="362"/>
      <c r="Y55" s="363">
        <v>-1.1426100000000001</v>
      </c>
      <c r="Z55" s="363"/>
      <c r="AA55" s="363"/>
      <c r="AB55" s="363"/>
      <c r="AC55" s="363">
        <v>-1.1426100000000001</v>
      </c>
      <c r="AD55" s="355"/>
      <c r="AE55" s="334" t="s">
        <v>134</v>
      </c>
    </row>
    <row r="56" spans="1:31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/>
      <c r="AA56" s="363"/>
      <c r="AB56" s="363"/>
      <c r="AC56" s="363">
        <v>0</v>
      </c>
      <c r="AD56" s="355"/>
      <c r="AE56" s="334"/>
    </row>
    <row r="57" spans="1:31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/>
      <c r="AC57" s="363">
        <v>0</v>
      </c>
      <c r="AD57" s="355"/>
      <c r="AE57" s="334"/>
    </row>
    <row r="58" spans="1:31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-93.478610000000018</v>
      </c>
      <c r="V58" s="354">
        <v>0</v>
      </c>
      <c r="W58" s="354">
        <v>0</v>
      </c>
      <c r="X58" s="354"/>
      <c r="Y58" s="357">
        <f>SUM(Y52:Y57)</f>
        <v>-93.478610000000018</v>
      </c>
      <c r="Z58" s="357">
        <v>0</v>
      </c>
      <c r="AA58" s="357"/>
      <c r="AB58" s="357">
        <v>0</v>
      </c>
      <c r="AC58" s="357">
        <f>SUM(AC52:AC57)</f>
        <v>-93.478610000000018</v>
      </c>
      <c r="AD58" s="355"/>
      <c r="AE58" s="334"/>
    </row>
    <row r="59" spans="1:31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8"/>
      <c r="AD59" s="350"/>
    </row>
    <row r="60" spans="1:31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8"/>
      <c r="AD60" s="350"/>
    </row>
    <row r="61" spans="1:31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8"/>
      <c r="AD61" s="350"/>
    </row>
    <row r="62" spans="1:31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-2.5594999999999999</v>
      </c>
      <c r="V62" s="351">
        <v>-6.5825100000000001</v>
      </c>
      <c r="W62" s="351"/>
      <c r="X62" s="351">
        <v>-3.3448856799999991</v>
      </c>
      <c r="Y62" s="363">
        <v>-12.486895679999998</v>
      </c>
      <c r="Z62" s="363"/>
      <c r="AA62" s="363"/>
      <c r="AB62" s="363"/>
      <c r="AC62" s="363">
        <v>-12.486895679999998</v>
      </c>
      <c r="AD62" s="355"/>
      <c r="AE62" s="334"/>
    </row>
    <row r="63" spans="1:31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-48.329059999999998</v>
      </c>
      <c r="W63" s="351"/>
      <c r="X63" s="351"/>
      <c r="Y63" s="363">
        <v>-48.329059999999998</v>
      </c>
      <c r="Z63" s="363"/>
      <c r="AA63" s="363"/>
      <c r="AB63" s="363"/>
      <c r="AC63" s="363">
        <v>-48.329059999999998</v>
      </c>
      <c r="AD63" s="355"/>
      <c r="AE63" s="334"/>
    </row>
    <row r="64" spans="1:31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-3.8679999999999999</v>
      </c>
      <c r="V64" s="351"/>
      <c r="W64" s="351"/>
      <c r="X64" s="351"/>
      <c r="Y64" s="363">
        <v>-3.8679999999999999</v>
      </c>
      <c r="Z64" s="363"/>
      <c r="AA64" s="363"/>
      <c r="AB64" s="363"/>
      <c r="AC64" s="363">
        <v>-3.8679999999999999</v>
      </c>
      <c r="AD64" s="355"/>
      <c r="AE64" s="334"/>
    </row>
    <row r="65" spans="1:31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-0.76800000000000002</v>
      </c>
      <c r="V65" s="351"/>
      <c r="W65" s="351"/>
      <c r="X65" s="351"/>
      <c r="Y65" s="363">
        <v>-0.76800000000000002</v>
      </c>
      <c r="Z65" s="363"/>
      <c r="AA65" s="363"/>
      <c r="AB65" s="363"/>
      <c r="AC65" s="363">
        <v>-0.76800000000000002</v>
      </c>
      <c r="AD65" s="355"/>
      <c r="AE65" s="334"/>
    </row>
    <row r="66" spans="1:31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/>
      <c r="AC66" s="363">
        <v>0</v>
      </c>
      <c r="AD66" s="355"/>
      <c r="AE66" s="334"/>
    </row>
    <row r="67" spans="1:31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-1.1599999999999999</v>
      </c>
      <c r="V67" s="351"/>
      <c r="W67" s="351"/>
      <c r="X67" s="351"/>
      <c r="Y67" s="363">
        <v>-1.1599999999999999</v>
      </c>
      <c r="Z67" s="363"/>
      <c r="AA67" s="363"/>
      <c r="AB67" s="363"/>
      <c r="AC67" s="363">
        <v>-1.1599999999999999</v>
      </c>
      <c r="AD67" s="355"/>
      <c r="AE67" s="334"/>
    </row>
    <row r="68" spans="1:31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-1.7387599999999999</v>
      </c>
      <c r="V68" s="351"/>
      <c r="W68" s="351"/>
      <c r="X68" s="351">
        <v>-0.75</v>
      </c>
      <c r="Y68" s="363">
        <v>-2.4887600000000001</v>
      </c>
      <c r="Z68" s="363"/>
      <c r="AA68" s="363"/>
      <c r="AB68" s="363"/>
      <c r="AC68" s="363">
        <v>-2.4887600000000001</v>
      </c>
      <c r="AD68" s="355"/>
      <c r="AE68" s="334"/>
    </row>
    <row r="69" spans="1:31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-0.73055999999999988</v>
      </c>
      <c r="V69" s="351"/>
      <c r="W69" s="351"/>
      <c r="X69" s="351"/>
      <c r="Y69" s="363">
        <v>-0.73055999999999988</v>
      </c>
      <c r="Z69" s="363"/>
      <c r="AA69" s="363"/>
      <c r="AB69" s="363"/>
      <c r="AC69" s="363">
        <v>-0.73055999999999988</v>
      </c>
      <c r="AD69" s="355"/>
      <c r="AE69" s="334"/>
    </row>
    <row r="70" spans="1:31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-4.5</v>
      </c>
      <c r="V70" s="351"/>
      <c r="W70" s="351"/>
      <c r="X70" s="351"/>
      <c r="Y70" s="363">
        <v>-4.5</v>
      </c>
      <c r="Z70" s="363"/>
      <c r="AA70" s="363"/>
      <c r="AB70" s="363"/>
      <c r="AC70" s="363">
        <v>-4.5</v>
      </c>
      <c r="AD70" s="355"/>
      <c r="AE70" s="334"/>
    </row>
    <row r="71" spans="1:31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/>
      <c r="AC71" s="363">
        <v>0</v>
      </c>
      <c r="AD71" s="355"/>
      <c r="AE71" s="334"/>
    </row>
    <row r="72" spans="1:31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-15.324819999999999</v>
      </c>
      <c r="V72" s="393">
        <f t="shared" ref="V72:AC72" si="0">SUM(V62:V71)</f>
        <v>-54.911569999999998</v>
      </c>
      <c r="W72" s="393">
        <f t="shared" si="0"/>
        <v>0</v>
      </c>
      <c r="X72" s="393">
        <f t="shared" si="0"/>
        <v>-4.0948856799999991</v>
      </c>
      <c r="Y72" s="395">
        <f t="shared" si="0"/>
        <v>-74.33127567999999</v>
      </c>
      <c r="Z72" s="395">
        <f t="shared" si="0"/>
        <v>0</v>
      </c>
      <c r="AA72" s="395">
        <f t="shared" si="0"/>
        <v>0</v>
      </c>
      <c r="AB72" s="395">
        <f t="shared" si="0"/>
        <v>0</v>
      </c>
      <c r="AC72" s="395">
        <f t="shared" si="0"/>
        <v>-74.33127567999999</v>
      </c>
      <c r="AD72" s="394"/>
      <c r="AE72" s="334"/>
    </row>
    <row r="73" spans="1:31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8"/>
      <c r="AD73" s="350"/>
    </row>
    <row r="74" spans="1:31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8"/>
      <c r="AD74" s="350"/>
    </row>
    <row r="75" spans="1:31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-13.04191</v>
      </c>
      <c r="V75" s="351"/>
      <c r="W75" s="351"/>
      <c r="X75" s="351">
        <v>3.1955</v>
      </c>
      <c r="Y75" s="363">
        <v>-9.8464099999999988</v>
      </c>
      <c r="Z75" s="363"/>
      <c r="AA75" s="363"/>
      <c r="AB75" s="363"/>
      <c r="AC75" s="363">
        <v>-9.8464099999999988</v>
      </c>
      <c r="AD75" s="355" t="s">
        <v>134</v>
      </c>
      <c r="AE75" s="334"/>
    </row>
    <row r="76" spans="1:31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-4.03918</v>
      </c>
      <c r="V76" s="351"/>
      <c r="W76" s="351"/>
      <c r="X76" s="351"/>
      <c r="Y76" s="363">
        <v>-4.03918</v>
      </c>
      <c r="Z76" s="363"/>
      <c r="AA76" s="363"/>
      <c r="AB76" s="363"/>
      <c r="AC76" s="363">
        <v>-4.03918</v>
      </c>
      <c r="AD76" s="355"/>
      <c r="AE76" s="334"/>
    </row>
    <row r="77" spans="1:31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-3.9803099999999998</v>
      </c>
      <c r="V77" s="351"/>
      <c r="W77" s="351"/>
      <c r="X77" s="351"/>
      <c r="Y77" s="363">
        <v>-3.9803099999999998</v>
      </c>
      <c r="Z77" s="363"/>
      <c r="AA77" s="363"/>
      <c r="AB77" s="363"/>
      <c r="AC77" s="363">
        <v>-3.9803099999999998</v>
      </c>
      <c r="AD77" s="355"/>
      <c r="AE77" s="334"/>
    </row>
    <row r="78" spans="1:31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-2.62385</v>
      </c>
      <c r="V78" s="351"/>
      <c r="W78" s="351"/>
      <c r="X78" s="351">
        <v>0</v>
      </c>
      <c r="Y78" s="363">
        <v>-2.62385</v>
      </c>
      <c r="Z78" s="363"/>
      <c r="AA78" s="363"/>
      <c r="AB78" s="363"/>
      <c r="AC78" s="363">
        <v>-2.62385</v>
      </c>
      <c r="AD78" s="355"/>
      <c r="AE78" s="334"/>
    </row>
    <row r="79" spans="1:31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-23.68525</v>
      </c>
      <c r="V79" s="393">
        <f t="shared" ref="V79:AC79" si="1">SUM(V75:V78)</f>
        <v>0</v>
      </c>
      <c r="W79" s="393">
        <f t="shared" si="1"/>
        <v>0</v>
      </c>
      <c r="X79" s="393">
        <f t="shared" si="1"/>
        <v>3.1955</v>
      </c>
      <c r="Y79" s="393">
        <f t="shared" si="1"/>
        <v>-20.489750000000001</v>
      </c>
      <c r="Z79" s="393">
        <f t="shared" si="1"/>
        <v>0</v>
      </c>
      <c r="AA79" s="393">
        <f t="shared" si="1"/>
        <v>0</v>
      </c>
      <c r="AB79" s="393">
        <f t="shared" si="1"/>
        <v>0</v>
      </c>
      <c r="AC79" s="393">
        <f t="shared" si="1"/>
        <v>-20.489750000000001</v>
      </c>
      <c r="AD79" s="394"/>
      <c r="AE79" s="334"/>
    </row>
    <row r="80" spans="1:31" x14ac:dyDescent="0.2">
      <c r="A80" s="320" t="str">
        <f>IFERROR(VLOOKUP(B80,mapping_one_neo!A:B,2,FALSE),"")</f>
        <v/>
      </c>
      <c r="G80" s="336"/>
      <c r="H80" s="336"/>
      <c r="I80" s="336"/>
      <c r="J80" s="336">
        <v>0</v>
      </c>
      <c r="K80" s="336"/>
      <c r="L80" s="336"/>
      <c r="M80" s="336">
        <v>0</v>
      </c>
      <c r="N80" s="336"/>
      <c r="O80" s="336"/>
      <c r="P80" s="336"/>
      <c r="Q80" s="336"/>
      <c r="R80" s="336"/>
      <c r="S80" s="349"/>
      <c r="T80" s="346"/>
      <c r="U80" s="351"/>
      <c r="V80" s="351"/>
      <c r="W80" s="351"/>
      <c r="X80" s="351"/>
      <c r="Y80" s="358"/>
      <c r="Z80" s="358"/>
      <c r="AA80" s="358"/>
      <c r="AB80" s="358"/>
      <c r="AC80" s="358"/>
      <c r="AD80" s="350"/>
    </row>
    <row r="81" spans="1:31" x14ac:dyDescent="0.2">
      <c r="A81" s="320">
        <f>IFERROR(VLOOKUP(B81,mapping_one_neo!A:B,2,FALSE),"")</f>
        <v>0</v>
      </c>
      <c r="B81" s="352" t="s">
        <v>57</v>
      </c>
      <c r="C81" s="353"/>
      <c r="E81" s="354">
        <v>-260.00366843793921</v>
      </c>
      <c r="G81" s="354">
        <v>-14.901219999999999</v>
      </c>
      <c r="H81" s="354">
        <v>-24.423729999999995</v>
      </c>
      <c r="I81" s="354">
        <v>-23.112830000000002</v>
      </c>
      <c r="J81" s="354">
        <v>-19.212610000000002</v>
      </c>
      <c r="K81" s="354">
        <v>-16.32507</v>
      </c>
      <c r="L81" s="354">
        <v>-19.04739</v>
      </c>
      <c r="M81" s="354">
        <v>-24.760217295586671</v>
      </c>
      <c r="N81" s="354">
        <v>-21.925321462253336</v>
      </c>
      <c r="O81" s="354">
        <v>-22.242061045586674</v>
      </c>
      <c r="P81" s="354">
        <v>-24.338092295586669</v>
      </c>
      <c r="Q81" s="354">
        <v>-22.638092295586667</v>
      </c>
      <c r="R81" s="354">
        <v>-27.077034043339125</v>
      </c>
      <c r="S81" s="349"/>
      <c r="T81" s="346"/>
      <c r="U81" s="354">
        <f>U72+U79</f>
        <v>-39.010069999999999</v>
      </c>
      <c r="V81" s="354">
        <f t="shared" ref="V81:AC81" si="2">V72+V79</f>
        <v>-54.911569999999998</v>
      </c>
      <c r="W81" s="354">
        <f t="shared" si="2"/>
        <v>0</v>
      </c>
      <c r="X81" s="354">
        <f t="shared" si="2"/>
        <v>-0.89938567999999908</v>
      </c>
      <c r="Y81" s="354">
        <f t="shared" si="2"/>
        <v>-94.821025679999991</v>
      </c>
      <c r="Z81" s="354">
        <f t="shared" si="2"/>
        <v>0</v>
      </c>
      <c r="AA81" s="354">
        <f t="shared" si="2"/>
        <v>0</v>
      </c>
      <c r="AB81" s="354">
        <f t="shared" si="2"/>
        <v>0</v>
      </c>
      <c r="AC81" s="354">
        <f t="shared" si="2"/>
        <v>-94.821025679999991</v>
      </c>
      <c r="AD81" s="350"/>
    </row>
    <row r="82" spans="1:31" x14ac:dyDescent="0.2">
      <c r="A82" s="320" t="str">
        <f>IFERROR(VLOOKUP(B82,mapping_one_neo!A:B,2,FALSE),"")</f>
        <v/>
      </c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8"/>
      <c r="AD82" s="350"/>
    </row>
    <row r="83" spans="1:31" x14ac:dyDescent="0.2">
      <c r="A83" s="320">
        <f>IFERROR(VLOOKUP(B83,mapping_one_neo!A:B,2,FALSE),"")</f>
        <v>0</v>
      </c>
      <c r="B83" s="352" t="s">
        <v>58</v>
      </c>
      <c r="C83" s="353"/>
      <c r="S83" s="349"/>
      <c r="T83" s="346"/>
      <c r="U83" s="351"/>
      <c r="V83" s="351"/>
      <c r="W83" s="351"/>
      <c r="X83" s="351"/>
      <c r="Y83" s="358"/>
      <c r="Z83" s="358"/>
      <c r="AA83" s="358"/>
      <c r="AB83" s="358"/>
      <c r="AC83" s="358"/>
      <c r="AD83" s="350"/>
    </row>
    <row r="84" spans="1:31" x14ac:dyDescent="0.2">
      <c r="A84" s="320">
        <f>IFERROR(VLOOKUP(B84,mapping_one_neo!A:B,2,FALSE),"")</f>
        <v>0</v>
      </c>
      <c r="B84" s="387" t="s">
        <v>59</v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8"/>
      <c r="AD84" s="350"/>
    </row>
    <row r="85" spans="1:31" s="352" customFormat="1" x14ac:dyDescent="0.2">
      <c r="A85" s="320" t="str">
        <f>IFERROR(VLOOKUP(B85,mapping_one_neo!A:B,2,FALSE),"")</f>
        <v>New business/client presentation costs</v>
      </c>
      <c r="B85" s="388" t="s">
        <v>60</v>
      </c>
      <c r="C85" s="353" t="s">
        <v>153</v>
      </c>
      <c r="E85" s="356">
        <v>-9.3027399999999982</v>
      </c>
      <c r="G85" s="419">
        <v>-0.41615999999999997</v>
      </c>
      <c r="H85" s="419">
        <v>-0.42371000000000003</v>
      </c>
      <c r="I85" s="419">
        <v>-0.41617000000000004</v>
      </c>
      <c r="J85" s="419">
        <v>-0.45894999999999997</v>
      </c>
      <c r="K85" s="419">
        <v>-0.41615999999999986</v>
      </c>
      <c r="L85" s="419">
        <v>-0.4027400000000001</v>
      </c>
      <c r="M85" s="419">
        <v>-1.0356262499999989</v>
      </c>
      <c r="N85" s="419">
        <v>-0.5</v>
      </c>
      <c r="O85" s="419">
        <v>-1.3083059374999999</v>
      </c>
      <c r="P85" s="419">
        <v>-1.3083059374999999</v>
      </c>
      <c r="Q85" s="419">
        <v>-1.3083059374999999</v>
      </c>
      <c r="R85" s="419">
        <v>-1.3083059374999999</v>
      </c>
      <c r="S85" s="345"/>
      <c r="T85" s="361"/>
      <c r="U85" s="351"/>
      <c r="V85" s="351"/>
      <c r="W85" s="351"/>
      <c r="X85" s="351"/>
      <c r="Y85" s="363"/>
      <c r="Z85" s="363"/>
      <c r="AA85" s="363"/>
      <c r="AB85" s="363"/>
      <c r="AC85" s="363"/>
      <c r="AD85" s="355"/>
      <c r="AE85" s="334"/>
    </row>
    <row r="86" spans="1:31" s="352" customFormat="1" x14ac:dyDescent="0.2">
      <c r="A86" s="320" t="str">
        <f>IFERROR(VLOOKUP(B86,mapping_one_neo!A:B,2,FALSE),"")</f>
        <v>New business/client presentation costs</v>
      </c>
      <c r="B86" s="388" t="s">
        <v>61</v>
      </c>
      <c r="C86" s="342">
        <v>625131</v>
      </c>
      <c r="E86" s="356">
        <v>-2.3610500000000005</v>
      </c>
      <c r="G86" s="419">
        <v>-0.4224</v>
      </c>
      <c r="H86" s="419">
        <v>0</v>
      </c>
      <c r="I86" s="419">
        <v>0</v>
      </c>
      <c r="J86" s="419">
        <v>0</v>
      </c>
      <c r="K86" s="419">
        <v>0</v>
      </c>
      <c r="L86" s="419">
        <v>-0.16105000000000003</v>
      </c>
      <c r="M86" s="419">
        <v>-0.29626666666666668</v>
      </c>
      <c r="N86" s="419">
        <v>-0.29626666666666668</v>
      </c>
      <c r="O86" s="419">
        <v>-0.29626666666666668</v>
      </c>
      <c r="P86" s="419">
        <v>-0.29626666666666668</v>
      </c>
      <c r="Q86" s="419">
        <v>-0.29626666666666668</v>
      </c>
      <c r="R86" s="419">
        <v>-0.29626666666666668</v>
      </c>
      <c r="S86" s="345"/>
      <c r="T86" s="361"/>
      <c r="U86" s="351"/>
      <c r="V86" s="351"/>
      <c r="W86" s="351"/>
      <c r="X86" s="351"/>
      <c r="Y86" s="363"/>
      <c r="Z86" s="363"/>
      <c r="AA86" s="363"/>
      <c r="AB86" s="363"/>
      <c r="AC86" s="363"/>
      <c r="AD86" s="355"/>
      <c r="AE86" s="334"/>
    </row>
    <row r="87" spans="1:31" s="352" customFormat="1" x14ac:dyDescent="0.2">
      <c r="A87" s="320" t="str">
        <f>IFERROR(VLOOKUP(B87,mapping_one_neo!A:B,2,FALSE),"")</f>
        <v>New business/client presentation costs</v>
      </c>
      <c r="B87" s="388" t="s">
        <v>788</v>
      </c>
      <c r="C87" s="353" t="s">
        <v>789</v>
      </c>
      <c r="E87" s="356">
        <v>-1.7195299999999998</v>
      </c>
      <c r="G87" s="419">
        <v>0</v>
      </c>
      <c r="H87" s="419">
        <v>-0.21934999999999999</v>
      </c>
      <c r="I87" s="419">
        <v>0</v>
      </c>
      <c r="J87" s="419">
        <v>-0.21328000000000003</v>
      </c>
      <c r="K87" s="419">
        <v>-4.2419999999999958E-2</v>
      </c>
      <c r="L87" s="419">
        <v>-5.4440000000000044E-2</v>
      </c>
      <c r="M87" s="419">
        <v>-0.19833999999999999</v>
      </c>
      <c r="N87" s="419">
        <v>-0.19833999999999999</v>
      </c>
      <c r="O87" s="419">
        <v>-0.19833999999999999</v>
      </c>
      <c r="P87" s="419">
        <v>-0.19833999999999999</v>
      </c>
      <c r="Q87" s="419">
        <v>-0.19833999999999999</v>
      </c>
      <c r="R87" s="419">
        <v>-0.19833999999999999</v>
      </c>
      <c r="S87" s="345"/>
      <c r="T87" s="361"/>
      <c r="U87" s="351">
        <v>-0.28745999999999999</v>
      </c>
      <c r="V87" s="351"/>
      <c r="W87" s="351"/>
      <c r="X87" s="351"/>
      <c r="Y87" s="363">
        <v>-0.28745999999999999</v>
      </c>
      <c r="Z87" s="363"/>
      <c r="AA87" s="363"/>
      <c r="AB87" s="363"/>
      <c r="AC87" s="363">
        <v>-0.28745999999999999</v>
      </c>
      <c r="AD87" s="355"/>
      <c r="AE87" s="334"/>
    </row>
    <row r="88" spans="1:31" s="387" customFormat="1" x14ac:dyDescent="0.2">
      <c r="A88" s="320">
        <f>IFERROR(VLOOKUP(B88,mapping_one_neo!A:B,2,FALSE),"")</f>
        <v>0</v>
      </c>
      <c r="B88" s="387" t="s">
        <v>63</v>
      </c>
      <c r="C88" s="392"/>
      <c r="E88" s="393">
        <v>-13.383319999999998</v>
      </c>
      <c r="G88" s="393">
        <v>-0.83855999999999997</v>
      </c>
      <c r="H88" s="393">
        <v>-0.64305999999999996</v>
      </c>
      <c r="I88" s="393">
        <v>-0.41617000000000004</v>
      </c>
      <c r="J88" s="393">
        <v>-0.67222999999999999</v>
      </c>
      <c r="K88" s="393">
        <v>-0.45857999999999982</v>
      </c>
      <c r="L88" s="393">
        <v>-0.61823000000000017</v>
      </c>
      <c r="M88" s="393">
        <v>-1.5302329166666655</v>
      </c>
      <c r="N88" s="393">
        <v>-0.99460666666666664</v>
      </c>
      <c r="O88" s="393">
        <v>-1.8029126041666665</v>
      </c>
      <c r="P88" s="393">
        <v>-1.8029126041666665</v>
      </c>
      <c r="Q88" s="393">
        <v>-1.8029126041666665</v>
      </c>
      <c r="R88" s="393">
        <v>-1.8029126041666665</v>
      </c>
      <c r="S88" s="349"/>
      <c r="T88" s="346"/>
      <c r="U88" s="393">
        <f>SUM(U86:U87)</f>
        <v>-0.28745999999999999</v>
      </c>
      <c r="V88" s="393">
        <f t="shared" ref="V88:AC88" si="3">SUM(V86:V87)</f>
        <v>0</v>
      </c>
      <c r="W88" s="393">
        <f t="shared" si="3"/>
        <v>0</v>
      </c>
      <c r="X88" s="393">
        <f t="shared" si="3"/>
        <v>0</v>
      </c>
      <c r="Y88" s="395">
        <f t="shared" si="3"/>
        <v>-0.28745999999999999</v>
      </c>
      <c r="Z88" s="395">
        <f t="shared" si="3"/>
        <v>0</v>
      </c>
      <c r="AA88" s="395">
        <f t="shared" si="3"/>
        <v>0</v>
      </c>
      <c r="AB88" s="395">
        <f t="shared" si="3"/>
        <v>0</v>
      </c>
      <c r="AC88" s="395">
        <f t="shared" si="3"/>
        <v>-0.28745999999999999</v>
      </c>
      <c r="AD88" s="394"/>
      <c r="AE88" s="334"/>
    </row>
    <row r="89" spans="1:31" x14ac:dyDescent="0.2">
      <c r="A89" s="320" t="str">
        <f>IFERROR(VLOOKUP(B89,mapping_one_neo!A:B,2,FALSE),"")</f>
        <v/>
      </c>
      <c r="J89" s="335">
        <v>0</v>
      </c>
      <c r="M89" s="335">
        <v>0</v>
      </c>
      <c r="S89" s="349"/>
      <c r="T89" s="346"/>
      <c r="U89" s="351"/>
      <c r="V89" s="351"/>
      <c r="W89" s="351"/>
      <c r="X89" s="351"/>
      <c r="Y89" s="358"/>
      <c r="Z89" s="358"/>
      <c r="AA89" s="358"/>
      <c r="AB89" s="358"/>
      <c r="AC89" s="358"/>
      <c r="AD89" s="350"/>
    </row>
    <row r="90" spans="1:31" x14ac:dyDescent="0.2">
      <c r="A90" s="320">
        <f>IFERROR(VLOOKUP(B90,mapping_one_neo!A:B,2,FALSE),"")</f>
        <v>0</v>
      </c>
      <c r="B90" s="387" t="s">
        <v>64</v>
      </c>
      <c r="J90" s="335">
        <v>0</v>
      </c>
      <c r="M90" s="335">
        <v>0</v>
      </c>
      <c r="S90" s="349"/>
      <c r="T90" s="346"/>
      <c r="U90" s="351"/>
      <c r="V90" s="351"/>
      <c r="W90" s="351"/>
      <c r="X90" s="351"/>
      <c r="Y90" s="358">
        <v>0</v>
      </c>
      <c r="Z90" s="358"/>
      <c r="AA90" s="358"/>
      <c r="AB90" s="358"/>
      <c r="AC90" s="358"/>
      <c r="AD90" s="350"/>
    </row>
    <row r="91" spans="1:31" s="352" customFormat="1" x14ac:dyDescent="0.2">
      <c r="A91" s="320" t="str">
        <f>IFERROR(VLOOKUP(B91,mapping_one_neo!A:B,2,FALSE),"")</f>
        <v>Advert/promotion</v>
      </c>
      <c r="B91" s="388" t="s">
        <v>65</v>
      </c>
      <c r="C91" s="396" t="s">
        <v>790</v>
      </c>
      <c r="E91" s="356">
        <v>-23.226660000000003</v>
      </c>
      <c r="G91" s="419">
        <v>-1</v>
      </c>
      <c r="H91" s="419">
        <v>-1</v>
      </c>
      <c r="I91" s="419">
        <v>-3.4225000000000003</v>
      </c>
      <c r="J91" s="419">
        <v>-1.3041599999999995</v>
      </c>
      <c r="K91" s="419">
        <v>-1</v>
      </c>
      <c r="L91" s="419">
        <v>-3.5000000000000009</v>
      </c>
      <c r="M91" s="419">
        <v>-5</v>
      </c>
      <c r="N91" s="419">
        <v>-2.5</v>
      </c>
      <c r="O91" s="419">
        <v>-1</v>
      </c>
      <c r="P91" s="419">
        <v>-1</v>
      </c>
      <c r="Q91" s="419">
        <v>-1</v>
      </c>
      <c r="R91" s="419">
        <v>-1.5</v>
      </c>
      <c r="S91" s="345"/>
      <c r="T91" s="361"/>
      <c r="U91" s="351">
        <v>-0.48812</v>
      </c>
      <c r="V91" s="351"/>
      <c r="W91" s="351"/>
      <c r="X91" s="351">
        <v>0</v>
      </c>
      <c r="Y91" s="363">
        <v>-0.48812</v>
      </c>
      <c r="Z91" s="363"/>
      <c r="AA91" s="363"/>
      <c r="AB91" s="363"/>
      <c r="AC91" s="363">
        <v>-0.48812</v>
      </c>
      <c r="AD91" s="355"/>
    </row>
    <row r="92" spans="1:31" s="352" customFormat="1" x14ac:dyDescent="0.2">
      <c r="A92" s="320" t="str">
        <f>IFERROR(VLOOKUP(B92,mapping_one_neo!A:B,2,FALSE),"")</f>
        <v>Advert/promotion</v>
      </c>
      <c r="B92" s="388" t="s">
        <v>66</v>
      </c>
      <c r="C92" s="353">
        <v>623400</v>
      </c>
      <c r="E92" s="356">
        <v>-3</v>
      </c>
      <c r="G92" s="419">
        <v>0</v>
      </c>
      <c r="H92" s="419">
        <v>0</v>
      </c>
      <c r="I92" s="419">
        <v>0</v>
      </c>
      <c r="J92" s="419">
        <v>0</v>
      </c>
      <c r="K92" s="419">
        <v>0</v>
      </c>
      <c r="L92" s="419">
        <v>0</v>
      </c>
      <c r="M92" s="419">
        <v>0</v>
      </c>
      <c r="N92" s="419">
        <v>0</v>
      </c>
      <c r="O92" s="419"/>
      <c r="P92" s="419"/>
      <c r="Q92" s="419"/>
      <c r="R92" s="419">
        <v>-3</v>
      </c>
      <c r="S92" s="345"/>
      <c r="T92" s="361"/>
      <c r="U92" s="351">
        <v>-4.9799999999999997E-2</v>
      </c>
      <c r="V92" s="362"/>
      <c r="W92" s="362"/>
      <c r="X92" s="362">
        <v>0.95184000000000002</v>
      </c>
      <c r="Y92" s="363">
        <v>0.90204000000000006</v>
      </c>
      <c r="Z92" s="363"/>
      <c r="AA92" s="363"/>
      <c r="AB92" s="363"/>
      <c r="AC92" s="363">
        <v>0.90204000000000006</v>
      </c>
      <c r="AD92" s="355"/>
      <c r="AE92" s="334"/>
    </row>
    <row r="93" spans="1:31" s="387" customFormat="1" x14ac:dyDescent="0.2">
      <c r="A93" s="320">
        <f>IFERROR(VLOOKUP(B93,mapping_one_neo!A:B,2,FALSE),"")</f>
        <v>0</v>
      </c>
      <c r="B93" s="387" t="s">
        <v>67</v>
      </c>
      <c r="C93" s="392"/>
      <c r="E93" s="393">
        <v>-26.226660000000003</v>
      </c>
      <c r="G93" s="393">
        <v>-1</v>
      </c>
      <c r="H93" s="393">
        <v>-1</v>
      </c>
      <c r="I93" s="393">
        <v>-3.4225000000000003</v>
      </c>
      <c r="J93" s="393">
        <v>-1.3041599999999995</v>
      </c>
      <c r="K93" s="393">
        <v>-1</v>
      </c>
      <c r="L93" s="393">
        <v>-3.5000000000000009</v>
      </c>
      <c r="M93" s="393">
        <v>-5</v>
      </c>
      <c r="N93" s="393">
        <v>-2.5</v>
      </c>
      <c r="O93" s="393">
        <v>-1</v>
      </c>
      <c r="P93" s="393">
        <v>-1</v>
      </c>
      <c r="Q93" s="393">
        <v>-1</v>
      </c>
      <c r="R93" s="393">
        <v>-4.5</v>
      </c>
      <c r="S93" s="349"/>
      <c r="T93" s="346"/>
      <c r="U93" s="393">
        <f>SUM(U91:U92)</f>
        <v>-0.53791999999999995</v>
      </c>
      <c r="V93" s="393">
        <f t="shared" ref="V93:AC93" si="4">SUM(V91:V92)</f>
        <v>0</v>
      </c>
      <c r="W93" s="393">
        <f t="shared" si="4"/>
        <v>0</v>
      </c>
      <c r="X93" s="393">
        <f t="shared" si="4"/>
        <v>0.95184000000000002</v>
      </c>
      <c r="Y93" s="393">
        <f t="shared" si="4"/>
        <v>0.41392000000000007</v>
      </c>
      <c r="Z93" s="393">
        <f t="shared" si="4"/>
        <v>0</v>
      </c>
      <c r="AA93" s="393">
        <f t="shared" si="4"/>
        <v>0</v>
      </c>
      <c r="AB93" s="393">
        <f t="shared" si="4"/>
        <v>0</v>
      </c>
      <c r="AC93" s="393">
        <f t="shared" si="4"/>
        <v>0.41392000000000007</v>
      </c>
      <c r="AD93" s="394"/>
      <c r="AE93" s="334"/>
    </row>
    <row r="94" spans="1:31" x14ac:dyDescent="0.2">
      <c r="A94" s="320" t="str">
        <f>IFERROR(VLOOKUP(B94,mapping_one_neo!A:B,2,FALSE),"")</f>
        <v/>
      </c>
      <c r="J94" s="335">
        <v>0</v>
      </c>
      <c r="M94" s="335">
        <v>0</v>
      </c>
      <c r="S94" s="349"/>
      <c r="T94" s="346"/>
      <c r="U94" s="351"/>
      <c r="V94" s="351"/>
      <c r="W94" s="351"/>
      <c r="X94" s="351"/>
      <c r="Y94" s="358"/>
      <c r="Z94" s="358"/>
      <c r="AA94" s="358"/>
      <c r="AB94" s="358"/>
      <c r="AC94" s="358"/>
      <c r="AD94" s="350"/>
    </row>
    <row r="95" spans="1:31" x14ac:dyDescent="0.2">
      <c r="A95" s="320">
        <f>IFERROR(VLOOKUP(B95,mapping_one_neo!A:B,2,FALSE),"")</f>
        <v>0</v>
      </c>
      <c r="B95" s="387" t="s">
        <v>68</v>
      </c>
      <c r="J95" s="335">
        <v>0</v>
      </c>
      <c r="M95" s="335">
        <v>0</v>
      </c>
      <c r="S95" s="349"/>
      <c r="T95" s="346"/>
      <c r="U95" s="351"/>
      <c r="V95" s="351"/>
      <c r="W95" s="351"/>
      <c r="X95" s="351"/>
      <c r="Y95" s="358"/>
      <c r="Z95" s="358"/>
      <c r="AA95" s="358"/>
      <c r="AB95" s="358"/>
      <c r="AC95" s="358"/>
      <c r="AD95" s="350"/>
    </row>
    <row r="96" spans="1:31" s="352" customFormat="1" x14ac:dyDescent="0.2">
      <c r="A96" s="320" t="str">
        <f>IFERROR(VLOOKUP(B96,mapping_one_neo!A:B,2,FALSE),"")</f>
        <v>Research costs</v>
      </c>
      <c r="B96" s="388" t="s">
        <v>753</v>
      </c>
      <c r="C96" s="353" t="s">
        <v>154</v>
      </c>
      <c r="E96" s="356">
        <v>-236.99979333333306</v>
      </c>
      <c r="G96" s="419">
        <v>-17.916666666666668</v>
      </c>
      <c r="H96" s="419">
        <v>-18.916780000000003</v>
      </c>
      <c r="I96" s="419">
        <v>-19.405189999999997</v>
      </c>
      <c r="J96" s="419">
        <v>-20.084492592592561</v>
      </c>
      <c r="K96" s="419">
        <v>-20.084492592592554</v>
      </c>
      <c r="L96" s="419">
        <v>-16.85770481481488</v>
      </c>
      <c r="M96" s="419">
        <v>-23.311487037036901</v>
      </c>
      <c r="N96" s="419">
        <v>-20.084595925925889</v>
      </c>
      <c r="O96" s="419">
        <v>-20.084595925925889</v>
      </c>
      <c r="P96" s="419">
        <v>-20.084595925925889</v>
      </c>
      <c r="Q96" s="419">
        <v>-20.084595925925889</v>
      </c>
      <c r="R96" s="419">
        <v>-20.084595925925889</v>
      </c>
      <c r="S96" s="345"/>
      <c r="T96" s="361"/>
      <c r="U96" s="397">
        <v>-64.257069999999999</v>
      </c>
      <c r="V96" s="362"/>
      <c r="W96" s="362"/>
      <c r="X96" s="351">
        <v>-27.742999999999999</v>
      </c>
      <c r="Y96" s="363">
        <v>-92.000069999999994</v>
      </c>
      <c r="Z96" s="363"/>
      <c r="AA96" s="363"/>
      <c r="AB96" s="363"/>
      <c r="AC96" s="363">
        <v>-92.000069999999994</v>
      </c>
      <c r="AD96" s="355"/>
      <c r="AE96" s="334"/>
    </row>
    <row r="97" spans="1:31" s="352" customFormat="1" x14ac:dyDescent="0.2">
      <c r="A97" s="320" t="str">
        <f>IFERROR(VLOOKUP(B97,mapping_one_neo!A:B,2,FALSE),"")</f>
        <v>Other commercial costs</v>
      </c>
      <c r="B97" s="388" t="s">
        <v>754</v>
      </c>
      <c r="C97" s="353">
        <v>607178</v>
      </c>
      <c r="E97" s="356">
        <v>-57</v>
      </c>
      <c r="G97" s="419">
        <v>-4.75</v>
      </c>
      <c r="H97" s="419">
        <v>-4.75</v>
      </c>
      <c r="I97" s="419">
        <v>-4.75</v>
      </c>
      <c r="J97" s="419">
        <v>-4.75</v>
      </c>
      <c r="K97" s="419">
        <v>-4.75</v>
      </c>
      <c r="L97" s="419">
        <v>-4.0189999999999984</v>
      </c>
      <c r="M97" s="419">
        <v>-4.75</v>
      </c>
      <c r="N97" s="419">
        <v>-4.75</v>
      </c>
      <c r="O97" s="419">
        <v>-4.75</v>
      </c>
      <c r="P97" s="419">
        <v>-4.75</v>
      </c>
      <c r="Q97" s="419">
        <v>-4.75</v>
      </c>
      <c r="R97" s="419">
        <v>-5.4809999999999999</v>
      </c>
      <c r="S97" s="345" t="s">
        <v>134</v>
      </c>
      <c r="T97" s="361"/>
      <c r="U97" s="397">
        <v>-20.667999999999999</v>
      </c>
      <c r="V97" s="362"/>
      <c r="W97" s="362"/>
      <c r="X97" s="362"/>
      <c r="Y97" s="363">
        <v>-20.667999999999999</v>
      </c>
      <c r="Z97" s="363"/>
      <c r="AA97" s="363"/>
      <c r="AB97" s="363"/>
      <c r="AC97" s="363">
        <v>-20.667999999999999</v>
      </c>
      <c r="AD97" s="355"/>
      <c r="AE97" s="334"/>
    </row>
    <row r="98" spans="1:31" s="387" customFormat="1" x14ac:dyDescent="0.2">
      <c r="A98" s="320">
        <f>IFERROR(VLOOKUP(B98,mapping_one_neo!A:B,2,FALSE),"")</f>
        <v>0</v>
      </c>
      <c r="B98" s="387" t="s">
        <v>69</v>
      </c>
      <c r="C98" s="392"/>
      <c r="E98" s="393">
        <v>-293.99979333333306</v>
      </c>
      <c r="G98" s="393">
        <v>-22.666666666666668</v>
      </c>
      <c r="H98" s="393">
        <v>-23.666780000000003</v>
      </c>
      <c r="I98" s="393">
        <v>-24.155189999999997</v>
      </c>
      <c r="J98" s="393">
        <v>-24.834492592592561</v>
      </c>
      <c r="K98" s="393">
        <v>-24.834492592592554</v>
      </c>
      <c r="L98" s="393">
        <v>-20.876704814814879</v>
      </c>
      <c r="M98" s="393">
        <v>-28.061487037036901</v>
      </c>
      <c r="N98" s="393">
        <v>-24.834595925925889</v>
      </c>
      <c r="O98" s="393">
        <v>-24.834595925925889</v>
      </c>
      <c r="P98" s="393">
        <v>-24.834595925925889</v>
      </c>
      <c r="Q98" s="393">
        <v>-24.834595925925889</v>
      </c>
      <c r="R98" s="393">
        <v>-25.565595925925891</v>
      </c>
      <c r="S98" s="349"/>
      <c r="T98" s="346"/>
      <c r="U98" s="393">
        <f>SUM(U96:U97)</f>
        <v>-84.925070000000005</v>
      </c>
      <c r="V98" s="393">
        <f t="shared" ref="V98:AC98" si="5">SUM(V96:V97)</f>
        <v>0</v>
      </c>
      <c r="W98" s="393">
        <f t="shared" si="5"/>
        <v>0</v>
      </c>
      <c r="X98" s="393">
        <f t="shared" si="5"/>
        <v>-27.742999999999999</v>
      </c>
      <c r="Y98" s="393">
        <f t="shared" si="5"/>
        <v>-112.66807</v>
      </c>
      <c r="Z98" s="393">
        <f t="shared" si="5"/>
        <v>0</v>
      </c>
      <c r="AA98" s="393">
        <f t="shared" si="5"/>
        <v>0</v>
      </c>
      <c r="AB98" s="393">
        <f t="shared" si="5"/>
        <v>0</v>
      </c>
      <c r="AC98" s="393">
        <f t="shared" si="5"/>
        <v>-112.66807</v>
      </c>
      <c r="AD98" s="394"/>
      <c r="AE98" s="334"/>
    </row>
    <row r="99" spans="1:31" x14ac:dyDescent="0.2">
      <c r="A99" s="320" t="str">
        <f>IFERROR(VLOOKUP(B99,mapping_one_neo!A:B,2,FALSE),"")</f>
        <v/>
      </c>
      <c r="G99" s="336"/>
      <c r="H99" s="336"/>
      <c r="I99" s="336"/>
      <c r="J99" s="336">
        <v>0</v>
      </c>
      <c r="K99" s="336"/>
      <c r="L99" s="336"/>
      <c r="M99" s="336">
        <v>0</v>
      </c>
      <c r="N99" s="336"/>
      <c r="O99" s="336"/>
      <c r="P99" s="336"/>
      <c r="Q99" s="336"/>
      <c r="R99" s="336"/>
      <c r="S99" s="349"/>
      <c r="T99" s="346"/>
      <c r="U99" s="351"/>
      <c r="V99" s="351"/>
      <c r="W99" s="351"/>
      <c r="X99" s="351"/>
      <c r="Y99" s="358"/>
      <c r="Z99" s="358"/>
      <c r="AA99" s="358"/>
      <c r="AB99" s="358"/>
      <c r="AC99" s="358"/>
      <c r="AD99" s="350"/>
    </row>
    <row r="100" spans="1:31" x14ac:dyDescent="0.2">
      <c r="A100" s="320">
        <f>IFERROR(VLOOKUP(B100,mapping_one_neo!A:B,2,FALSE),"")</f>
        <v>0</v>
      </c>
      <c r="B100" s="334" t="s">
        <v>70</v>
      </c>
      <c r="G100" s="336"/>
      <c r="H100" s="336"/>
      <c r="I100" s="336"/>
      <c r="J100" s="336"/>
      <c r="K100" s="336"/>
      <c r="L100" s="336"/>
      <c r="M100" s="336"/>
      <c r="N100" s="336"/>
      <c r="O100" s="336"/>
      <c r="P100" s="336"/>
      <c r="Q100" s="336"/>
      <c r="R100" s="336"/>
      <c r="S100" s="349"/>
      <c r="T100" s="346"/>
      <c r="U100" s="351"/>
      <c r="V100" s="351"/>
      <c r="W100" s="351"/>
      <c r="X100" s="351"/>
      <c r="Y100" s="358"/>
      <c r="Z100" s="358"/>
      <c r="AA100" s="358"/>
      <c r="AB100" s="358"/>
      <c r="AC100" s="363">
        <v>0</v>
      </c>
      <c r="AD100" s="350"/>
    </row>
    <row r="101" spans="1:31" x14ac:dyDescent="0.2">
      <c r="A101" s="320" t="str">
        <f>IFERROR(VLOOKUP(B101,mapping_one_neo!A:B,2,FALSE),"")</f>
        <v/>
      </c>
      <c r="G101" s="336"/>
      <c r="H101" s="336"/>
      <c r="I101" s="336"/>
      <c r="J101" s="336"/>
      <c r="K101" s="336"/>
      <c r="L101" s="336"/>
      <c r="M101" s="336"/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8"/>
      <c r="AD101" s="350"/>
    </row>
    <row r="102" spans="1:31" x14ac:dyDescent="0.2">
      <c r="A102" s="320">
        <f>IFERROR(VLOOKUP(B102,mapping_one_neo!A:B,2,FALSE),"")</f>
        <v>0</v>
      </c>
      <c r="B102" s="352" t="s">
        <v>71</v>
      </c>
      <c r="C102" s="353"/>
      <c r="E102" s="354">
        <v>-333.60977333333301</v>
      </c>
      <c r="G102" s="354">
        <v>-24.505226666666669</v>
      </c>
      <c r="H102" s="354">
        <v>-25.309840000000001</v>
      </c>
      <c r="I102" s="354">
        <v>-27.993859999999998</v>
      </c>
      <c r="J102" s="354">
        <v>-26.810882592592559</v>
      </c>
      <c r="K102" s="354">
        <v>-26.293072592592555</v>
      </c>
      <c r="L102" s="354">
        <v>-24.994934814814879</v>
      </c>
      <c r="M102" s="354">
        <v>-34.59171995370356</v>
      </c>
      <c r="N102" s="354">
        <v>-28.329202592592555</v>
      </c>
      <c r="O102" s="354">
        <v>-27.637508530092557</v>
      </c>
      <c r="P102" s="354">
        <v>-27.637508530092557</v>
      </c>
      <c r="Q102" s="354">
        <v>-27.637508530092557</v>
      </c>
      <c r="R102" s="354">
        <v>-31.868508530092559</v>
      </c>
      <c r="S102" s="349"/>
      <c r="T102" s="346"/>
      <c r="U102" s="354">
        <f>U93+U98+U88</f>
        <v>-85.750450000000001</v>
      </c>
      <c r="V102" s="354">
        <f t="shared" ref="V102:AB102" si="6">V93+V98</f>
        <v>0</v>
      </c>
      <c r="W102" s="354">
        <f t="shared" si="6"/>
        <v>0</v>
      </c>
      <c r="X102" s="354">
        <f>X93+X98+X88</f>
        <v>-26.791159999999998</v>
      </c>
      <c r="Y102" s="354">
        <f>Y93+Y98+Y88</f>
        <v>-112.54160999999999</v>
      </c>
      <c r="Z102" s="354">
        <f t="shared" si="6"/>
        <v>0</v>
      </c>
      <c r="AA102" s="354">
        <f t="shared" si="6"/>
        <v>0</v>
      </c>
      <c r="AB102" s="354">
        <f t="shared" si="6"/>
        <v>0</v>
      </c>
      <c r="AC102" s="354">
        <f>AC93+AC98+AC88</f>
        <v>-112.54160999999999</v>
      </c>
      <c r="AD102" s="350"/>
    </row>
    <row r="103" spans="1:31" x14ac:dyDescent="0.2">
      <c r="A103" s="320" t="str">
        <f>IFERROR(VLOOKUP(B103,mapping_one_neo!A:B,2,FALSE),"")</f>
        <v/>
      </c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8"/>
      <c r="AD103" s="350"/>
    </row>
    <row r="104" spans="1:31" x14ac:dyDescent="0.2">
      <c r="A104" s="320">
        <f>IFERROR(VLOOKUP(B104,mapping_one_neo!A:B,2,FALSE),"")</f>
        <v>0</v>
      </c>
      <c r="B104" s="352" t="s">
        <v>72</v>
      </c>
      <c r="S104" s="349"/>
      <c r="T104" s="346"/>
      <c r="U104" s="351"/>
      <c r="V104" s="351"/>
      <c r="W104" s="351"/>
      <c r="X104" s="351"/>
      <c r="Y104" s="358"/>
      <c r="Z104" s="358"/>
      <c r="AA104" s="358"/>
      <c r="AB104" s="358"/>
      <c r="AC104" s="358"/>
      <c r="AD104" s="350"/>
    </row>
    <row r="105" spans="1:31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8"/>
      <c r="AD105" s="350"/>
    </row>
    <row r="106" spans="1:31" x14ac:dyDescent="0.2">
      <c r="A106" s="320">
        <f>IFERROR(VLOOKUP(B106,mapping_one_neo!A:B,2,FALSE),"")</f>
        <v>0</v>
      </c>
      <c r="B106" s="387" t="s">
        <v>73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8"/>
      <c r="AD106" s="350"/>
    </row>
    <row r="107" spans="1:31" s="352" customFormat="1" x14ac:dyDescent="0.2">
      <c r="A107" s="320" t="str">
        <f>IFERROR(VLOOKUP(B107,mapping_one_neo!A:B,2,FALSE),"")</f>
        <v>Stationery/art &amp; materials AU=0.INP</v>
      </c>
      <c r="B107" s="388" t="s">
        <v>74</v>
      </c>
      <c r="C107" s="342" t="s">
        <v>791</v>
      </c>
      <c r="E107" s="356">
        <v>-2.4363999999999999</v>
      </c>
      <c r="G107" s="419">
        <v>-5.7919999999999999E-2</v>
      </c>
      <c r="H107" s="419">
        <v>-7.1679999999999994E-2</v>
      </c>
      <c r="I107" s="419">
        <v>-6.5049999999999997E-2</v>
      </c>
      <c r="J107" s="419">
        <v>-0.6</v>
      </c>
      <c r="K107" s="419">
        <v>-5.8430000000000093E-2</v>
      </c>
      <c r="L107" s="419">
        <v>-8.3319999999999839E-2</v>
      </c>
      <c r="M107" s="419">
        <v>-0.5</v>
      </c>
      <c r="N107" s="419">
        <v>0</v>
      </c>
      <c r="O107" s="419">
        <v>-0.5</v>
      </c>
      <c r="P107" s="419">
        <v>0</v>
      </c>
      <c r="Q107" s="419">
        <v>0</v>
      </c>
      <c r="R107" s="419">
        <v>-0.5</v>
      </c>
      <c r="S107" s="345"/>
      <c r="T107" s="361"/>
      <c r="U107" s="351">
        <v>-0.10389999999999999</v>
      </c>
      <c r="V107" s="351"/>
      <c r="W107" s="351"/>
      <c r="X107" s="351">
        <v>0</v>
      </c>
      <c r="Y107" s="363">
        <v>-0.10389999999999999</v>
      </c>
      <c r="Z107" s="363"/>
      <c r="AA107" s="363"/>
      <c r="AB107" s="363"/>
      <c r="AC107" s="363">
        <v>-0.10389999999999999</v>
      </c>
      <c r="AD107" s="355"/>
      <c r="AE107" s="334"/>
    </row>
    <row r="108" spans="1:31" s="352" customFormat="1" x14ac:dyDescent="0.2">
      <c r="A108" s="320" t="str">
        <f>IFERROR(VLOOKUP(B108,mapping_one_neo!A:B,2,FALSE),"")</f>
        <v>Stationery/art &amp; materials AU=0.INP</v>
      </c>
      <c r="B108" s="388" t="s">
        <v>75</v>
      </c>
      <c r="C108" s="342" t="s">
        <v>155</v>
      </c>
      <c r="E108" s="356">
        <v>-1.5</v>
      </c>
      <c r="G108" s="419">
        <v>-0.125</v>
      </c>
      <c r="H108" s="419">
        <v>-0.125</v>
      </c>
      <c r="I108" s="419">
        <v>-0.125</v>
      </c>
      <c r="J108" s="419">
        <v>-0.125</v>
      </c>
      <c r="K108" s="419">
        <v>-0.125</v>
      </c>
      <c r="L108" s="419">
        <v>-0.125</v>
      </c>
      <c r="M108" s="419">
        <v>-0.125</v>
      </c>
      <c r="N108" s="419">
        <v>-0.125</v>
      </c>
      <c r="O108" s="419">
        <v>-0.125</v>
      </c>
      <c r="P108" s="419">
        <v>-0.125</v>
      </c>
      <c r="Q108" s="419">
        <v>-0.125</v>
      </c>
      <c r="R108" s="419">
        <v>-0.125</v>
      </c>
      <c r="S108" s="389" t="s">
        <v>134</v>
      </c>
      <c r="T108" s="361"/>
      <c r="U108" s="351">
        <v>-0.66800000000000004</v>
      </c>
      <c r="V108" s="351"/>
      <c r="W108" s="351"/>
      <c r="X108" s="351">
        <v>0</v>
      </c>
      <c r="Y108" s="363">
        <v>-0.66800000000000004</v>
      </c>
      <c r="Z108" s="363"/>
      <c r="AA108" s="363"/>
      <c r="AB108" s="363"/>
      <c r="AC108" s="363">
        <v>-0.66800000000000004</v>
      </c>
      <c r="AD108" s="355"/>
      <c r="AE108" s="334"/>
    </row>
    <row r="109" spans="1:31" s="352" customFormat="1" x14ac:dyDescent="0.2">
      <c r="A109" s="320" t="str">
        <f>IFERROR(VLOOKUP(B109,mapping_one_neo!A:B,2,FALSE),"")</f>
        <v>Stationery/art &amp; materials AU=0.INP</v>
      </c>
      <c r="B109" s="388" t="s">
        <v>76</v>
      </c>
      <c r="C109" s="342" t="s">
        <v>156</v>
      </c>
      <c r="E109" s="356">
        <v>-1.0475000000000001</v>
      </c>
      <c r="G109" s="419">
        <v>0</v>
      </c>
      <c r="H109" s="419">
        <v>0</v>
      </c>
      <c r="I109" s="419">
        <v>0</v>
      </c>
      <c r="J109" s="419">
        <v>0</v>
      </c>
      <c r="K109" s="419">
        <v>0</v>
      </c>
      <c r="L109" s="419">
        <v>-4.7500000000000001E-2</v>
      </c>
      <c r="M109" s="419">
        <v>-1</v>
      </c>
      <c r="N109" s="419">
        <v>0</v>
      </c>
      <c r="O109" s="419">
        <v>0</v>
      </c>
      <c r="P109" s="419">
        <v>0</v>
      </c>
      <c r="Q109" s="419">
        <v>0</v>
      </c>
      <c r="R109" s="419">
        <v>0</v>
      </c>
      <c r="S109" s="345"/>
      <c r="T109" s="361"/>
      <c r="U109" s="351">
        <v>0</v>
      </c>
      <c r="V109" s="351"/>
      <c r="W109" s="351"/>
      <c r="X109" s="351">
        <v>1.173</v>
      </c>
      <c r="Y109" s="363">
        <v>1.173</v>
      </c>
      <c r="Z109" s="363"/>
      <c r="AA109" s="363"/>
      <c r="AB109" s="363"/>
      <c r="AC109" s="363">
        <v>1.173</v>
      </c>
      <c r="AD109" s="355"/>
      <c r="AE109" s="334"/>
    </row>
    <row r="110" spans="1:31" s="387" customFormat="1" x14ac:dyDescent="0.2">
      <c r="A110" s="320">
        <f>IFERROR(VLOOKUP(B110,mapping_one_neo!A:B,2,FALSE),"")</f>
        <v>0</v>
      </c>
      <c r="B110" s="387" t="s">
        <v>77</v>
      </c>
      <c r="C110" s="392"/>
      <c r="E110" s="393">
        <v>-4.9839000000000002</v>
      </c>
      <c r="G110" s="393">
        <v>-0.18292</v>
      </c>
      <c r="H110" s="393">
        <v>-0.19667999999999999</v>
      </c>
      <c r="I110" s="393">
        <v>-0.19005</v>
      </c>
      <c r="J110" s="393">
        <v>-0.72499999999999998</v>
      </c>
      <c r="K110" s="393">
        <v>-0.18343000000000009</v>
      </c>
      <c r="L110" s="393">
        <v>-0.25581999999999983</v>
      </c>
      <c r="M110" s="393">
        <v>-1.625</v>
      </c>
      <c r="N110" s="393">
        <v>-0.125</v>
      </c>
      <c r="O110" s="393">
        <v>-0.625</v>
      </c>
      <c r="P110" s="393">
        <v>-0.125</v>
      </c>
      <c r="Q110" s="393">
        <v>-0.125</v>
      </c>
      <c r="R110" s="393">
        <v>-0.625</v>
      </c>
      <c r="S110" s="349"/>
      <c r="T110" s="346"/>
      <c r="U110" s="393">
        <f>SUM(U107:U109)</f>
        <v>-0.77190000000000003</v>
      </c>
      <c r="V110" s="393">
        <f t="shared" ref="V110:AC110" si="7">SUM(V107:V109)</f>
        <v>0</v>
      </c>
      <c r="W110" s="393">
        <f t="shared" si="7"/>
        <v>0</v>
      </c>
      <c r="X110" s="393">
        <f t="shared" si="7"/>
        <v>1.173</v>
      </c>
      <c r="Y110" s="393">
        <f t="shared" si="7"/>
        <v>0.40110000000000001</v>
      </c>
      <c r="Z110" s="393">
        <f t="shared" si="7"/>
        <v>0</v>
      </c>
      <c r="AA110" s="393">
        <f t="shared" si="7"/>
        <v>0</v>
      </c>
      <c r="AB110" s="393">
        <f t="shared" si="7"/>
        <v>0</v>
      </c>
      <c r="AC110" s="393">
        <f t="shared" si="7"/>
        <v>0.40110000000000001</v>
      </c>
      <c r="AD110" s="394"/>
      <c r="AE110" s="334"/>
    </row>
    <row r="111" spans="1:31" s="387" customFormat="1" x14ac:dyDescent="0.2">
      <c r="A111" s="320" t="str">
        <f>IFERROR(VLOOKUP(B111,mapping_one_neo!A:B,2,FALSE),"")</f>
        <v/>
      </c>
      <c r="C111" s="392"/>
      <c r="E111" s="397"/>
      <c r="G111" s="397"/>
      <c r="H111" s="397"/>
      <c r="I111" s="397"/>
      <c r="J111" s="397"/>
      <c r="K111" s="397"/>
      <c r="L111" s="397"/>
      <c r="M111" s="397"/>
      <c r="N111" s="397"/>
      <c r="O111" s="397"/>
      <c r="P111" s="397"/>
      <c r="Q111" s="397"/>
      <c r="R111" s="397"/>
      <c r="S111" s="349"/>
      <c r="T111" s="346"/>
      <c r="U111" s="397"/>
      <c r="V111" s="397"/>
      <c r="W111" s="397"/>
      <c r="X111" s="397"/>
      <c r="Y111" s="399"/>
      <c r="Z111" s="399"/>
      <c r="AA111" s="399"/>
      <c r="AB111" s="399"/>
      <c r="AC111" s="399"/>
      <c r="AD111" s="394"/>
      <c r="AE111" s="334"/>
    </row>
    <row r="112" spans="1:31" x14ac:dyDescent="0.2">
      <c r="A112" s="320">
        <f>IFERROR(VLOOKUP(B112,mapping_one_neo!A:B,2,FALSE),"")</f>
        <v>0</v>
      </c>
      <c r="B112" s="387" t="s">
        <v>78</v>
      </c>
      <c r="G112" s="398"/>
      <c r="H112" s="398"/>
      <c r="I112" s="398"/>
      <c r="J112" s="398"/>
      <c r="K112" s="398"/>
      <c r="L112" s="398"/>
      <c r="M112" s="398"/>
      <c r="N112" s="398"/>
      <c r="O112" s="398"/>
      <c r="P112" s="398"/>
      <c r="Q112" s="398"/>
      <c r="R112" s="398"/>
      <c r="S112" s="349"/>
      <c r="T112" s="346"/>
      <c r="U112" s="351"/>
      <c r="V112" s="351"/>
      <c r="W112" s="351"/>
      <c r="X112" s="351"/>
      <c r="Y112" s="358"/>
      <c r="Z112" s="358"/>
      <c r="AA112" s="358"/>
      <c r="AB112" s="358"/>
      <c r="AC112" s="358"/>
      <c r="AD112" s="350"/>
    </row>
    <row r="113" spans="1:31" s="352" customFormat="1" x14ac:dyDescent="0.2">
      <c r="A113" s="320" t="str">
        <f>IFERROR(VLOOKUP(B113,mapping_one_neo!A:B,2,FALSE),"")</f>
        <v>Postage &amp; courier</v>
      </c>
      <c r="B113" s="388" t="s">
        <v>79</v>
      </c>
      <c r="C113" s="353">
        <v>624210</v>
      </c>
      <c r="E113" s="356">
        <v>-0.78059999999999996</v>
      </c>
      <c r="G113" s="419">
        <v>0</v>
      </c>
      <c r="H113" s="419">
        <v>-2.58E-2</v>
      </c>
      <c r="I113" s="419">
        <v>0</v>
      </c>
      <c r="J113" s="419">
        <v>0</v>
      </c>
      <c r="K113" s="419">
        <v>-0.15480000000000002</v>
      </c>
      <c r="L113" s="419">
        <v>0</v>
      </c>
      <c r="M113" s="419">
        <v>-0.2</v>
      </c>
      <c r="N113" s="419">
        <v>0</v>
      </c>
      <c r="O113" s="419">
        <v>-0.2</v>
      </c>
      <c r="P113" s="419">
        <v>0</v>
      </c>
      <c r="Q113" s="419">
        <v>0</v>
      </c>
      <c r="R113" s="419">
        <v>-0.2</v>
      </c>
      <c r="S113" s="345"/>
      <c r="T113" s="361"/>
      <c r="U113" s="351">
        <v>-6.4339999999999994E-2</v>
      </c>
      <c r="V113" s="351"/>
      <c r="W113" s="351"/>
      <c r="X113" s="351">
        <v>0.43825999999999998</v>
      </c>
      <c r="Y113" s="363">
        <v>0.37391999999999997</v>
      </c>
      <c r="Z113" s="363"/>
      <c r="AA113" s="363"/>
      <c r="AB113" s="363"/>
      <c r="AC113" s="363">
        <v>0.37391999999999997</v>
      </c>
      <c r="AD113" s="355"/>
      <c r="AE113" s="334"/>
    </row>
    <row r="114" spans="1:31" s="352" customFormat="1" x14ac:dyDescent="0.2">
      <c r="A114" s="320" t="str">
        <f>IFERROR(VLOOKUP(B114,mapping_one_neo!A:B,2,FALSE),"")</f>
        <v>Postage &amp; courier</v>
      </c>
      <c r="B114" s="388" t="s">
        <v>80</v>
      </c>
      <c r="C114" s="353">
        <v>626000</v>
      </c>
      <c r="E114" s="356">
        <v>-1.748021999999998</v>
      </c>
      <c r="G114" s="419">
        <v>-8.0930000000000002E-2</v>
      </c>
      <c r="H114" s="419">
        <v>-0.25918000000000002</v>
      </c>
      <c r="I114" s="419">
        <v>-0.13499999999999995</v>
      </c>
      <c r="J114" s="419">
        <v>-0.16423000000000004</v>
      </c>
      <c r="K114" s="419">
        <v>-6.9999999999999951E-2</v>
      </c>
      <c r="L114" s="419">
        <v>-9.4189999999999996E-2</v>
      </c>
      <c r="M114" s="419">
        <v>-0.15741533333333299</v>
      </c>
      <c r="N114" s="419">
        <v>-0.15741533333333299</v>
      </c>
      <c r="O114" s="419">
        <v>-0.15741533333333299</v>
      </c>
      <c r="P114" s="419">
        <v>-0.15741533333333299</v>
      </c>
      <c r="Q114" s="419">
        <v>-0.15741533333333299</v>
      </c>
      <c r="R114" s="419">
        <v>-0.15741533333333299</v>
      </c>
      <c r="S114" s="345"/>
      <c r="T114" s="361"/>
      <c r="U114" s="351">
        <v>-0.51032999999999995</v>
      </c>
      <c r="V114" s="351"/>
      <c r="W114" s="351"/>
      <c r="X114" s="351">
        <v>0.5</v>
      </c>
      <c r="Y114" s="363">
        <v>-1.032999999999995E-2</v>
      </c>
      <c r="Z114" s="363"/>
      <c r="AA114" s="363"/>
      <c r="AB114" s="363"/>
      <c r="AC114" s="363">
        <v>-1.032999999999995E-2</v>
      </c>
      <c r="AD114" s="355"/>
      <c r="AE114" s="334"/>
    </row>
    <row r="115" spans="1:31" s="387" customFormat="1" x14ac:dyDescent="0.2">
      <c r="A115" s="320">
        <f>IFERROR(VLOOKUP(B115,mapping_one_neo!A:B,2,FALSE),"")</f>
        <v>0</v>
      </c>
      <c r="B115" s="387" t="s">
        <v>81</v>
      </c>
      <c r="C115" s="392"/>
      <c r="E115" s="393">
        <v>-2.5286219999999977</v>
      </c>
      <c r="G115" s="393">
        <v>-8.0930000000000002E-2</v>
      </c>
      <c r="H115" s="393">
        <v>-0.28498000000000001</v>
      </c>
      <c r="I115" s="393">
        <v>-0.13499999999999995</v>
      </c>
      <c r="J115" s="393">
        <v>-0.16423000000000004</v>
      </c>
      <c r="K115" s="393">
        <v>-0.22479999999999997</v>
      </c>
      <c r="L115" s="393">
        <v>-9.4189999999999996E-2</v>
      </c>
      <c r="M115" s="393">
        <v>-0.35741533333333297</v>
      </c>
      <c r="N115" s="393">
        <v>-0.15741533333333299</v>
      </c>
      <c r="O115" s="393">
        <v>-0.35741533333333297</v>
      </c>
      <c r="P115" s="393">
        <v>-0.15741533333333299</v>
      </c>
      <c r="Q115" s="393">
        <v>-0.15741533333333299</v>
      </c>
      <c r="R115" s="393">
        <v>-0.35741533333333297</v>
      </c>
      <c r="S115" s="345"/>
      <c r="T115" s="346"/>
      <c r="U115" s="424">
        <f>SUM(U113:U114)</f>
        <v>-0.5746699999999999</v>
      </c>
      <c r="V115" s="424">
        <f t="shared" ref="V115:AB115" si="8">SUM(V114)</f>
        <v>0</v>
      </c>
      <c r="W115" s="424">
        <f t="shared" si="8"/>
        <v>0</v>
      </c>
      <c r="X115" s="424">
        <f>SUM(X113:X114)</f>
        <v>0.93825999999999998</v>
      </c>
      <c r="Y115" s="424">
        <f>SUM(Y113:Y114)</f>
        <v>0.36359000000000002</v>
      </c>
      <c r="Z115" s="424">
        <f t="shared" si="8"/>
        <v>0</v>
      </c>
      <c r="AA115" s="424">
        <f t="shared" si="8"/>
        <v>0</v>
      </c>
      <c r="AB115" s="424">
        <f t="shared" si="8"/>
        <v>0</v>
      </c>
      <c r="AC115" s="424">
        <f>SUM(AC113:AC114)</f>
        <v>0.36359000000000002</v>
      </c>
      <c r="AD115" s="394"/>
      <c r="AE115" s="334"/>
    </row>
    <row r="116" spans="1:31" s="387" customFormat="1" x14ac:dyDescent="0.2">
      <c r="A116" s="320" t="str">
        <f>IFERROR(VLOOKUP(B116,mapping_one_neo!A:B,2,FALSE),"")</f>
        <v/>
      </c>
      <c r="C116" s="392"/>
      <c r="E116" s="397"/>
      <c r="G116" s="397"/>
      <c r="H116" s="397"/>
      <c r="I116" s="397"/>
      <c r="J116" s="397"/>
      <c r="K116" s="397"/>
      <c r="L116" s="397"/>
      <c r="M116" s="397"/>
      <c r="N116" s="397"/>
      <c r="O116" s="397"/>
      <c r="P116" s="397"/>
      <c r="Q116" s="397"/>
      <c r="R116" s="397"/>
      <c r="S116" s="349"/>
      <c r="T116" s="346"/>
      <c r="U116" s="397"/>
      <c r="V116" s="397"/>
      <c r="W116" s="397"/>
      <c r="X116" s="397"/>
      <c r="Y116" s="399"/>
      <c r="Z116" s="399"/>
      <c r="AA116" s="399"/>
      <c r="AB116" s="399"/>
      <c r="AC116" s="399"/>
      <c r="AD116" s="394"/>
      <c r="AE116" s="334"/>
    </row>
    <row r="117" spans="1:31" s="387" customFormat="1" x14ac:dyDescent="0.2">
      <c r="A117" s="320" t="str">
        <f>IFERROR(VLOOKUP(B117,mapping_one_neo!A:B,2,FALSE),"")</f>
        <v/>
      </c>
      <c r="B117" s="387" t="s">
        <v>777</v>
      </c>
      <c r="C117" s="392"/>
      <c r="E117" s="397"/>
      <c r="G117" s="397"/>
      <c r="H117" s="397"/>
      <c r="I117" s="397"/>
      <c r="J117" s="397"/>
      <c r="K117" s="397"/>
      <c r="L117" s="397"/>
      <c r="M117" s="397"/>
      <c r="N117" s="397"/>
      <c r="O117" s="397"/>
      <c r="P117" s="397"/>
      <c r="Q117" s="397"/>
      <c r="R117" s="397"/>
      <c r="S117" s="349"/>
      <c r="T117" s="346"/>
      <c r="U117" s="397"/>
      <c r="V117" s="397"/>
      <c r="W117" s="397"/>
      <c r="X117" s="397"/>
      <c r="Y117" s="399"/>
      <c r="Z117" s="399"/>
      <c r="AA117" s="399"/>
      <c r="AB117" s="399"/>
      <c r="AC117" s="399"/>
      <c r="AD117" s="394"/>
      <c r="AE117" s="334"/>
    </row>
    <row r="118" spans="1:31" s="387" customFormat="1" x14ac:dyDescent="0.2">
      <c r="A118" s="320" t="str">
        <f>IFERROR(VLOOKUP(B118,mapping_one_neo!A:B,2,FALSE),"")</f>
        <v>Other office costs AU=0.INP</v>
      </c>
      <c r="B118" s="352" t="s">
        <v>767</v>
      </c>
      <c r="C118" s="353">
        <v>615600</v>
      </c>
      <c r="E118" s="356">
        <v>-1.98</v>
      </c>
      <c r="G118" s="397"/>
      <c r="H118" s="397"/>
      <c r="I118" s="397"/>
      <c r="J118" s="397"/>
      <c r="K118" s="397">
        <v>-1.98</v>
      </c>
      <c r="L118" s="397"/>
      <c r="M118" s="397"/>
      <c r="N118" s="397"/>
      <c r="O118" s="397"/>
      <c r="P118" s="397"/>
      <c r="Q118" s="397"/>
      <c r="R118" s="397"/>
      <c r="S118" s="349"/>
      <c r="T118" s="346"/>
      <c r="U118" s="351">
        <v>-1.173</v>
      </c>
      <c r="V118" s="397"/>
      <c r="W118" s="397"/>
      <c r="X118" s="397"/>
      <c r="Y118" s="363">
        <v>-1.173</v>
      </c>
      <c r="Z118" s="399"/>
      <c r="AA118" s="399"/>
      <c r="AB118" s="399"/>
      <c r="AC118" s="363">
        <v>-1.173</v>
      </c>
      <c r="AD118" s="394"/>
      <c r="AE118" s="334"/>
    </row>
    <row r="119" spans="1:31" s="387" customFormat="1" x14ac:dyDescent="0.2">
      <c r="A119" s="320" t="str">
        <f>IFERROR(VLOOKUP(B119,mapping_one_neo!A:B,2,FALSE),"")</f>
        <v>Other office costs AU=0.INP</v>
      </c>
      <c r="B119" s="352" t="s">
        <v>778</v>
      </c>
      <c r="C119" s="353">
        <v>624211</v>
      </c>
      <c r="E119" s="356">
        <v>-0.98099999999999998</v>
      </c>
      <c r="G119" s="397"/>
      <c r="H119" s="397"/>
      <c r="I119" s="397"/>
      <c r="J119" s="397"/>
      <c r="K119" s="397">
        <v>-0.98099999999999998</v>
      </c>
      <c r="L119" s="397"/>
      <c r="M119" s="397"/>
      <c r="N119" s="397"/>
      <c r="O119" s="397"/>
      <c r="P119" s="397"/>
      <c r="Q119" s="397"/>
      <c r="R119" s="397"/>
      <c r="S119" s="349"/>
      <c r="T119" s="346"/>
      <c r="U119" s="351">
        <v>0</v>
      </c>
      <c r="V119" s="397"/>
      <c r="W119" s="397"/>
      <c r="X119" s="397"/>
      <c r="Y119" s="363">
        <v>0</v>
      </c>
      <c r="Z119" s="399"/>
      <c r="AA119" s="399"/>
      <c r="AB119" s="399"/>
      <c r="AC119" s="363">
        <v>0</v>
      </c>
      <c r="AD119" s="394"/>
      <c r="AE119" s="334"/>
    </row>
    <row r="120" spans="1:31" s="387" customFormat="1" x14ac:dyDescent="0.2">
      <c r="A120" s="320" t="str">
        <f>IFERROR(VLOOKUP(B120,mapping_one_neo!A:B,2,FALSE),"")</f>
        <v/>
      </c>
      <c r="B120" s="387" t="s">
        <v>779</v>
      </c>
      <c r="C120" s="392"/>
      <c r="E120" s="393">
        <v>-2.9609999999999999</v>
      </c>
      <c r="G120" s="393">
        <v>0</v>
      </c>
      <c r="H120" s="393">
        <v>0</v>
      </c>
      <c r="I120" s="393">
        <v>0</v>
      </c>
      <c r="J120" s="393">
        <v>0</v>
      </c>
      <c r="K120" s="393">
        <v>-2.9609999999999999</v>
      </c>
      <c r="L120" s="393">
        <v>0</v>
      </c>
      <c r="M120" s="393">
        <v>0</v>
      </c>
      <c r="N120" s="393">
        <v>0</v>
      </c>
      <c r="O120" s="393">
        <v>0</v>
      </c>
      <c r="P120" s="393">
        <v>0</v>
      </c>
      <c r="Q120" s="393">
        <v>0</v>
      </c>
      <c r="R120" s="393">
        <v>0</v>
      </c>
      <c r="S120" s="349"/>
      <c r="T120" s="346"/>
      <c r="U120" s="393">
        <f>SUM(U118:U119)</f>
        <v>-1.173</v>
      </c>
      <c r="V120" s="393">
        <f t="shared" ref="V120:AC120" si="9">SUM(V118:V119)</f>
        <v>0</v>
      </c>
      <c r="W120" s="393">
        <f t="shared" si="9"/>
        <v>0</v>
      </c>
      <c r="X120" s="393">
        <f t="shared" si="9"/>
        <v>0</v>
      </c>
      <c r="Y120" s="393">
        <f t="shared" si="9"/>
        <v>-1.173</v>
      </c>
      <c r="Z120" s="393">
        <f t="shared" si="9"/>
        <v>0</v>
      </c>
      <c r="AA120" s="393">
        <f t="shared" si="9"/>
        <v>0</v>
      </c>
      <c r="AB120" s="393">
        <f t="shared" si="9"/>
        <v>0</v>
      </c>
      <c r="AC120" s="393">
        <f t="shared" si="9"/>
        <v>-1.173</v>
      </c>
      <c r="AD120" s="394"/>
      <c r="AE120" s="334"/>
    </row>
    <row r="121" spans="1:31" s="387" customFormat="1" x14ac:dyDescent="0.2">
      <c r="A121" s="320" t="str">
        <f>IFERROR(VLOOKUP(B121,mapping_one_neo!A:B,2,FALSE),"")</f>
        <v/>
      </c>
      <c r="C121" s="392"/>
      <c r="E121" s="397"/>
      <c r="G121" s="397"/>
      <c r="H121" s="397"/>
      <c r="I121" s="397"/>
      <c r="J121" s="397"/>
      <c r="K121" s="397"/>
      <c r="L121" s="397"/>
      <c r="M121" s="397"/>
      <c r="N121" s="397"/>
      <c r="O121" s="397"/>
      <c r="P121" s="397"/>
      <c r="Q121" s="397"/>
      <c r="R121" s="397"/>
      <c r="S121" s="349"/>
      <c r="T121" s="346"/>
      <c r="U121" s="397"/>
      <c r="V121" s="397"/>
      <c r="W121" s="397"/>
      <c r="X121" s="397"/>
      <c r="Y121" s="399"/>
      <c r="Z121" s="399"/>
      <c r="AA121" s="399"/>
      <c r="AB121" s="399"/>
      <c r="AC121" s="399"/>
      <c r="AD121" s="394"/>
      <c r="AE121" s="334"/>
    </row>
    <row r="122" spans="1:31" x14ac:dyDescent="0.2">
      <c r="A122" s="320">
        <f>IFERROR(VLOOKUP(B122,mapping_one_neo!A:B,2,FALSE),"")</f>
        <v>0</v>
      </c>
      <c r="B122" s="387" t="s">
        <v>82</v>
      </c>
      <c r="J122" s="335">
        <v>0</v>
      </c>
      <c r="M122" s="335">
        <v>0</v>
      </c>
      <c r="S122" s="349"/>
      <c r="T122" s="346"/>
      <c r="U122" s="351"/>
      <c r="V122" s="351"/>
      <c r="W122" s="351"/>
      <c r="X122" s="351"/>
      <c r="Y122" s="358"/>
      <c r="Z122" s="358"/>
      <c r="AA122" s="358"/>
      <c r="AB122" s="358"/>
      <c r="AC122" s="358"/>
      <c r="AD122" s="350"/>
    </row>
    <row r="123" spans="1:31" s="352" customFormat="1" x14ac:dyDescent="0.2">
      <c r="A123" s="320" t="str">
        <f>IFERROR(VLOOKUP(B123,mapping_one_neo!A:B,2,FALSE),"")</f>
        <v>Other office costs AU=0.INP</v>
      </c>
      <c r="B123" s="388" t="s">
        <v>83</v>
      </c>
      <c r="C123" s="353">
        <v>618100</v>
      </c>
      <c r="E123" s="356">
        <v>-0.57225000000000004</v>
      </c>
      <c r="G123" s="419">
        <v>-4.9939999999999998E-2</v>
      </c>
      <c r="H123" s="419">
        <v>-4.6719999999999998E-2</v>
      </c>
      <c r="I123" s="419">
        <v>-4.9940000000000012E-2</v>
      </c>
      <c r="J123" s="419">
        <v>-4.8320000000000002E-2</v>
      </c>
      <c r="K123" s="419">
        <v>-4.9939999999999984E-2</v>
      </c>
      <c r="L123" s="419">
        <v>-2.7389999999999998E-2</v>
      </c>
      <c r="M123" s="419">
        <v>-0.05</v>
      </c>
      <c r="N123" s="419">
        <v>-0.05</v>
      </c>
      <c r="O123" s="419">
        <v>-0.05</v>
      </c>
      <c r="P123" s="419">
        <v>-0.05</v>
      </c>
      <c r="Q123" s="419">
        <v>-0.05</v>
      </c>
      <c r="R123" s="419">
        <v>-0.05</v>
      </c>
      <c r="S123" s="345"/>
      <c r="T123" s="361"/>
      <c r="U123" s="351">
        <v>-0.93367999999999995</v>
      </c>
      <c r="V123" s="351"/>
      <c r="W123" s="351"/>
      <c r="X123" s="351"/>
      <c r="Y123" s="363">
        <v>-0.93367999999999995</v>
      </c>
      <c r="Z123" s="363"/>
      <c r="AA123" s="363"/>
      <c r="AB123" s="363"/>
      <c r="AC123" s="363">
        <v>-0.93367999999999995</v>
      </c>
      <c r="AD123" s="355"/>
      <c r="AE123" s="334" t="s">
        <v>134</v>
      </c>
    </row>
    <row r="124" spans="1:31" s="352" customFormat="1" x14ac:dyDescent="0.2">
      <c r="A124" s="320" t="str">
        <f>IFERROR(VLOOKUP(B124,mapping_one_neo!A:B,2,FALSE),"")</f>
        <v>Other office costs AU=0.INP</v>
      </c>
      <c r="B124" s="388" t="s">
        <v>84</v>
      </c>
      <c r="C124" s="353">
        <v>635110</v>
      </c>
      <c r="E124" s="356">
        <v>-99.999999999999986</v>
      </c>
      <c r="G124" s="419">
        <v>-8.3333333333333339</v>
      </c>
      <c r="H124" s="419">
        <v>-8.3333333333333339</v>
      </c>
      <c r="I124" s="419">
        <v>-8.3333333333333321</v>
      </c>
      <c r="J124" s="419">
        <v>-8.3333333333333357</v>
      </c>
      <c r="K124" s="419">
        <v>-8.3333333333333357</v>
      </c>
      <c r="L124" s="419">
        <v>-8.3333333333333357</v>
      </c>
      <c r="M124" s="419">
        <v>-8.3333333333333339</v>
      </c>
      <c r="N124" s="419">
        <v>-8.3333333333333339</v>
      </c>
      <c r="O124" s="419">
        <v>-8.3333333333333339</v>
      </c>
      <c r="P124" s="419">
        <v>-8.3333333333333339</v>
      </c>
      <c r="Q124" s="419">
        <v>-8.3333333333333339</v>
      </c>
      <c r="R124" s="419">
        <v>-8.3333333333333339</v>
      </c>
      <c r="S124" s="345"/>
      <c r="T124" s="361"/>
      <c r="U124" s="351">
        <v>-36.667999999999999</v>
      </c>
      <c r="V124" s="351">
        <v>0</v>
      </c>
      <c r="W124" s="351"/>
      <c r="X124" s="351"/>
      <c r="Y124" s="363">
        <v>-36.667999999999999</v>
      </c>
      <c r="Z124" s="363"/>
      <c r="AA124" s="363"/>
      <c r="AB124" s="363"/>
      <c r="AC124" s="363">
        <v>-36.667999999999999</v>
      </c>
      <c r="AD124" s="355"/>
      <c r="AE124" s="334"/>
    </row>
    <row r="125" spans="1:31" s="352" customFormat="1" ht="14.25" customHeight="1" x14ac:dyDescent="0.2">
      <c r="A125" s="320" t="str">
        <f>IFERROR(VLOOKUP(B125,mapping_one_neo!A:B,2,FALSE),"")</f>
        <v>Other office costs AU=0.INP</v>
      </c>
      <c r="B125" s="388" t="s">
        <v>85</v>
      </c>
      <c r="C125" s="353">
        <v>635140</v>
      </c>
      <c r="E125" s="356">
        <v>-7.9999999999999991</v>
      </c>
      <c r="G125" s="419">
        <v>-0.57099999999999995</v>
      </c>
      <c r="H125" s="419">
        <v>-0.57099999999999995</v>
      </c>
      <c r="I125" s="419">
        <v>-0.57099999999999995</v>
      </c>
      <c r="J125" s="419">
        <v>-0.57099999999999995</v>
      </c>
      <c r="K125" s="419">
        <v>-0.57099999999999973</v>
      </c>
      <c r="L125" s="419">
        <v>-0.57100000000000017</v>
      </c>
      <c r="M125" s="419">
        <v>-0.57099999999999995</v>
      </c>
      <c r="N125" s="419">
        <v>-0.57099999999999995</v>
      </c>
      <c r="O125" s="419">
        <v>-0.57099999999999995</v>
      </c>
      <c r="P125" s="419">
        <v>-0.57099999999999995</v>
      </c>
      <c r="Q125" s="419">
        <v>-0.57099999999999995</v>
      </c>
      <c r="R125" s="419">
        <v>-1.7190000000000001</v>
      </c>
      <c r="S125" s="345"/>
      <c r="T125" s="361"/>
      <c r="U125" s="425">
        <v>-1.768</v>
      </c>
      <c r="V125" s="351"/>
      <c r="W125" s="351"/>
      <c r="X125" s="351"/>
      <c r="Y125" s="363">
        <v>-1.768</v>
      </c>
      <c r="Z125" s="363"/>
      <c r="AA125" s="363"/>
      <c r="AB125" s="363"/>
      <c r="AC125" s="363">
        <v>-1.768</v>
      </c>
      <c r="AD125" s="355"/>
      <c r="AE125" s="334"/>
    </row>
    <row r="126" spans="1:31" s="352" customFormat="1" ht="14.25" customHeight="1" x14ac:dyDescent="0.2">
      <c r="A126" s="320" t="str">
        <f>IFERROR(VLOOKUP(B126,mapping_one_neo!A:B,2,FALSE),"")</f>
        <v>Other office costs AU=0.INP</v>
      </c>
      <c r="B126" s="388" t="s">
        <v>712</v>
      </c>
      <c r="C126" s="353">
        <v>635800</v>
      </c>
      <c r="E126" s="356">
        <v>-1.76</v>
      </c>
      <c r="G126" s="419">
        <v>0</v>
      </c>
      <c r="H126" s="419">
        <v>0</v>
      </c>
      <c r="I126" s="419">
        <v>0</v>
      </c>
      <c r="J126" s="419">
        <v>0</v>
      </c>
      <c r="K126" s="419">
        <v>0</v>
      </c>
      <c r="L126" s="419">
        <v>0</v>
      </c>
      <c r="M126" s="419"/>
      <c r="N126" s="419">
        <v>-1.76</v>
      </c>
      <c r="O126" s="419"/>
      <c r="P126" s="419"/>
      <c r="Q126" s="419"/>
      <c r="R126" s="419"/>
      <c r="S126" s="345"/>
      <c r="T126" s="361"/>
      <c r="U126" s="425">
        <v>-0.26900000000000002</v>
      </c>
      <c r="V126" s="351"/>
      <c r="W126" s="351"/>
      <c r="X126" s="351"/>
      <c r="Y126" s="363">
        <v>-0.26900000000000002</v>
      </c>
      <c r="Z126" s="363"/>
      <c r="AA126" s="363"/>
      <c r="AB126" s="363"/>
      <c r="AC126" s="363">
        <v>-0.26900000000000002</v>
      </c>
      <c r="AD126" s="355"/>
      <c r="AE126" s="334"/>
    </row>
    <row r="127" spans="1:31" s="352" customFormat="1" x14ac:dyDescent="0.2">
      <c r="A127" s="320" t="str">
        <f>IFERROR(VLOOKUP(B127,mapping_one_neo!A:B,2,FALSE),"")</f>
        <v>Other office costs AU=0.INP</v>
      </c>
      <c r="B127" s="388" t="s">
        <v>86</v>
      </c>
      <c r="C127" s="353">
        <v>637100</v>
      </c>
      <c r="E127" s="356">
        <v>0</v>
      </c>
      <c r="G127" s="419">
        <v>-0.8</v>
      </c>
      <c r="H127" s="419">
        <v>0.8</v>
      </c>
      <c r="I127" s="419">
        <v>0</v>
      </c>
      <c r="J127" s="419">
        <v>0</v>
      </c>
      <c r="K127" s="419">
        <v>0</v>
      </c>
      <c r="L127" s="419">
        <v>0</v>
      </c>
      <c r="M127" s="419">
        <v>0</v>
      </c>
      <c r="N127" s="419">
        <v>0</v>
      </c>
      <c r="O127" s="419">
        <v>0</v>
      </c>
      <c r="P127" s="419">
        <v>0</v>
      </c>
      <c r="Q127" s="419">
        <v>0</v>
      </c>
      <c r="R127" s="419">
        <v>0</v>
      </c>
      <c r="S127" s="345"/>
      <c r="T127" s="361"/>
      <c r="U127" s="351">
        <v>0</v>
      </c>
      <c r="V127" s="351"/>
      <c r="W127" s="351"/>
      <c r="X127" s="351"/>
      <c r="Y127" s="363">
        <v>0</v>
      </c>
      <c r="Z127" s="363"/>
      <c r="AA127" s="363"/>
      <c r="AB127" s="363"/>
      <c r="AC127" s="363">
        <v>0</v>
      </c>
      <c r="AD127" s="355"/>
      <c r="AE127" s="334"/>
    </row>
    <row r="128" spans="1:31" s="352" customFormat="1" x14ac:dyDescent="0.2">
      <c r="A128" s="320" t="str">
        <f>IFERROR(VLOOKUP(B128,mapping_one_neo!A:B,2,FALSE),"")</f>
        <v>Other office costs AU=0.INP</v>
      </c>
      <c r="B128" s="388" t="s">
        <v>87</v>
      </c>
      <c r="C128" s="353">
        <v>658201</v>
      </c>
      <c r="E128" s="356">
        <v>-4.9999999999999982</v>
      </c>
      <c r="G128" s="419">
        <v>-0.21203709999999998</v>
      </c>
      <c r="H128" s="419">
        <v>-0.28796289999999991</v>
      </c>
      <c r="I128" s="419">
        <v>-0.25000000000000011</v>
      </c>
      <c r="J128" s="419">
        <v>-0.24999999999999978</v>
      </c>
      <c r="K128" s="419">
        <v>-0.25000000000000022</v>
      </c>
      <c r="L128" s="419">
        <v>-0.25</v>
      </c>
      <c r="M128" s="419">
        <v>-0.58333333333333326</v>
      </c>
      <c r="N128" s="419">
        <v>-0.58333333333333326</v>
      </c>
      <c r="O128" s="419">
        <v>-0.58333333333333326</v>
      </c>
      <c r="P128" s="419">
        <v>-0.58333333333333326</v>
      </c>
      <c r="Q128" s="419">
        <v>-0.58333333333333326</v>
      </c>
      <c r="R128" s="419">
        <v>-0.58333333333333326</v>
      </c>
      <c r="S128" s="345"/>
      <c r="T128" s="361"/>
      <c r="U128" s="351">
        <v>-1.3319999999999999</v>
      </c>
      <c r="V128" s="351"/>
      <c r="W128" s="351"/>
      <c r="X128" s="351"/>
      <c r="Y128" s="363">
        <v>-1.3319999999999999</v>
      </c>
      <c r="Z128" s="363"/>
      <c r="AA128" s="363"/>
      <c r="AB128" s="363"/>
      <c r="AC128" s="363">
        <v>-1.3319999999999999</v>
      </c>
      <c r="AD128" s="355"/>
      <c r="AE128" s="334"/>
    </row>
    <row r="129" spans="1:31" s="352" customFormat="1" x14ac:dyDescent="0.2">
      <c r="A129" s="320" t="str">
        <f>IFERROR(VLOOKUP(B129,mapping_one_neo!A:B,2,FALSE),"")</f>
        <v>Other office costs AU=0.INP</v>
      </c>
      <c r="B129" s="388" t="s">
        <v>88</v>
      </c>
      <c r="C129" s="353">
        <v>658000</v>
      </c>
      <c r="E129" s="356">
        <v>-1.7569999999999999E-2</v>
      </c>
      <c r="G129" s="419">
        <v>-3.13E-3</v>
      </c>
      <c r="H129" s="419">
        <v>-2.8000000000000004E-3</v>
      </c>
      <c r="I129" s="419">
        <v>-3.0199999999999992E-3</v>
      </c>
      <c r="J129" s="419">
        <v>-6.5999999999999913E-4</v>
      </c>
      <c r="K129" s="419">
        <v>-3.9600000000000017E-3</v>
      </c>
      <c r="L129" s="419">
        <v>-3.9999999999999983E-3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-4.7600000000000003E-3</v>
      </c>
      <c r="V129" s="351"/>
      <c r="W129" s="351"/>
      <c r="X129" s="351"/>
      <c r="Y129" s="363">
        <v>-4.7600000000000003E-3</v>
      </c>
      <c r="Z129" s="363"/>
      <c r="AA129" s="363"/>
      <c r="AB129" s="363"/>
      <c r="AC129" s="363">
        <v>-4.7600000000000003E-3</v>
      </c>
      <c r="AD129" s="355"/>
      <c r="AE129" s="334"/>
    </row>
    <row r="130" spans="1:31" s="352" customFormat="1" x14ac:dyDescent="0.2">
      <c r="A130" s="320" t="str">
        <f>IFERROR(VLOOKUP(B130,mapping_one_neo!A:B,2,FALSE),"")</f>
        <v>Other office costs AU=0.INP</v>
      </c>
      <c r="B130" s="388" t="s">
        <v>89</v>
      </c>
      <c r="C130" s="353">
        <v>681124</v>
      </c>
      <c r="E130" s="356">
        <v>-2.8426974999999994</v>
      </c>
      <c r="G130" s="419">
        <v>-0.20135</v>
      </c>
      <c r="H130" s="419">
        <v>-0.18837000000000001</v>
      </c>
      <c r="I130" s="419">
        <v>-0.20132999999999995</v>
      </c>
      <c r="J130" s="419">
        <v>-0.19486000000000003</v>
      </c>
      <c r="K130" s="419">
        <v>-0.20135999999999998</v>
      </c>
      <c r="L130" s="419">
        <v>-0.19485999999999992</v>
      </c>
      <c r="M130" s="419">
        <v>-0.27676125000000001</v>
      </c>
      <c r="N130" s="419">
        <v>-0.27676125000000001</v>
      </c>
      <c r="O130" s="419">
        <v>-0.27676125000000001</v>
      </c>
      <c r="P130" s="419">
        <v>-0.27676125000000001</v>
      </c>
      <c r="Q130" s="419">
        <v>-0.27676125000000001</v>
      </c>
      <c r="R130" s="419">
        <v>-0.27676125000000001</v>
      </c>
      <c r="S130" s="345"/>
      <c r="T130" s="361"/>
      <c r="U130" s="351">
        <v>-1.1218399999999999</v>
      </c>
      <c r="V130" s="351"/>
      <c r="W130" s="351"/>
      <c r="X130" s="351"/>
      <c r="Y130" s="363">
        <v>-1.1218399999999999</v>
      </c>
      <c r="Z130" s="363"/>
      <c r="AA130" s="363"/>
      <c r="AB130" s="363"/>
      <c r="AC130" s="363">
        <v>-1.1218399999999999</v>
      </c>
      <c r="AD130" s="355"/>
      <c r="AE130" s="334"/>
    </row>
    <row r="131" spans="1:31" s="352" customFormat="1" x14ac:dyDescent="0.2">
      <c r="A131" s="320" t="str">
        <f>IFERROR(VLOOKUP(B131,mapping_one_neo!A:B,2,FALSE),"")</f>
        <v>Other office costs AU=0.INP</v>
      </c>
      <c r="B131" s="388" t="s">
        <v>90</v>
      </c>
      <c r="C131" s="353"/>
      <c r="E131" s="356">
        <v>0</v>
      </c>
      <c r="G131" s="419">
        <v>0</v>
      </c>
      <c r="H131" s="419">
        <v>0</v>
      </c>
      <c r="I131" s="419">
        <v>0</v>
      </c>
      <c r="J131" s="419">
        <v>0</v>
      </c>
      <c r="K131" s="419">
        <v>0</v>
      </c>
      <c r="L131" s="419">
        <v>0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/>
      <c r="V131" s="351"/>
      <c r="W131" s="351"/>
      <c r="X131" s="351"/>
      <c r="Y131" s="363">
        <v>0</v>
      </c>
      <c r="Z131" s="363"/>
      <c r="AA131" s="363"/>
      <c r="AB131" s="363"/>
      <c r="AC131" s="363">
        <v>0</v>
      </c>
      <c r="AD131" s="355"/>
      <c r="AE131" s="334"/>
    </row>
    <row r="132" spans="1:31" s="352" customFormat="1" x14ac:dyDescent="0.2">
      <c r="A132" s="320" t="str">
        <f>IFERROR(VLOOKUP(B132,mapping_one_neo!A:B,2,FALSE),"")</f>
        <v>Staff Welfare</v>
      </c>
      <c r="B132" s="388" t="s">
        <v>53</v>
      </c>
      <c r="C132" s="353"/>
      <c r="E132" s="356">
        <v>0</v>
      </c>
      <c r="G132" s="419">
        <v>0</v>
      </c>
      <c r="H132" s="419">
        <v>0</v>
      </c>
      <c r="I132" s="419">
        <v>0</v>
      </c>
      <c r="J132" s="419">
        <v>0</v>
      </c>
      <c r="K132" s="419">
        <v>0</v>
      </c>
      <c r="L132" s="419">
        <v>0</v>
      </c>
      <c r="M132" s="419"/>
      <c r="N132" s="419"/>
      <c r="O132" s="419"/>
      <c r="P132" s="419"/>
      <c r="Q132" s="419"/>
      <c r="R132" s="419"/>
      <c r="S132" s="345"/>
      <c r="T132" s="361"/>
      <c r="U132" s="351"/>
      <c r="V132" s="351"/>
      <c r="W132" s="351"/>
      <c r="X132" s="351"/>
      <c r="Y132" s="363">
        <v>0</v>
      </c>
      <c r="Z132" s="363"/>
      <c r="AA132" s="363"/>
      <c r="AB132" s="363"/>
      <c r="AC132" s="363">
        <v>0</v>
      </c>
      <c r="AD132" s="355"/>
      <c r="AE132" s="334"/>
    </row>
    <row r="133" spans="1:31" s="387" customFormat="1" x14ac:dyDescent="0.2">
      <c r="A133" s="320">
        <f>IFERROR(VLOOKUP(B133,mapping_one_neo!A:B,2,FALSE),"")</f>
        <v>0</v>
      </c>
      <c r="B133" s="387" t="s">
        <v>91</v>
      </c>
      <c r="C133" s="392"/>
      <c r="E133" s="393">
        <v>-118.19251749999999</v>
      </c>
      <c r="G133" s="393">
        <v>-10.170790433333334</v>
      </c>
      <c r="H133" s="393">
        <v>-8.630186233333335</v>
      </c>
      <c r="I133" s="393">
        <v>-9.4086233333333311</v>
      </c>
      <c r="J133" s="393">
        <v>-9.3981733333333359</v>
      </c>
      <c r="K133" s="393">
        <v>-9.4095933333333335</v>
      </c>
      <c r="L133" s="393">
        <v>-9.3805833333333357</v>
      </c>
      <c r="M133" s="393">
        <v>-9.8144279166666681</v>
      </c>
      <c r="N133" s="393">
        <v>-11.574427916666668</v>
      </c>
      <c r="O133" s="393">
        <v>-9.8144279166666681</v>
      </c>
      <c r="P133" s="393">
        <v>-9.8144279166666681</v>
      </c>
      <c r="Q133" s="393">
        <v>-9.8144279166666681</v>
      </c>
      <c r="R133" s="393">
        <v>-10.962427916666668</v>
      </c>
      <c r="S133" s="349"/>
      <c r="T133" s="346"/>
      <c r="U133" s="393">
        <f>SUM(U123:U132)</f>
        <v>-42.097279999999998</v>
      </c>
      <c r="V133" s="393">
        <f t="shared" ref="V133:AC133" si="10">SUM(V123:V132)</f>
        <v>0</v>
      </c>
      <c r="W133" s="393">
        <f t="shared" si="10"/>
        <v>0</v>
      </c>
      <c r="X133" s="393">
        <f t="shared" si="10"/>
        <v>0</v>
      </c>
      <c r="Y133" s="393">
        <f t="shared" si="10"/>
        <v>-42.097279999999998</v>
      </c>
      <c r="Z133" s="393">
        <f t="shared" si="10"/>
        <v>0</v>
      </c>
      <c r="AA133" s="393">
        <f t="shared" si="10"/>
        <v>0</v>
      </c>
      <c r="AB133" s="393">
        <f t="shared" si="10"/>
        <v>0</v>
      </c>
      <c r="AC133" s="393">
        <f t="shared" si="10"/>
        <v>-42.097279999999998</v>
      </c>
      <c r="AD133" s="394"/>
      <c r="AE133" s="334"/>
    </row>
    <row r="134" spans="1:31" s="387" customFormat="1" x14ac:dyDescent="0.2">
      <c r="A134" s="320" t="str">
        <f>IFERROR(VLOOKUP(B134,mapping_one_neo!A:B,2,FALSE),"")</f>
        <v/>
      </c>
      <c r="C134" s="392"/>
      <c r="E134" s="397"/>
      <c r="G134" s="397"/>
      <c r="H134" s="397"/>
      <c r="I134" s="397"/>
      <c r="J134" s="397"/>
      <c r="K134" s="397"/>
      <c r="L134" s="397"/>
      <c r="M134" s="397"/>
      <c r="N134" s="397"/>
      <c r="O134" s="397"/>
      <c r="P134" s="397"/>
      <c r="Q134" s="397"/>
      <c r="R134" s="397"/>
      <c r="S134" s="349"/>
      <c r="T134" s="346"/>
      <c r="U134" s="397"/>
      <c r="V134" s="397"/>
      <c r="W134" s="397"/>
      <c r="X134" s="397"/>
      <c r="Y134" s="399"/>
      <c r="Z134" s="399"/>
      <c r="AA134" s="399"/>
      <c r="AB134" s="399"/>
      <c r="AC134" s="399"/>
      <c r="AD134" s="394"/>
      <c r="AE134" s="334"/>
    </row>
    <row r="135" spans="1:31" x14ac:dyDescent="0.2">
      <c r="A135" s="320">
        <f>IFERROR(VLOOKUP(B135,mapping_one_neo!A:B,2,FALSE),"")</f>
        <v>0</v>
      </c>
      <c r="B135" s="352" t="s">
        <v>92</v>
      </c>
      <c r="C135" s="353"/>
      <c r="E135" s="354">
        <v>-128.66603950000001</v>
      </c>
      <c r="G135" s="354">
        <v>-10.434640433333334</v>
      </c>
      <c r="H135" s="354">
        <v>-9.1118462333333348</v>
      </c>
      <c r="I135" s="354">
        <v>-9.7336733333333303</v>
      </c>
      <c r="J135" s="354">
        <v>-10.287403333333335</v>
      </c>
      <c r="K135" s="354">
        <v>-12.778823333333333</v>
      </c>
      <c r="L135" s="354">
        <v>-9.730593333333335</v>
      </c>
      <c r="M135" s="354">
        <v>-11.796843250000002</v>
      </c>
      <c r="N135" s="354">
        <v>-11.856843250000001</v>
      </c>
      <c r="O135" s="354">
        <v>-10.796843250000002</v>
      </c>
      <c r="P135" s="354">
        <v>-10.096843250000001</v>
      </c>
      <c r="Q135" s="354">
        <v>-10.096843250000001</v>
      </c>
      <c r="R135" s="354">
        <v>-11.944843250000002</v>
      </c>
      <c r="S135" s="349"/>
      <c r="T135" s="346"/>
      <c r="U135" s="354">
        <f>U133+U120+U115+U110</f>
        <v>-44.616849999999999</v>
      </c>
      <c r="V135" s="354">
        <f t="shared" ref="V135:AC135" si="11">V133+V120+V115+V110</f>
        <v>0</v>
      </c>
      <c r="W135" s="354">
        <f t="shared" si="11"/>
        <v>0</v>
      </c>
      <c r="X135" s="354">
        <f t="shared" si="11"/>
        <v>2.1112600000000001</v>
      </c>
      <c r="Y135" s="354">
        <f t="shared" si="11"/>
        <v>-42.505589999999998</v>
      </c>
      <c r="Z135" s="354">
        <f t="shared" si="11"/>
        <v>0</v>
      </c>
      <c r="AA135" s="354">
        <f t="shared" si="11"/>
        <v>0</v>
      </c>
      <c r="AB135" s="354">
        <f t="shared" si="11"/>
        <v>0</v>
      </c>
      <c r="AC135" s="354">
        <f t="shared" si="11"/>
        <v>-42.505589999999998</v>
      </c>
      <c r="AD135" s="350"/>
    </row>
    <row r="136" spans="1:31" x14ac:dyDescent="0.2">
      <c r="A136" s="320" t="str">
        <f>IFERROR(VLOOKUP(B136,mapping_one_neo!A:B,2,FALSE),"")</f>
        <v/>
      </c>
      <c r="J136" s="335">
        <v>0</v>
      </c>
      <c r="M136" s="335">
        <v>0</v>
      </c>
      <c r="S136" s="349"/>
      <c r="T136" s="346"/>
      <c r="U136" s="351"/>
      <c r="V136" s="351"/>
      <c r="W136" s="351"/>
      <c r="X136" s="351"/>
      <c r="Y136" s="358"/>
      <c r="Z136" s="358"/>
      <c r="AA136" s="358"/>
      <c r="AB136" s="358"/>
      <c r="AC136" s="358"/>
      <c r="AD136" s="350"/>
    </row>
    <row r="137" spans="1:31" s="352" customFormat="1" x14ac:dyDescent="0.2">
      <c r="A137" s="320" t="str">
        <f>IFERROR(VLOOKUP(B137,mapping_one_neo!A:B,2,FALSE),"")</f>
        <v>Voice/fax communication costs</v>
      </c>
      <c r="B137" s="400" t="s">
        <v>93</v>
      </c>
      <c r="C137" s="353">
        <v>626110</v>
      </c>
      <c r="E137" s="356">
        <v>-8.0407407407407394</v>
      </c>
      <c r="G137" s="419">
        <v>-0.6</v>
      </c>
      <c r="H137" s="419">
        <v>-0.6</v>
      </c>
      <c r="I137" s="419">
        <v>-0.60000000000000009</v>
      </c>
      <c r="J137" s="419">
        <v>-0.7</v>
      </c>
      <c r="K137" s="419">
        <v>-0.36629999999999985</v>
      </c>
      <c r="L137" s="419">
        <v>-0.10000000000000053</v>
      </c>
      <c r="M137" s="419">
        <v>-0.84574012345678995</v>
      </c>
      <c r="N137" s="419">
        <v>-0.84574012345678995</v>
      </c>
      <c r="O137" s="419">
        <v>-0.84574012345678995</v>
      </c>
      <c r="P137" s="419">
        <v>-0.84574012345678995</v>
      </c>
      <c r="Q137" s="419">
        <v>-0.84574012345678995</v>
      </c>
      <c r="R137" s="419">
        <v>-0.84574012345678995</v>
      </c>
      <c r="S137" s="345"/>
      <c r="T137" s="361"/>
      <c r="U137" s="351">
        <v>-1.2671999999999999</v>
      </c>
      <c r="V137" s="351"/>
      <c r="W137" s="351"/>
      <c r="X137" s="351">
        <v>-0.7</v>
      </c>
      <c r="Y137" s="363">
        <v>-1.9671999999999998</v>
      </c>
      <c r="Z137" s="363"/>
      <c r="AA137" s="363"/>
      <c r="AB137" s="363"/>
      <c r="AC137" s="363">
        <v>-1.9671999999999998</v>
      </c>
      <c r="AD137" s="355"/>
      <c r="AE137" s="334"/>
    </row>
    <row r="138" spans="1:31" s="352" customFormat="1" x14ac:dyDescent="0.2">
      <c r="A138" s="320" t="str">
        <f>IFERROR(VLOOKUP(B138,mapping_one_neo!A:B,2,FALSE),"")</f>
        <v>Voice/fax communication costs</v>
      </c>
      <c r="B138" s="400" t="s">
        <v>94</v>
      </c>
      <c r="C138" s="353">
        <v>626110</v>
      </c>
      <c r="E138" s="356">
        <v>-4.0082500000000003</v>
      </c>
      <c r="G138" s="419">
        <v>-0.33300000000000002</v>
      </c>
      <c r="H138" s="419">
        <v>-0.33300000000000002</v>
      </c>
      <c r="I138" s="419">
        <v>-0.33300000000000007</v>
      </c>
      <c r="J138" s="419">
        <v>-0.33299999999999996</v>
      </c>
      <c r="K138" s="419">
        <v>-0.33299999999999996</v>
      </c>
      <c r="L138" s="419">
        <v>-0.33300000000000018</v>
      </c>
      <c r="M138" s="419">
        <v>-0.33475000000000005</v>
      </c>
      <c r="N138" s="419">
        <v>-0.33475000000000005</v>
      </c>
      <c r="O138" s="419">
        <v>-0.33475000000000005</v>
      </c>
      <c r="P138" s="419">
        <v>-0.33475000000000005</v>
      </c>
      <c r="Q138" s="419">
        <v>-0.33475000000000005</v>
      </c>
      <c r="R138" s="419">
        <v>-0.33650000000000002</v>
      </c>
      <c r="S138" s="389" t="s">
        <v>134</v>
      </c>
      <c r="T138" s="361"/>
      <c r="U138" s="351">
        <v>-2.1680000000000001</v>
      </c>
      <c r="V138" s="351"/>
      <c r="W138" s="351"/>
      <c r="X138" s="351"/>
      <c r="Y138" s="363">
        <v>-2.1680000000000001</v>
      </c>
      <c r="Z138" s="363"/>
      <c r="AA138" s="363"/>
      <c r="AB138" s="363"/>
      <c r="AC138" s="363">
        <v>-2.1680000000000001</v>
      </c>
      <c r="AD138" s="355"/>
      <c r="AE138" s="334"/>
    </row>
    <row r="139" spans="1:31" x14ac:dyDescent="0.2">
      <c r="A139" s="320" t="str">
        <f>IFERROR(VLOOKUP(B139,mapping_one_neo!A:B,2,FALSE),"")</f>
        <v/>
      </c>
      <c r="G139" s="398">
        <v>0</v>
      </c>
      <c r="H139" s="398">
        <v>0</v>
      </c>
      <c r="I139" s="398">
        <v>0</v>
      </c>
      <c r="J139" s="398">
        <v>0</v>
      </c>
      <c r="K139" s="398">
        <v>0</v>
      </c>
      <c r="L139" s="398">
        <v>0</v>
      </c>
      <c r="M139" s="398">
        <v>0</v>
      </c>
      <c r="N139" s="398">
        <v>0</v>
      </c>
      <c r="O139" s="398"/>
      <c r="P139" s="398"/>
      <c r="Q139" s="398"/>
      <c r="R139" s="398"/>
      <c r="S139" s="349"/>
      <c r="T139" s="346"/>
      <c r="U139" s="351"/>
      <c r="V139" s="351"/>
      <c r="W139" s="351"/>
      <c r="X139" s="351"/>
      <c r="Y139" s="358"/>
      <c r="Z139" s="358"/>
      <c r="AA139" s="358"/>
      <c r="AB139" s="358"/>
      <c r="AC139" s="358"/>
      <c r="AD139" s="350"/>
    </row>
    <row r="140" spans="1:31" s="352" customFormat="1" x14ac:dyDescent="0.2">
      <c r="A140" s="320" t="str">
        <f>IFERROR(VLOOKUP(B140,mapping_one_neo!A:B,2,FALSE),"")</f>
        <v>Data communication costs AU=0ADJ16</v>
      </c>
      <c r="B140" s="400" t="s">
        <v>95</v>
      </c>
      <c r="C140" s="353">
        <v>626400</v>
      </c>
      <c r="E140" s="356">
        <v>0</v>
      </c>
      <c r="G140" s="419">
        <v>0</v>
      </c>
      <c r="H140" s="419">
        <v>0</v>
      </c>
      <c r="I140" s="419">
        <v>0</v>
      </c>
      <c r="J140" s="419">
        <v>0</v>
      </c>
      <c r="K140" s="419">
        <v>0</v>
      </c>
      <c r="L140" s="419">
        <v>0</v>
      </c>
      <c r="M140" s="419">
        <v>0</v>
      </c>
      <c r="N140" s="419">
        <v>0</v>
      </c>
      <c r="O140" s="419">
        <v>0</v>
      </c>
      <c r="P140" s="419">
        <v>0</v>
      </c>
      <c r="Q140" s="419">
        <v>0</v>
      </c>
      <c r="R140" s="419">
        <v>0</v>
      </c>
      <c r="S140" s="345"/>
      <c r="T140" s="361"/>
      <c r="U140" s="351"/>
      <c r="V140" s="351"/>
      <c r="W140" s="351"/>
      <c r="X140" s="351"/>
      <c r="Y140" s="363">
        <v>0</v>
      </c>
      <c r="Z140" s="363"/>
      <c r="AA140" s="363"/>
      <c r="AB140" s="363"/>
      <c r="AC140" s="363">
        <v>0</v>
      </c>
      <c r="AD140" s="355"/>
      <c r="AE140" s="334"/>
    </row>
    <row r="141" spans="1:31" s="352" customFormat="1" x14ac:dyDescent="0.2">
      <c r="A141" s="320" t="str">
        <f>IFERROR(VLOOKUP(B141,mapping_one_neo!A:B,2,FALSE),"")</f>
        <v>Data communication costs AU=0ADJ16</v>
      </c>
      <c r="B141" s="400" t="s">
        <v>96</v>
      </c>
      <c r="C141" s="353">
        <v>626400</v>
      </c>
      <c r="E141" s="356">
        <v>-0.99833333333333341</v>
      </c>
      <c r="G141" s="419">
        <v>-8.3000000000000004E-2</v>
      </c>
      <c r="H141" s="419">
        <v>-8.3000000000000004E-2</v>
      </c>
      <c r="I141" s="419">
        <v>-8.299999999999999E-2</v>
      </c>
      <c r="J141" s="419">
        <v>-8.3000000000000018E-2</v>
      </c>
      <c r="K141" s="419">
        <v>-8.3000000000000018E-2</v>
      </c>
      <c r="L141" s="419">
        <v>-8.2999999999999963E-2</v>
      </c>
      <c r="M141" s="419">
        <v>-8.3333333333333329E-2</v>
      </c>
      <c r="N141" s="419">
        <v>-8.3333333333333329E-2</v>
      </c>
      <c r="O141" s="419">
        <v>-8.3333333333333329E-2</v>
      </c>
      <c r="P141" s="419">
        <v>-8.3333333333333329E-2</v>
      </c>
      <c r="Q141" s="419">
        <v>-8.3333333333333329E-2</v>
      </c>
      <c r="R141" s="419">
        <v>-8.3666666666666598E-2</v>
      </c>
      <c r="S141" s="345"/>
      <c r="T141" s="361"/>
      <c r="U141" s="351">
        <v>-0.33200000000000002</v>
      </c>
      <c r="V141" s="351"/>
      <c r="W141" s="351"/>
      <c r="X141" s="351"/>
      <c r="Y141" s="363">
        <v>-0.33200000000000002</v>
      </c>
      <c r="Z141" s="363"/>
      <c r="AA141" s="363"/>
      <c r="AB141" s="363"/>
      <c r="AC141" s="363">
        <v>-0.33200000000000002</v>
      </c>
      <c r="AD141" s="355"/>
      <c r="AE141" s="334"/>
    </row>
    <row r="142" spans="1:31" x14ac:dyDescent="0.2">
      <c r="A142" s="320" t="str">
        <f>IFERROR(VLOOKUP(B142,mapping_one_neo!A:B,2,FALSE),"")</f>
        <v/>
      </c>
      <c r="G142" s="398"/>
      <c r="H142" s="398"/>
      <c r="I142" s="398"/>
      <c r="J142" s="398"/>
      <c r="K142" s="398"/>
      <c r="L142" s="398"/>
      <c r="M142" s="398"/>
      <c r="N142" s="398"/>
      <c r="O142" s="398"/>
      <c r="P142" s="398"/>
      <c r="Q142" s="398"/>
      <c r="R142" s="398"/>
      <c r="S142" s="349"/>
      <c r="T142" s="346"/>
      <c r="U142" s="351"/>
      <c r="V142" s="351"/>
      <c r="W142" s="351"/>
      <c r="X142" s="351"/>
      <c r="Y142" s="358"/>
      <c r="Z142" s="358"/>
      <c r="AA142" s="358"/>
      <c r="AB142" s="358"/>
      <c r="AC142" s="358"/>
      <c r="AD142" s="350"/>
    </row>
    <row r="143" spans="1:31" x14ac:dyDescent="0.2">
      <c r="A143" s="320">
        <f>IFERROR(VLOOKUP(B143,mapping_one_neo!A:B,2,FALSE),"")</f>
        <v>0</v>
      </c>
      <c r="B143" s="387" t="s">
        <v>97</v>
      </c>
      <c r="J143" s="335">
        <v>0</v>
      </c>
      <c r="M143" s="335">
        <v>0</v>
      </c>
      <c r="S143" s="349"/>
      <c r="T143" s="346"/>
      <c r="U143" s="351"/>
      <c r="V143" s="351"/>
      <c r="W143" s="351"/>
      <c r="X143" s="351"/>
      <c r="Y143" s="358"/>
      <c r="Z143" s="358"/>
      <c r="AA143" s="358"/>
      <c r="AB143" s="358"/>
      <c r="AC143" s="358"/>
      <c r="AD143" s="350"/>
    </row>
    <row r="144" spans="1:31" s="352" customFormat="1" x14ac:dyDescent="0.2">
      <c r="A144" s="320" t="str">
        <f>IFERROR(VLOOKUP(B144,mapping_one_neo!A:B,2,FALSE),"")</f>
        <v>Outsourced business systems AU=0ADJ16</v>
      </c>
      <c r="B144" s="388" t="s">
        <v>755</v>
      </c>
      <c r="C144" s="353" t="s">
        <v>157</v>
      </c>
      <c r="E144" s="356">
        <v>0</v>
      </c>
      <c r="G144" s="356">
        <v>0</v>
      </c>
      <c r="H144" s="356">
        <v>0</v>
      </c>
      <c r="I144" s="356">
        <v>0</v>
      </c>
      <c r="J144" s="356">
        <v>0</v>
      </c>
      <c r="K144" s="356">
        <v>0</v>
      </c>
      <c r="L144" s="356">
        <v>0</v>
      </c>
      <c r="M144" s="356">
        <v>0</v>
      </c>
      <c r="N144" s="356">
        <v>0</v>
      </c>
      <c r="O144" s="356">
        <v>0</v>
      </c>
      <c r="P144" s="356">
        <v>0</v>
      </c>
      <c r="Q144" s="356">
        <v>0</v>
      </c>
      <c r="R144" s="356">
        <v>0</v>
      </c>
      <c r="S144" s="345"/>
      <c r="T144" s="361"/>
      <c r="U144" s="362"/>
      <c r="V144" s="362"/>
      <c r="W144" s="362"/>
      <c r="X144" s="351"/>
      <c r="Y144" s="363"/>
      <c r="Z144" s="363"/>
      <c r="AA144" s="363"/>
      <c r="AB144" s="363"/>
      <c r="AC144" s="363"/>
      <c r="AD144" s="355"/>
      <c r="AE144" s="334"/>
    </row>
    <row r="145" spans="1:31" s="352" customFormat="1" x14ac:dyDescent="0.2">
      <c r="A145" s="320" t="str">
        <f>IFERROR(VLOOKUP(B145,mapping_one_neo!A:B,2,FALSE),"")</f>
        <v>Outsourced business systems AU=0ADJ16</v>
      </c>
      <c r="B145" s="388" t="s">
        <v>98</v>
      </c>
      <c r="C145" s="353" t="s">
        <v>157</v>
      </c>
      <c r="E145" s="356">
        <v>-18</v>
      </c>
      <c r="G145" s="419">
        <v>-1.5</v>
      </c>
      <c r="H145" s="419">
        <v>-1.5</v>
      </c>
      <c r="I145" s="419">
        <v>-1.5</v>
      </c>
      <c r="J145" s="419">
        <v>-1.5</v>
      </c>
      <c r="K145" s="419">
        <v>-1.5</v>
      </c>
      <c r="L145" s="419">
        <v>-1.5</v>
      </c>
      <c r="M145" s="419">
        <v>-1.5</v>
      </c>
      <c r="N145" s="419">
        <v>-1.5</v>
      </c>
      <c r="O145" s="419">
        <v>-1.5</v>
      </c>
      <c r="P145" s="419">
        <v>-1.5</v>
      </c>
      <c r="Q145" s="419">
        <v>-1.5</v>
      </c>
      <c r="R145" s="419">
        <v>-1.5</v>
      </c>
      <c r="S145" s="345"/>
      <c r="T145" s="361"/>
      <c r="U145" s="351">
        <v>-7</v>
      </c>
      <c r="V145" s="351"/>
      <c r="W145" s="351"/>
      <c r="X145" s="351"/>
      <c r="Y145" s="363">
        <v>-7</v>
      </c>
      <c r="Z145" s="363"/>
      <c r="AA145" s="363"/>
      <c r="AB145" s="363"/>
      <c r="AC145" s="363">
        <v>-7</v>
      </c>
      <c r="AD145" s="355"/>
      <c r="AE145" s="334"/>
    </row>
    <row r="146" spans="1:31" s="352" customFormat="1" x14ac:dyDescent="0.2">
      <c r="A146" s="320" t="str">
        <f>IFERROR(VLOOKUP(B146,mapping_one_neo!A:B,2,FALSE),"")</f>
        <v>Outsourced business systems AU=0ADJ16</v>
      </c>
      <c r="B146" s="388" t="s">
        <v>799</v>
      </c>
      <c r="C146" s="353" t="s">
        <v>157</v>
      </c>
      <c r="E146" s="356"/>
      <c r="G146" s="419"/>
      <c r="H146" s="419"/>
      <c r="I146" s="419"/>
      <c r="J146" s="419"/>
      <c r="K146" s="419"/>
      <c r="L146" s="419"/>
      <c r="M146" s="419"/>
      <c r="N146" s="419"/>
      <c r="O146" s="419"/>
      <c r="P146" s="419"/>
      <c r="Q146" s="419"/>
      <c r="R146" s="419"/>
      <c r="S146" s="345"/>
      <c r="T146" s="361"/>
      <c r="U146" s="351">
        <v>-0.23200000000000001</v>
      </c>
      <c r="V146" s="351"/>
      <c r="W146" s="351"/>
      <c r="X146" s="351"/>
      <c r="Y146" s="363">
        <v>-0.23200000000000001</v>
      </c>
      <c r="Z146" s="363"/>
      <c r="AA146" s="363"/>
      <c r="AB146" s="363"/>
      <c r="AC146" s="363">
        <v>-0.23200000000000001</v>
      </c>
      <c r="AD146" s="355"/>
      <c r="AE146" s="334"/>
    </row>
    <row r="147" spans="1:31" s="352" customFormat="1" x14ac:dyDescent="0.2">
      <c r="A147" s="320" t="str">
        <f>IFERROR(VLOOKUP(B147,mapping_one_neo!A:B,2,FALSE),"")</f>
        <v>Computer equipment maintenance/service AU=0ADJ16</v>
      </c>
      <c r="B147" s="388" t="s">
        <v>99</v>
      </c>
      <c r="C147" s="353">
        <v>615620</v>
      </c>
      <c r="E147" s="356">
        <v>-0.61181084444444411</v>
      </c>
      <c r="G147" s="419">
        <v>0</v>
      </c>
      <c r="H147" s="419">
        <v>0</v>
      </c>
      <c r="I147" s="419">
        <v>0</v>
      </c>
      <c r="J147" s="419">
        <v>0</v>
      </c>
      <c r="K147" s="419">
        <v>0</v>
      </c>
      <c r="L147" s="419">
        <v>0</v>
      </c>
      <c r="M147" s="419">
        <v>-0.101968474074074</v>
      </c>
      <c r="N147" s="419">
        <v>-0.101968474074074</v>
      </c>
      <c r="O147" s="419">
        <v>-0.101968474074074</v>
      </c>
      <c r="P147" s="419">
        <v>-0.101968474074074</v>
      </c>
      <c r="Q147" s="419">
        <v>-0.101968474074074</v>
      </c>
      <c r="R147" s="419">
        <v>-0.101968474074074</v>
      </c>
      <c r="S147" s="345"/>
      <c r="T147" s="361"/>
      <c r="U147" s="351">
        <v>-2.3234700000000017</v>
      </c>
      <c r="V147" s="351"/>
      <c r="W147" s="351"/>
      <c r="X147" s="351"/>
      <c r="Y147" s="363">
        <v>-2.3234700000000017</v>
      </c>
      <c r="Z147" s="363"/>
      <c r="AA147" s="363"/>
      <c r="AB147" s="363"/>
      <c r="AC147" s="363">
        <v>-2.3234700000000017</v>
      </c>
      <c r="AD147" s="355"/>
      <c r="AE147" s="334"/>
    </row>
    <row r="148" spans="1:31" s="352" customFormat="1" x14ac:dyDescent="0.2">
      <c r="A148" s="320" t="str">
        <f>IFERROR(VLOOKUP(B148,mapping_one_neo!A:B,2,FALSE),"")</f>
        <v>Outsourced business systems AU=0ADJ16</v>
      </c>
      <c r="B148" s="388" t="s">
        <v>100</v>
      </c>
      <c r="C148" s="353" t="s">
        <v>157</v>
      </c>
      <c r="E148" s="356">
        <v>-5.7623066666666656</v>
      </c>
      <c r="G148" s="419">
        <v>-0.47642000000000029</v>
      </c>
      <c r="H148" s="419">
        <v>-0.44569000000000059</v>
      </c>
      <c r="I148" s="419">
        <v>-0.4764199999999994</v>
      </c>
      <c r="J148" s="419">
        <v>-0.46104999999999863</v>
      </c>
      <c r="K148" s="419">
        <v>-0.47642000000000095</v>
      </c>
      <c r="L148" s="419">
        <v>-0.46106000000000025</v>
      </c>
      <c r="M148" s="419">
        <v>-0.4916666666666667</v>
      </c>
      <c r="N148" s="419">
        <v>-0.4916666666666667</v>
      </c>
      <c r="O148" s="419">
        <v>-0.4916666666666667</v>
      </c>
      <c r="P148" s="419">
        <v>-0.4916666666666667</v>
      </c>
      <c r="Q148" s="419">
        <v>-0.4916666666666667</v>
      </c>
      <c r="R148" s="419">
        <v>-0.50691333333333199</v>
      </c>
      <c r="S148" s="345"/>
      <c r="T148" s="361"/>
      <c r="U148" s="351">
        <v>-10</v>
      </c>
      <c r="V148" s="351"/>
      <c r="W148" s="351"/>
      <c r="X148" s="351"/>
      <c r="Y148" s="363">
        <v>-10</v>
      </c>
      <c r="Z148" s="363"/>
      <c r="AA148" s="363"/>
      <c r="AB148" s="363"/>
      <c r="AC148" s="363">
        <v>-10</v>
      </c>
      <c r="AD148" s="355"/>
      <c r="AE148" s="334"/>
    </row>
    <row r="149" spans="1:31" s="352" customFormat="1" x14ac:dyDescent="0.2">
      <c r="A149" s="320" t="str">
        <f>IFERROR(VLOOKUP(B149,mapping_one_neo!A:B,2,FALSE),"")</f>
        <v>Outsourced business systems AU=0ADJ16</v>
      </c>
      <c r="B149" s="388" t="s">
        <v>101</v>
      </c>
      <c r="C149" s="353" t="s">
        <v>157</v>
      </c>
      <c r="E149" s="356">
        <v>-29.459999999999994</v>
      </c>
      <c r="G149" s="419">
        <v>-2.3999999999999995</v>
      </c>
      <c r="H149" s="419">
        <v>-2.5100000000000002</v>
      </c>
      <c r="I149" s="419">
        <v>-2.4550000000000001</v>
      </c>
      <c r="J149" s="419">
        <v>-2.4550000000000001</v>
      </c>
      <c r="K149" s="419">
        <v>-2.4550000000000001</v>
      </c>
      <c r="L149" s="419">
        <v>-2.4550000000000001</v>
      </c>
      <c r="M149" s="419">
        <v>-2.4550000000000001</v>
      </c>
      <c r="N149" s="419">
        <v>-2.4550000000000001</v>
      </c>
      <c r="O149" s="419">
        <v>-2.4550000000000001</v>
      </c>
      <c r="P149" s="419">
        <v>-2.4550000000000001</v>
      </c>
      <c r="Q149" s="419">
        <v>-2.4550000000000001</v>
      </c>
      <c r="R149" s="419">
        <v>-2.4550000000000001</v>
      </c>
      <c r="S149" s="345"/>
      <c r="T149" s="361"/>
      <c r="U149" s="351">
        <v>-2.1</v>
      </c>
      <c r="V149" s="351"/>
      <c r="W149" s="351"/>
      <c r="X149" s="351"/>
      <c r="Y149" s="363">
        <v>-2.1</v>
      </c>
      <c r="Z149" s="363"/>
      <c r="AA149" s="363"/>
      <c r="AB149" s="363"/>
      <c r="AC149" s="363">
        <v>-2.1</v>
      </c>
      <c r="AD149" s="355"/>
      <c r="AE149" s="334" t="s">
        <v>134</v>
      </c>
    </row>
    <row r="150" spans="1:31" s="352" customFormat="1" x14ac:dyDescent="0.2">
      <c r="A150" s="320" t="str">
        <f>IFERROR(VLOOKUP(B150,mapping_one_neo!A:B,2,FALSE),"")</f>
        <v>Outsourced business systems AU=0ADJ16</v>
      </c>
      <c r="B150" s="388" t="s">
        <v>102</v>
      </c>
      <c r="C150" s="353" t="s">
        <v>157</v>
      </c>
      <c r="E150" s="356">
        <v>-6.9993333333333316</v>
      </c>
      <c r="G150" s="419">
        <v>-0.58299999999999996</v>
      </c>
      <c r="H150" s="419">
        <v>-0.58299999999999996</v>
      </c>
      <c r="I150" s="419">
        <v>-0.58299999999999996</v>
      </c>
      <c r="J150" s="419">
        <v>-0.58299999999999996</v>
      </c>
      <c r="K150" s="419">
        <v>-0.58300000000000018</v>
      </c>
      <c r="L150" s="419">
        <v>-0.58299999999999974</v>
      </c>
      <c r="M150" s="419">
        <v>-0.58299999999999996</v>
      </c>
      <c r="N150" s="419">
        <v>-0.58299999999999996</v>
      </c>
      <c r="O150" s="419">
        <v>-0.58299999999999996</v>
      </c>
      <c r="P150" s="419">
        <v>-0.58299999999999996</v>
      </c>
      <c r="Q150" s="419">
        <v>-0.58299999999999996</v>
      </c>
      <c r="R150" s="419">
        <v>-0.58633333333333104</v>
      </c>
      <c r="S150" s="345"/>
      <c r="T150" s="361"/>
      <c r="U150" s="351"/>
      <c r="V150" s="351"/>
      <c r="W150" s="351"/>
      <c r="X150" s="351"/>
      <c r="Y150" s="363"/>
      <c r="Z150" s="363"/>
      <c r="AA150" s="363"/>
      <c r="AB150" s="363"/>
      <c r="AC150" s="363"/>
      <c r="AD150" s="355"/>
      <c r="AE150" s="334"/>
    </row>
    <row r="151" spans="1:31" s="352" customFormat="1" x14ac:dyDescent="0.2">
      <c r="A151" s="320" t="str">
        <f>IFERROR(VLOOKUP(B151,mapping_one_neo!A:B,2,FALSE),"")</f>
        <v>Outsourced business systems AU=0ADJ16</v>
      </c>
      <c r="B151" s="388" t="s">
        <v>103</v>
      </c>
      <c r="C151" s="353">
        <v>681202</v>
      </c>
      <c r="E151" s="356">
        <v>0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0</v>
      </c>
      <c r="N151" s="419">
        <v>0</v>
      </c>
      <c r="O151" s="419">
        <v>0</v>
      </c>
      <c r="P151" s="419">
        <v>0</v>
      </c>
      <c r="Q151" s="419">
        <v>0</v>
      </c>
      <c r="R151" s="419">
        <v>0</v>
      </c>
      <c r="S151" s="345"/>
      <c r="T151" s="361"/>
      <c r="U151" s="351"/>
      <c r="V151" s="351"/>
      <c r="W151" s="351"/>
      <c r="X151" s="351"/>
      <c r="Y151" s="363">
        <v>0</v>
      </c>
      <c r="Z151" s="363"/>
      <c r="AA151" s="363"/>
      <c r="AB151" s="363"/>
      <c r="AC151" s="363">
        <v>0</v>
      </c>
      <c r="AD151" s="355"/>
      <c r="AE151" s="334"/>
    </row>
    <row r="152" spans="1:31" s="352" customFormat="1" x14ac:dyDescent="0.2">
      <c r="A152" s="320" t="str">
        <f>IFERROR(VLOOKUP(B152,mapping_one_neo!A:B,2,FALSE),"")</f>
        <v>Outsourced business systems AU=0ADJ16</v>
      </c>
      <c r="B152" s="388" t="s">
        <v>104</v>
      </c>
      <c r="C152" s="353">
        <v>615625</v>
      </c>
      <c r="E152" s="356">
        <v>-3</v>
      </c>
      <c r="G152" s="419">
        <v>-0.25</v>
      </c>
      <c r="H152" s="419">
        <v>-0.25</v>
      </c>
      <c r="I152" s="419">
        <v>-0.25</v>
      </c>
      <c r="J152" s="419">
        <v>-0.25</v>
      </c>
      <c r="K152" s="419">
        <v>-0.25</v>
      </c>
      <c r="L152" s="419">
        <v>-0.25</v>
      </c>
      <c r="M152" s="419">
        <v>-0.25</v>
      </c>
      <c r="N152" s="419">
        <v>-0.25</v>
      </c>
      <c r="O152" s="419">
        <v>-0.25</v>
      </c>
      <c r="P152" s="419">
        <v>-0.25</v>
      </c>
      <c r="Q152" s="419">
        <v>-0.25</v>
      </c>
      <c r="R152" s="419">
        <v>-0.25</v>
      </c>
      <c r="S152" s="345"/>
      <c r="T152" s="361"/>
      <c r="U152" s="351"/>
      <c r="V152" s="351">
        <v>-1.5</v>
      </c>
      <c r="W152" s="351"/>
      <c r="X152" s="351"/>
      <c r="Y152" s="363">
        <v>-1.5</v>
      </c>
      <c r="Z152" s="363"/>
      <c r="AA152" s="363"/>
      <c r="AB152" s="363"/>
      <c r="AC152" s="363">
        <v>-1.5</v>
      </c>
      <c r="AD152" s="355"/>
      <c r="AE152" s="334"/>
    </row>
    <row r="153" spans="1:31" s="352" customFormat="1" x14ac:dyDescent="0.2">
      <c r="A153" s="320" t="str">
        <f>IFERROR(VLOOKUP(B153,mapping_one_neo!A:B,2,FALSE),"")</f>
        <v>WPP Business Services/IBM cost allocation</v>
      </c>
      <c r="B153" s="388" t="s">
        <v>105</v>
      </c>
      <c r="C153" s="353">
        <v>622617</v>
      </c>
      <c r="E153" s="356">
        <v>-22.998333333333335</v>
      </c>
      <c r="G153" s="419">
        <v>-1.9166666666666667</v>
      </c>
      <c r="H153" s="419">
        <v>-1.9163333333333334</v>
      </c>
      <c r="I153" s="419">
        <v>-1.9163333333333337</v>
      </c>
      <c r="J153" s="419">
        <v>-1.9163333333333341</v>
      </c>
      <c r="K153" s="419">
        <v>-1.9163333333333332</v>
      </c>
      <c r="L153" s="419">
        <v>-1.9163333333333323</v>
      </c>
      <c r="M153" s="419">
        <v>-1.9166666666666667</v>
      </c>
      <c r="N153" s="419">
        <v>-1.9166666666666667</v>
      </c>
      <c r="O153" s="419">
        <v>-1.9166666666666667</v>
      </c>
      <c r="P153" s="419">
        <v>-1.9166666666666667</v>
      </c>
      <c r="Q153" s="419">
        <v>-1.9166666666666667</v>
      </c>
      <c r="R153" s="419">
        <v>-1.9166666666666667</v>
      </c>
      <c r="S153" s="345"/>
      <c r="T153" s="361"/>
      <c r="U153" s="351"/>
      <c r="V153" s="351"/>
      <c r="W153" s="351"/>
      <c r="X153" s="351">
        <v>-7.6656666666666684</v>
      </c>
      <c r="Y153" s="363">
        <v>-7.6656666666666684</v>
      </c>
      <c r="Z153" s="363"/>
      <c r="AA153" s="363"/>
      <c r="AB153" s="363"/>
      <c r="AC153" s="363">
        <v>-7.6656666666666684</v>
      </c>
      <c r="AD153" s="355"/>
      <c r="AE153" s="334"/>
    </row>
    <row r="154" spans="1:31" s="387" customFormat="1" x14ac:dyDescent="0.2">
      <c r="A154" s="320">
        <f>IFERROR(VLOOKUP(B154,mapping_one_neo!A:B,2,FALSE),"")</f>
        <v>0</v>
      </c>
      <c r="B154" s="387" t="s">
        <v>106</v>
      </c>
      <c r="C154" s="392"/>
      <c r="E154" s="393">
        <v>-86.831784177777763</v>
      </c>
      <c r="G154" s="393">
        <v>-7.1260866666666667</v>
      </c>
      <c r="H154" s="393">
        <v>-7.205023333333334</v>
      </c>
      <c r="I154" s="393">
        <v>-7.1807533333333335</v>
      </c>
      <c r="J154" s="393">
        <v>-7.1653833333333328</v>
      </c>
      <c r="K154" s="393">
        <v>-7.1807533333333344</v>
      </c>
      <c r="L154" s="393">
        <v>-7.1653933333333324</v>
      </c>
      <c r="M154" s="393">
        <v>-7.298301807407408</v>
      </c>
      <c r="N154" s="393">
        <v>-7.298301807407408</v>
      </c>
      <c r="O154" s="393">
        <v>-7.298301807407408</v>
      </c>
      <c r="P154" s="393">
        <v>-7.298301807407408</v>
      </c>
      <c r="Q154" s="393">
        <v>-7.298301807407408</v>
      </c>
      <c r="R154" s="393">
        <v>-7.3168818074074045</v>
      </c>
      <c r="S154" s="349"/>
      <c r="T154" s="346"/>
      <c r="U154" s="393">
        <f>SUM(U144:U153)</f>
        <v>-21.655470000000001</v>
      </c>
      <c r="V154" s="393">
        <f t="shared" ref="V154:AC154" si="12">SUM(V144:V153)</f>
        <v>-1.5</v>
      </c>
      <c r="W154" s="393">
        <f t="shared" si="12"/>
        <v>0</v>
      </c>
      <c r="X154" s="393">
        <f t="shared" si="12"/>
        <v>-7.6656666666666684</v>
      </c>
      <c r="Y154" s="393">
        <f t="shared" si="12"/>
        <v>-30.821136666666668</v>
      </c>
      <c r="Z154" s="393">
        <f t="shared" si="12"/>
        <v>0</v>
      </c>
      <c r="AA154" s="393">
        <f t="shared" si="12"/>
        <v>0</v>
      </c>
      <c r="AB154" s="393">
        <f t="shared" si="12"/>
        <v>0</v>
      </c>
      <c r="AC154" s="393">
        <f t="shared" si="12"/>
        <v>-30.821136666666668</v>
      </c>
      <c r="AD154" s="394"/>
      <c r="AE154" s="334"/>
    </row>
    <row r="155" spans="1:31" s="387" customFormat="1" x14ac:dyDescent="0.2">
      <c r="A155" s="320" t="str">
        <f>IFERROR(VLOOKUP(B155,mapping_one_neo!A:B,2,FALSE),"")</f>
        <v/>
      </c>
      <c r="C155" s="353"/>
      <c r="E155" s="397"/>
      <c r="G155" s="397"/>
      <c r="H155" s="397"/>
      <c r="I155" s="397"/>
      <c r="J155" s="397"/>
      <c r="K155" s="397"/>
      <c r="L155" s="397"/>
      <c r="M155" s="397"/>
      <c r="N155" s="397"/>
      <c r="O155" s="397"/>
      <c r="P155" s="397"/>
      <c r="Q155" s="397"/>
      <c r="R155" s="397"/>
      <c r="S155" s="349"/>
      <c r="T155" s="346"/>
      <c r="U155" s="397"/>
      <c r="V155" s="397"/>
      <c r="W155" s="397"/>
      <c r="X155" s="397"/>
      <c r="Y155" s="397"/>
      <c r="Z155" s="397"/>
      <c r="AA155" s="397"/>
      <c r="AB155" s="397"/>
      <c r="AC155" s="397"/>
      <c r="AD155" s="394"/>
      <c r="AE155" s="334"/>
    </row>
    <row r="156" spans="1:31" s="352" customFormat="1" x14ac:dyDescent="0.2">
      <c r="A156" s="320" t="str">
        <f>IFERROR(VLOOKUP(B156,mapping_one_neo!A:B,2,FALSE),"")</f>
        <v>Stationery/art &amp; materials AU=0.INP</v>
      </c>
      <c r="B156" s="388" t="s">
        <v>107</v>
      </c>
      <c r="C156" s="353" t="s">
        <v>158</v>
      </c>
      <c r="E156" s="356">
        <v>-1.5</v>
      </c>
      <c r="G156" s="419">
        <v>-0.125</v>
      </c>
      <c r="H156" s="419">
        <v>-0.125</v>
      </c>
      <c r="I156" s="419">
        <v>-0.125</v>
      </c>
      <c r="J156" s="419">
        <v>-0.125</v>
      </c>
      <c r="K156" s="419">
        <v>-0.125</v>
      </c>
      <c r="L156" s="419">
        <v>-0.125</v>
      </c>
      <c r="M156" s="419">
        <v>-0.125</v>
      </c>
      <c r="N156" s="419">
        <v>-0.125</v>
      </c>
      <c r="O156" s="419">
        <v>-0.125</v>
      </c>
      <c r="P156" s="419">
        <v>-0.125</v>
      </c>
      <c r="Q156" s="419">
        <v>-0.125</v>
      </c>
      <c r="R156" s="419">
        <v>-0.125</v>
      </c>
      <c r="S156" s="345"/>
      <c r="T156" s="361"/>
      <c r="U156" s="351">
        <v>-0.4</v>
      </c>
      <c r="V156" s="351"/>
      <c r="W156" s="351"/>
      <c r="X156" s="351"/>
      <c r="Y156" s="363">
        <v>-0.4</v>
      </c>
      <c r="Z156" s="363"/>
      <c r="AA156" s="363"/>
      <c r="AB156" s="363"/>
      <c r="AC156" s="363">
        <v>-0.4</v>
      </c>
      <c r="AD156" s="355"/>
      <c r="AE156" s="334"/>
    </row>
    <row r="157" spans="1:31" s="352" customFormat="1" x14ac:dyDescent="0.2">
      <c r="A157" s="320" t="str">
        <f>IFERROR(VLOOKUP(B157,mapping_one_neo!A:B,2,FALSE),"")</f>
        <v>Software/hardware expenses</v>
      </c>
      <c r="B157" s="388" t="s">
        <v>108</v>
      </c>
      <c r="C157" s="353">
        <v>606420</v>
      </c>
      <c r="E157" s="356">
        <v>-3.9547024999999989</v>
      </c>
      <c r="G157" s="419">
        <v>-0.44634000000000001</v>
      </c>
      <c r="H157" s="419">
        <v>0</v>
      </c>
      <c r="I157" s="419">
        <v>-0.68500000000000005</v>
      </c>
      <c r="J157" s="419">
        <v>0</v>
      </c>
      <c r="K157" s="419">
        <v>0</v>
      </c>
      <c r="L157" s="419">
        <v>-3.0450000000000088E-2</v>
      </c>
      <c r="M157" s="419">
        <v>-1</v>
      </c>
      <c r="N157" s="419">
        <v>-0.35858250000000003</v>
      </c>
      <c r="O157" s="419">
        <v>-0.35858250000000003</v>
      </c>
      <c r="P157" s="419">
        <v>-0.35858250000000003</v>
      </c>
      <c r="Q157" s="419">
        <v>-0.35858250000000003</v>
      </c>
      <c r="R157" s="419">
        <v>-0.35858250000000003</v>
      </c>
      <c r="S157" s="345"/>
      <c r="T157" s="361"/>
      <c r="U157" s="351"/>
      <c r="V157" s="351"/>
      <c r="W157" s="351"/>
      <c r="X157" s="351"/>
      <c r="Y157" s="363">
        <v>0</v>
      </c>
      <c r="Z157" s="363"/>
      <c r="AA157" s="363"/>
      <c r="AB157" s="363"/>
      <c r="AC157" s="363">
        <v>0</v>
      </c>
      <c r="AD157" s="355"/>
      <c r="AE157" s="334" t="s">
        <v>792</v>
      </c>
    </row>
    <row r="158" spans="1:31" s="352" customFormat="1" x14ac:dyDescent="0.2">
      <c r="A158" s="320" t="str">
        <f>IFERROR(VLOOKUP(B158,mapping_one_neo!A:B,2,FALSE),"")</f>
        <v>Stationery/art &amp; materials AU=0.INP</v>
      </c>
      <c r="B158" s="388" t="s">
        <v>109</v>
      </c>
      <c r="C158" s="353" t="s">
        <v>159</v>
      </c>
      <c r="E158" s="356">
        <v>-7.5</v>
      </c>
      <c r="G158" s="419">
        <v>-0.625</v>
      </c>
      <c r="H158" s="419">
        <v>-0.625</v>
      </c>
      <c r="I158" s="419">
        <v>-0.625</v>
      </c>
      <c r="J158" s="419">
        <v>-0.625</v>
      </c>
      <c r="K158" s="419">
        <v>-0.625</v>
      </c>
      <c r="L158" s="419">
        <v>-0.625</v>
      </c>
      <c r="M158" s="419">
        <v>-0.625</v>
      </c>
      <c r="N158" s="419">
        <v>-0.625</v>
      </c>
      <c r="O158" s="419">
        <v>-0.625</v>
      </c>
      <c r="P158" s="419">
        <v>-0.625</v>
      </c>
      <c r="Q158" s="419">
        <v>-0.625</v>
      </c>
      <c r="R158" s="419">
        <v>-0.625</v>
      </c>
      <c r="S158" s="345"/>
      <c r="T158" s="361"/>
      <c r="U158" s="351">
        <v>-2.532</v>
      </c>
      <c r="V158" s="351"/>
      <c r="W158" s="351"/>
      <c r="X158" s="351"/>
      <c r="Y158" s="363">
        <v>-2.532</v>
      </c>
      <c r="Z158" s="363"/>
      <c r="AA158" s="363"/>
      <c r="AB158" s="363"/>
      <c r="AC158" s="363">
        <v>-2.532</v>
      </c>
      <c r="AD158" s="355"/>
      <c r="AE158" s="334"/>
    </row>
    <row r="159" spans="1:31" s="352" customFormat="1" x14ac:dyDescent="0.2">
      <c r="A159" s="320" t="str">
        <f>IFERROR(VLOOKUP(B159,mapping_one_neo!A:B,2,FALSE),"")</f>
        <v>Other office costs AU=0.INP</v>
      </c>
      <c r="B159" s="388" t="s">
        <v>110</v>
      </c>
      <c r="C159" s="353">
        <v>658201</v>
      </c>
      <c r="E159" s="356">
        <v>-3.9603704333333338</v>
      </c>
      <c r="G159" s="419">
        <v>-0.37096289999999998</v>
      </c>
      <c r="H159" s="419">
        <v>-0.29503710000000005</v>
      </c>
      <c r="I159" s="419">
        <v>-0.33300000000000007</v>
      </c>
      <c r="J159" s="419">
        <v>-0.33299999999999996</v>
      </c>
      <c r="K159" s="419">
        <v>-0.33299999999999996</v>
      </c>
      <c r="L159" s="419">
        <v>-0.33300000000000018</v>
      </c>
      <c r="M159" s="419">
        <v>-0.33333333333333331</v>
      </c>
      <c r="N159" s="419">
        <v>-0.33333333333333331</v>
      </c>
      <c r="O159" s="419">
        <v>-0.33333333333333331</v>
      </c>
      <c r="P159" s="419">
        <v>-0.33333333333333331</v>
      </c>
      <c r="Q159" s="419">
        <v>-0.33333333333333331</v>
      </c>
      <c r="R159" s="419">
        <v>-0.29570376666666598</v>
      </c>
      <c r="S159" s="345"/>
      <c r="T159" s="361"/>
      <c r="U159" s="351">
        <v>-1</v>
      </c>
      <c r="V159" s="351"/>
      <c r="W159" s="351"/>
      <c r="X159" s="351"/>
      <c r="Y159" s="363">
        <v>-1</v>
      </c>
      <c r="Z159" s="363"/>
      <c r="AA159" s="363"/>
      <c r="AB159" s="363"/>
      <c r="AC159" s="363">
        <v>-1</v>
      </c>
      <c r="AD159" s="355"/>
      <c r="AE159" s="334"/>
    </row>
    <row r="160" spans="1:31" s="352" customFormat="1" x14ac:dyDescent="0.2">
      <c r="A160" s="320" t="str">
        <f>IFERROR(VLOOKUP(B160,mapping_one_neo!A:B,2,FALSE),"")</f>
        <v>Other office costs AU=0.INP</v>
      </c>
      <c r="B160" s="388" t="s">
        <v>111</v>
      </c>
      <c r="C160" s="353">
        <v>681122</v>
      </c>
      <c r="E160" s="356">
        <v>-7.2424500000000016</v>
      </c>
      <c r="G160" s="419">
        <v>-0.54120000000000001</v>
      </c>
      <c r="H160" s="419">
        <v>-0.50627999999999995</v>
      </c>
      <c r="I160" s="419">
        <v>-0.54116999999999993</v>
      </c>
      <c r="J160" s="419">
        <v>-0.62921000000000005</v>
      </c>
      <c r="K160" s="419">
        <v>-0.63658999999999999</v>
      </c>
      <c r="L160" s="419">
        <v>-0.61274000000000006</v>
      </c>
      <c r="M160" s="419">
        <v>-0.62921000000000005</v>
      </c>
      <c r="N160" s="419">
        <v>-0.62921000000000005</v>
      </c>
      <c r="O160" s="419">
        <v>-0.62921000000000005</v>
      </c>
      <c r="P160" s="419">
        <v>-0.62921000000000005</v>
      </c>
      <c r="Q160" s="419">
        <v>-0.62921000000000005</v>
      </c>
      <c r="R160" s="419">
        <v>-0.62921000000000005</v>
      </c>
      <c r="S160" s="345"/>
      <c r="T160" s="361"/>
      <c r="U160" s="351">
        <v>-3.57979</v>
      </c>
      <c r="V160" s="351"/>
      <c r="W160" s="351"/>
      <c r="X160" s="351"/>
      <c r="Y160" s="363">
        <v>-3.57979</v>
      </c>
      <c r="Z160" s="363"/>
      <c r="AA160" s="363"/>
      <c r="AB160" s="363"/>
      <c r="AC160" s="363">
        <v>-3.57979</v>
      </c>
      <c r="AD160" s="355"/>
      <c r="AE160" s="334"/>
    </row>
    <row r="161" spans="1:31" s="387" customFormat="1" x14ac:dyDescent="0.2">
      <c r="A161" s="320">
        <f>IFERROR(VLOOKUP(B161,mapping_one_neo!A:B,2,FALSE),"")</f>
        <v>0</v>
      </c>
      <c r="B161" s="387" t="s">
        <v>112</v>
      </c>
      <c r="C161" s="353"/>
      <c r="E161" s="393">
        <v>-24.157522933333336</v>
      </c>
      <c r="G161" s="393">
        <v>-2.1085029</v>
      </c>
      <c r="H161" s="393">
        <v>-1.5513170999999999</v>
      </c>
      <c r="I161" s="393">
        <v>-2.3091699999999999</v>
      </c>
      <c r="J161" s="393">
        <v>-1.71221</v>
      </c>
      <c r="K161" s="393">
        <v>-1.71959</v>
      </c>
      <c r="L161" s="393">
        <v>-1.7261900000000003</v>
      </c>
      <c r="M161" s="393">
        <v>-2.7125433333333335</v>
      </c>
      <c r="N161" s="393">
        <v>-2.0711258333333333</v>
      </c>
      <c r="O161" s="393">
        <v>-2.0711258333333333</v>
      </c>
      <c r="P161" s="393">
        <v>-2.0711258333333333</v>
      </c>
      <c r="Q161" s="393">
        <v>-2.0711258333333333</v>
      </c>
      <c r="R161" s="393">
        <v>-2.0334962666666661</v>
      </c>
      <c r="S161" s="349"/>
      <c r="T161" s="346"/>
      <c r="U161" s="393">
        <f>SUM(U156:U160)</f>
        <v>-7.5117899999999995</v>
      </c>
      <c r="V161" s="393">
        <f>SUM(V156:V160)</f>
        <v>0</v>
      </c>
      <c r="W161" s="393">
        <f t="shared" ref="W161:AC161" si="13">SUM(W156:W160)</f>
        <v>0</v>
      </c>
      <c r="X161" s="393">
        <f t="shared" si="13"/>
        <v>0</v>
      </c>
      <c r="Y161" s="393">
        <f t="shared" si="13"/>
        <v>-7.5117899999999995</v>
      </c>
      <c r="Z161" s="393">
        <f t="shared" si="13"/>
        <v>0</v>
      </c>
      <c r="AA161" s="393">
        <f t="shared" si="13"/>
        <v>0</v>
      </c>
      <c r="AB161" s="393">
        <f t="shared" si="13"/>
        <v>0</v>
      </c>
      <c r="AC161" s="393">
        <f t="shared" si="13"/>
        <v>-7.5117899999999995</v>
      </c>
      <c r="AD161" s="355"/>
      <c r="AE161" s="334"/>
    </row>
    <row r="162" spans="1:31" s="387" customFormat="1" x14ac:dyDescent="0.2">
      <c r="A162" s="320" t="str">
        <f>IFERROR(VLOOKUP(B162,mapping_one_neo!A:B,2,FALSE),"")</f>
        <v/>
      </c>
      <c r="C162" s="353"/>
      <c r="E162" s="397"/>
      <c r="G162" s="397"/>
      <c r="H162" s="397"/>
      <c r="I162" s="397"/>
      <c r="J162" s="397"/>
      <c r="K162" s="397"/>
      <c r="L162" s="397"/>
      <c r="M162" s="397"/>
      <c r="N162" s="397"/>
      <c r="O162" s="397"/>
      <c r="P162" s="397"/>
      <c r="Q162" s="397"/>
      <c r="R162" s="397"/>
      <c r="S162" s="349"/>
      <c r="T162" s="346"/>
      <c r="U162" s="397"/>
      <c r="V162" s="397"/>
      <c r="W162" s="397"/>
      <c r="X162" s="397"/>
      <c r="Y162" s="397"/>
      <c r="Z162" s="397"/>
      <c r="AA162" s="397"/>
      <c r="AB162" s="397"/>
      <c r="AC162" s="397"/>
      <c r="AD162" s="394"/>
      <c r="AE162" s="334"/>
    </row>
    <row r="163" spans="1:31" s="387" customFormat="1" x14ac:dyDescent="0.2">
      <c r="A163" s="320" t="str">
        <f>IFERROR(VLOOKUP(B163,mapping_one_neo!A:B,2,FALSE),"")</f>
        <v/>
      </c>
      <c r="C163" s="392"/>
      <c r="E163" s="397"/>
      <c r="G163" s="397"/>
      <c r="H163" s="397"/>
      <c r="I163" s="397"/>
      <c r="J163" s="397"/>
      <c r="K163" s="397"/>
      <c r="L163" s="397"/>
      <c r="M163" s="397"/>
      <c r="N163" s="397"/>
      <c r="O163" s="397"/>
      <c r="P163" s="397"/>
      <c r="Q163" s="397"/>
      <c r="R163" s="397"/>
      <c r="S163" s="349"/>
      <c r="T163" s="346"/>
      <c r="U163" s="397"/>
      <c r="V163" s="397"/>
      <c r="W163" s="397">
        <v>-6.2333333333333334</v>
      </c>
      <c r="X163" s="397"/>
      <c r="Y163" s="397">
        <v>-6.2333333333333334</v>
      </c>
      <c r="Z163" s="397"/>
      <c r="AA163" s="397"/>
      <c r="AB163" s="397"/>
      <c r="AC163" s="397">
        <v>-6.2333333333333334</v>
      </c>
      <c r="AD163" s="394"/>
      <c r="AE163" s="334"/>
    </row>
    <row r="164" spans="1:31" s="400" customFormat="1" x14ac:dyDescent="0.2">
      <c r="A164" s="320" t="str">
        <f>IFERROR(VLOOKUP(B164,mapping_one_neo!A:B,2,FALSE),"")</f>
        <v>vide</v>
      </c>
      <c r="B164" s="400" t="s">
        <v>113</v>
      </c>
      <c r="C164" s="402"/>
      <c r="E164" s="356">
        <v>-9.492231230702151</v>
      </c>
      <c r="G164" s="419">
        <v>-0.79101916666666661</v>
      </c>
      <c r="H164" s="419">
        <v>-0.79101916666666661</v>
      </c>
      <c r="I164" s="419">
        <v>-0.79101916666666661</v>
      </c>
      <c r="J164" s="419">
        <v>-0.79101916666666661</v>
      </c>
      <c r="K164" s="419">
        <v>-0.79101916666666661</v>
      </c>
      <c r="L164" s="419">
        <v>-0.79101916666666661</v>
      </c>
      <c r="M164" s="419">
        <v>-0.79101916666666661</v>
      </c>
      <c r="N164" s="419">
        <v>-0.79101916666666661</v>
      </c>
      <c r="O164" s="419">
        <v>-0.79101916666666661</v>
      </c>
      <c r="P164" s="419">
        <v>-0.79101916666666661</v>
      </c>
      <c r="Q164" s="419">
        <v>-0.79101916666666661</v>
      </c>
      <c r="R164" s="419">
        <v>-0.79102039736881802</v>
      </c>
      <c r="S164" s="345"/>
      <c r="T164" s="361"/>
      <c r="U164" s="426"/>
      <c r="V164" s="426"/>
      <c r="W164" s="426"/>
      <c r="X164" s="426"/>
      <c r="Y164" s="405"/>
      <c r="Z164" s="405"/>
      <c r="AA164" s="405"/>
      <c r="AB164" s="405"/>
      <c r="AC164" s="363"/>
      <c r="AD164" s="403"/>
      <c r="AE164" s="334"/>
    </row>
    <row r="165" spans="1:31" x14ac:dyDescent="0.2">
      <c r="A165" s="320" t="str">
        <f>IFERROR(VLOOKUP(B165,mapping_one_neo!A:B,2,FALSE),"")</f>
        <v/>
      </c>
      <c r="J165" s="335">
        <v>0</v>
      </c>
      <c r="M165" s="335">
        <v>0</v>
      </c>
      <c r="S165" s="349"/>
      <c r="T165" s="346"/>
      <c r="U165" s="351"/>
      <c r="V165" s="351"/>
      <c r="W165" s="351"/>
      <c r="X165" s="351"/>
      <c r="Y165" s="358"/>
      <c r="Z165" s="358"/>
      <c r="AA165" s="358"/>
      <c r="AB165" s="358"/>
      <c r="AC165" s="358"/>
      <c r="AD165" s="350"/>
    </row>
    <row r="166" spans="1:31" x14ac:dyDescent="0.2">
      <c r="A166" s="320">
        <f>IFERROR(VLOOKUP(B166,mapping_one_neo!A:B,2,FALSE),"")</f>
        <v>0</v>
      </c>
      <c r="B166" s="352" t="s">
        <v>114</v>
      </c>
      <c r="C166" s="353"/>
      <c r="E166" s="354">
        <v>-133.52886241588732</v>
      </c>
      <c r="G166" s="404">
        <v>-11.041608733333334</v>
      </c>
      <c r="H166" s="404">
        <v>-10.563359600000002</v>
      </c>
      <c r="I166" s="404">
        <v>-11.2969425</v>
      </c>
      <c r="J166" s="404">
        <v>-10.7846125</v>
      </c>
      <c r="K166" s="404">
        <v>-10.473662500000001</v>
      </c>
      <c r="L166" s="404">
        <v>-10.198602500000002</v>
      </c>
      <c r="M166" s="404">
        <v>-12.065687764197531</v>
      </c>
      <c r="N166" s="404">
        <v>-11.424270264197531</v>
      </c>
      <c r="O166" s="404">
        <v>-11.424270264197531</v>
      </c>
      <c r="P166" s="404">
        <v>-11.424270264197531</v>
      </c>
      <c r="Q166" s="404">
        <v>-11.424270264197531</v>
      </c>
      <c r="R166" s="404">
        <v>-11.407305261566346</v>
      </c>
      <c r="S166" s="349"/>
      <c r="T166" s="346"/>
      <c r="U166" s="354">
        <f t="shared" ref="U166:V166" si="14">U161+U154+U141+U138+U137+U163</f>
        <v>-32.934460000000001</v>
      </c>
      <c r="V166" s="354">
        <f t="shared" si="14"/>
        <v>-1.5</v>
      </c>
      <c r="W166" s="354">
        <f>W161+W154+W141+W138+W137+W163</f>
        <v>-6.2333333333333334</v>
      </c>
      <c r="X166" s="354">
        <f t="shared" ref="X166:AC166" si="15">X161+X154+X141+X138+X137+X163</f>
        <v>-8.3656666666666677</v>
      </c>
      <c r="Y166" s="357">
        <f t="shared" si="15"/>
        <v>-49.033459999999998</v>
      </c>
      <c r="Z166" s="357">
        <f t="shared" si="15"/>
        <v>0</v>
      </c>
      <c r="AA166" s="357">
        <f t="shared" si="15"/>
        <v>0</v>
      </c>
      <c r="AB166" s="357">
        <f t="shared" si="15"/>
        <v>0</v>
      </c>
      <c r="AC166" s="357">
        <f t="shared" si="15"/>
        <v>-49.033459999999998</v>
      </c>
      <c r="AD166" s="403"/>
    </row>
    <row r="167" spans="1:31" x14ac:dyDescent="0.2">
      <c r="A167" s="320" t="str">
        <f>IFERROR(VLOOKUP(B167,mapping_one_neo!A:B,2,FALSE),"")</f>
        <v/>
      </c>
      <c r="J167" s="335">
        <v>0</v>
      </c>
      <c r="M167" s="335">
        <v>0</v>
      </c>
      <c r="S167" s="349"/>
      <c r="T167" s="346"/>
      <c r="U167" s="351"/>
      <c r="V167" s="351"/>
      <c r="W167" s="351"/>
      <c r="X167" s="351"/>
      <c r="Y167" s="358"/>
      <c r="Z167" s="358"/>
      <c r="AA167" s="358"/>
      <c r="AB167" s="358"/>
      <c r="AC167" s="358"/>
      <c r="AD167" s="350"/>
    </row>
    <row r="168" spans="1:31" x14ac:dyDescent="0.2">
      <c r="A168" s="320" t="str">
        <f>IFERROR(VLOOKUP(B168,mapping_one_neo!A:B,2,FALSE),"")</f>
        <v/>
      </c>
      <c r="S168" s="349"/>
      <c r="T168" s="346"/>
      <c r="U168" s="351"/>
      <c r="V168" s="351"/>
      <c r="W168" s="351"/>
      <c r="X168" s="351"/>
      <c r="Y168" s="358"/>
      <c r="Z168" s="358"/>
      <c r="AA168" s="358"/>
      <c r="AB168" s="358"/>
      <c r="AC168" s="358"/>
      <c r="AD168" s="350"/>
    </row>
    <row r="169" spans="1:31" x14ac:dyDescent="0.2">
      <c r="A169" s="320">
        <f>IFERROR(VLOOKUP(B169,mapping_one_neo!A:B,2,FALSE),"")</f>
        <v>0</v>
      </c>
      <c r="B169" s="352" t="s">
        <v>115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8"/>
      <c r="AD169" s="350"/>
    </row>
    <row r="170" spans="1:31" s="352" customFormat="1" x14ac:dyDescent="0.2">
      <c r="A170" s="320" t="str">
        <f>IFERROR(VLOOKUP(B170,mapping_one_neo!A:B,2,FALSE),"")</f>
        <v>Insurance</v>
      </c>
      <c r="B170" s="352" t="s">
        <v>116</v>
      </c>
      <c r="C170" s="353" t="s">
        <v>160</v>
      </c>
      <c r="E170" s="356">
        <v>-0.69833333333333336</v>
      </c>
      <c r="G170" s="419">
        <v>-5.8000000000000003E-2</v>
      </c>
      <c r="H170" s="419">
        <v>-5.8000000000000003E-2</v>
      </c>
      <c r="I170" s="419">
        <v>-5.800000000000001E-2</v>
      </c>
      <c r="J170" s="419">
        <v>-5.7999999999999996E-2</v>
      </c>
      <c r="K170" s="419">
        <v>-5.8000000000000024E-2</v>
      </c>
      <c r="L170" s="419">
        <v>-5.7999999999999996E-2</v>
      </c>
      <c r="M170" s="419">
        <v>-5.8333333333333327E-2</v>
      </c>
      <c r="N170" s="419">
        <v>-5.8333333333333327E-2</v>
      </c>
      <c r="O170" s="419">
        <v>-5.8333333333333327E-2</v>
      </c>
      <c r="P170" s="419">
        <v>-5.8333333333333327E-2</v>
      </c>
      <c r="Q170" s="419">
        <v>-5.8333333333333327E-2</v>
      </c>
      <c r="R170" s="419">
        <v>-5.8666666666666603E-2</v>
      </c>
      <c r="S170" s="345"/>
      <c r="T170" s="361"/>
      <c r="U170" s="351">
        <v>-1.5</v>
      </c>
      <c r="V170" s="362"/>
      <c r="W170" s="362"/>
      <c r="X170" s="362"/>
      <c r="Y170" s="363">
        <v>-1.5</v>
      </c>
      <c r="Z170" s="363"/>
      <c r="AA170" s="363"/>
      <c r="AB170" s="363"/>
      <c r="AC170" s="363">
        <v>-1.5</v>
      </c>
      <c r="AD170" s="355"/>
      <c r="AE170" s="334"/>
    </row>
    <row r="171" spans="1:31" s="352" customFormat="1" x14ac:dyDescent="0.2">
      <c r="A171" s="320" t="str">
        <f>IFERROR(VLOOKUP(B171,mapping_one_neo!A:B,2,FALSE),"")</f>
        <v>Insurance</v>
      </c>
      <c r="B171" s="352" t="s">
        <v>117</v>
      </c>
      <c r="C171" s="353">
        <v>616021</v>
      </c>
      <c r="E171" s="356">
        <v>0</v>
      </c>
      <c r="G171" s="419">
        <v>0</v>
      </c>
      <c r="H171" s="419">
        <v>0</v>
      </c>
      <c r="I171" s="419">
        <v>0</v>
      </c>
      <c r="J171" s="419">
        <v>0</v>
      </c>
      <c r="K171" s="419">
        <v>0</v>
      </c>
      <c r="L171" s="419">
        <v>0</v>
      </c>
      <c r="M171" s="419">
        <v>0</v>
      </c>
      <c r="N171" s="419">
        <v>0</v>
      </c>
      <c r="O171" s="419">
        <v>0</v>
      </c>
      <c r="P171" s="419">
        <v>0</v>
      </c>
      <c r="Q171" s="419">
        <v>0</v>
      </c>
      <c r="R171" s="419">
        <v>0</v>
      </c>
      <c r="S171" s="345"/>
      <c r="T171" s="361"/>
      <c r="U171" s="351">
        <v>-0.26600000000000001</v>
      </c>
      <c r="V171" s="351">
        <v>0</v>
      </c>
      <c r="W171" s="351"/>
      <c r="X171" s="351"/>
      <c r="Y171" s="363">
        <v>-0.26600000000000001</v>
      </c>
      <c r="Z171" s="363"/>
      <c r="AA171" s="363"/>
      <c r="AB171" s="363"/>
      <c r="AC171" s="363">
        <v>-0.26600000000000001</v>
      </c>
      <c r="AD171" s="355"/>
      <c r="AE171" s="334"/>
    </row>
    <row r="172" spans="1:31" s="352" customFormat="1" x14ac:dyDescent="0.2">
      <c r="A172" s="320" t="str">
        <f>IFERROR(VLOOKUP(B172,mapping_one_neo!A:B,2,FALSE),"")</f>
        <v>Audit fees</v>
      </c>
      <c r="B172" s="352" t="s">
        <v>118</v>
      </c>
      <c r="C172" s="353">
        <v>622600</v>
      </c>
      <c r="E172" s="356">
        <v>-4</v>
      </c>
      <c r="G172" s="419">
        <v>-0.33333333333333331</v>
      </c>
      <c r="H172" s="419">
        <v>-0.33333333333333331</v>
      </c>
      <c r="I172" s="419">
        <v>-0.33333333333333337</v>
      </c>
      <c r="J172" s="419">
        <v>-0.33333333333333326</v>
      </c>
      <c r="K172" s="419">
        <v>-0.33333333333333326</v>
      </c>
      <c r="L172" s="419">
        <v>-0.33333333333333326</v>
      </c>
      <c r="M172" s="419">
        <v>-0.33333333333333326</v>
      </c>
      <c r="N172" s="419">
        <v>-0.33333333333333348</v>
      </c>
      <c r="O172" s="419">
        <v>-0.33333333333333331</v>
      </c>
      <c r="P172" s="419">
        <v>-0.33333333333333331</v>
      </c>
      <c r="Q172" s="419">
        <v>-0.33333333333333331</v>
      </c>
      <c r="R172" s="419">
        <v>-0.33333333333333331</v>
      </c>
      <c r="S172" s="345"/>
      <c r="T172" s="361"/>
      <c r="U172" s="351"/>
      <c r="V172" s="351">
        <v>-1.3333333333333333</v>
      </c>
      <c r="W172" s="351"/>
      <c r="X172" s="351"/>
      <c r="Y172" s="363">
        <v>-1.3333333333333333</v>
      </c>
      <c r="Z172" s="363"/>
      <c r="AA172" s="363"/>
      <c r="AB172" s="363"/>
      <c r="AC172" s="363">
        <v>-1.3333333333333333</v>
      </c>
      <c r="AD172" s="355"/>
      <c r="AE172" s="334"/>
    </row>
    <row r="173" spans="1:31" s="352" customFormat="1" x14ac:dyDescent="0.2">
      <c r="A173" s="320" t="str">
        <f>IFERROR(VLOOKUP(B173,mapping_one_neo!A:B,2,FALSE),"")</f>
        <v>Other finance &amp; general costs</v>
      </c>
      <c r="B173" s="352" t="s">
        <v>119</v>
      </c>
      <c r="C173" s="353">
        <v>618200</v>
      </c>
      <c r="E173" s="356">
        <v>-15.28218</v>
      </c>
      <c r="G173" s="419">
        <v>-0.86299999999999999</v>
      </c>
      <c r="H173" s="419">
        <v>-0.625</v>
      </c>
      <c r="I173" s="419">
        <v>-0.625</v>
      </c>
      <c r="J173" s="419">
        <v>-0.625</v>
      </c>
      <c r="K173" s="419">
        <v>-0.60273999999999983</v>
      </c>
      <c r="L173" s="419">
        <v>-0.61644000000000032</v>
      </c>
      <c r="M173" s="419">
        <v>-0.625</v>
      </c>
      <c r="N173" s="419">
        <v>-0.625</v>
      </c>
      <c r="O173" s="419">
        <v>-0.625</v>
      </c>
      <c r="P173" s="419">
        <v>-0.625</v>
      </c>
      <c r="Q173" s="419">
        <v>-0.625</v>
      </c>
      <c r="R173" s="419">
        <v>-8.1999999999999993</v>
      </c>
      <c r="S173" s="345"/>
      <c r="T173" s="361"/>
      <c r="U173" s="351">
        <v>-2.5</v>
      </c>
      <c r="V173" s="351"/>
      <c r="W173" s="351"/>
      <c r="X173" s="351"/>
      <c r="Y173" s="363">
        <v>-2.5</v>
      </c>
      <c r="Z173" s="363"/>
      <c r="AA173" s="363"/>
      <c r="AB173" s="363"/>
      <c r="AC173" s="363">
        <v>-2.5</v>
      </c>
      <c r="AD173" s="355"/>
      <c r="AE173" s="334"/>
    </row>
    <row r="174" spans="1:31" s="352" customFormat="1" x14ac:dyDescent="0.2">
      <c r="A174" s="320" t="str">
        <f>IFERROR(VLOOKUP(B174,mapping_one_neo!A:B,2,FALSE),"")</f>
        <v>Bank charges</v>
      </c>
      <c r="B174" s="352" t="s">
        <v>120</v>
      </c>
      <c r="C174" s="353">
        <v>627800</v>
      </c>
      <c r="E174" s="356">
        <v>-4.3593520000000003</v>
      </c>
      <c r="G174" s="419">
        <v>-0.31032999999999999</v>
      </c>
      <c r="H174" s="419">
        <v>-0.26900000000000002</v>
      </c>
      <c r="I174" s="419">
        <v>-0.51026000000000005</v>
      </c>
      <c r="J174" s="419">
        <v>-0.48784999999999989</v>
      </c>
      <c r="K174" s="419">
        <v>-0.26075000000000004</v>
      </c>
      <c r="L174" s="419">
        <v>-0.46876000000000007</v>
      </c>
      <c r="M174" s="419">
        <v>-0.34206700000000001</v>
      </c>
      <c r="N174" s="419">
        <v>-0.34206700000000001</v>
      </c>
      <c r="O174" s="419">
        <v>-0.34206700000000001</v>
      </c>
      <c r="P174" s="419">
        <v>-0.34206700000000001</v>
      </c>
      <c r="Q174" s="419">
        <v>-0.34206700000000001</v>
      </c>
      <c r="R174" s="419">
        <v>-0.34206700000000001</v>
      </c>
      <c r="S174" s="345"/>
      <c r="T174" s="361"/>
      <c r="U174" s="351">
        <v>-1.02064</v>
      </c>
      <c r="V174" s="351"/>
      <c r="W174" s="351"/>
      <c r="X174" s="351"/>
      <c r="Y174" s="363">
        <v>-1.02064</v>
      </c>
      <c r="Z174" s="363"/>
      <c r="AA174" s="363"/>
      <c r="AB174" s="363"/>
      <c r="AC174" s="363">
        <v>-1.02064</v>
      </c>
      <c r="AD174" s="355"/>
      <c r="AE174" s="334"/>
    </row>
    <row r="175" spans="1:31" s="352" customFormat="1" x14ac:dyDescent="0.2">
      <c r="A175" s="320" t="str">
        <f>IFERROR(VLOOKUP(B175,mapping_one_neo!A:B,2,FALSE),"")</f>
        <v>Other finance &amp; general costs</v>
      </c>
      <c r="B175" s="352" t="s">
        <v>756</v>
      </c>
      <c r="C175" s="353" t="s">
        <v>757</v>
      </c>
      <c r="E175" s="356">
        <v>0</v>
      </c>
      <c r="G175" s="419">
        <v>0</v>
      </c>
      <c r="H175" s="419">
        <v>0</v>
      </c>
      <c r="I175" s="419">
        <v>0</v>
      </c>
      <c r="J175" s="419">
        <v>-0.33400000000000002</v>
      </c>
      <c r="K175" s="419">
        <v>0.24400000000000002</v>
      </c>
      <c r="L175" s="419">
        <v>0.09</v>
      </c>
      <c r="M175" s="419"/>
      <c r="N175" s="419"/>
      <c r="O175" s="419"/>
      <c r="P175" s="419"/>
      <c r="Q175" s="419"/>
      <c r="R175" s="419"/>
      <c r="S175" s="345"/>
      <c r="T175" s="361"/>
      <c r="U175" s="351"/>
      <c r="V175" s="351"/>
      <c r="W175" s="351"/>
      <c r="X175" s="351"/>
      <c r="Y175" s="363">
        <v>0</v>
      </c>
      <c r="Z175" s="363"/>
      <c r="AA175" s="363"/>
      <c r="AB175" s="363"/>
      <c r="AC175" s="363">
        <v>0</v>
      </c>
      <c r="AD175" s="355"/>
      <c r="AE175" s="334"/>
    </row>
    <row r="176" spans="1:31" s="352" customFormat="1" x14ac:dyDescent="0.2">
      <c r="A176" s="320" t="str">
        <f>IFERROR(VLOOKUP(B176,mapping_one_neo!A:B,2,FALSE),"")</f>
        <v>Other finance &amp; general costs</v>
      </c>
      <c r="B176" s="352" t="s">
        <v>121</v>
      </c>
      <c r="C176" s="353">
        <v>622605</v>
      </c>
      <c r="E176" s="356">
        <v>-1.1000000000000001</v>
      </c>
      <c r="G176" s="419">
        <v>0</v>
      </c>
      <c r="H176" s="419">
        <v>0</v>
      </c>
      <c r="I176" s="419">
        <v>0</v>
      </c>
      <c r="J176" s="419">
        <v>0</v>
      </c>
      <c r="K176" s="419">
        <v>-0.3</v>
      </c>
      <c r="L176" s="419">
        <v>0</v>
      </c>
      <c r="M176" s="419">
        <v>0</v>
      </c>
      <c r="N176" s="419">
        <v>0</v>
      </c>
      <c r="O176" s="419">
        <v>-0.4</v>
      </c>
      <c r="P176" s="419"/>
      <c r="Q176" s="419"/>
      <c r="R176" s="419">
        <v>-0.4</v>
      </c>
      <c r="S176" s="345"/>
      <c r="T176" s="361"/>
      <c r="U176" s="351"/>
      <c r="V176" s="351"/>
      <c r="W176" s="351"/>
      <c r="X176" s="351"/>
      <c r="Y176" s="363"/>
      <c r="Z176" s="363"/>
      <c r="AA176" s="363"/>
      <c r="AB176" s="363"/>
      <c r="AC176" s="363"/>
      <c r="AD176" s="355"/>
      <c r="AE176" s="334"/>
    </row>
    <row r="177" spans="1:31" s="352" customFormat="1" x14ac:dyDescent="0.2">
      <c r="A177" s="320" t="str">
        <f>IFERROR(VLOOKUP(B177,mapping_one_neo!A:B,2,FALSE),"")</f>
        <v>I/G exchange gains/(losses)</v>
      </c>
      <c r="B177" s="352" t="s">
        <v>793</v>
      </c>
      <c r="C177" s="353">
        <v>766000</v>
      </c>
      <c r="E177" s="356">
        <v>13.01343</v>
      </c>
      <c r="G177" s="419">
        <v>4.4179300000000001</v>
      </c>
      <c r="H177" s="419">
        <v>7.4658999999999995</v>
      </c>
      <c r="I177" s="419">
        <v>0.92795000000000094</v>
      </c>
      <c r="J177" s="419"/>
      <c r="K177" s="419">
        <v>5.7760000000000034E-2</v>
      </c>
      <c r="L177" s="419">
        <v>0.14388999999999896</v>
      </c>
      <c r="M177" s="419"/>
      <c r="N177" s="419"/>
      <c r="O177" s="419"/>
      <c r="P177" s="419"/>
      <c r="Q177" s="419"/>
      <c r="R177" s="419"/>
      <c r="S177" s="345"/>
      <c r="T177" s="361"/>
      <c r="U177" s="351"/>
      <c r="V177" s="351"/>
      <c r="W177" s="351"/>
      <c r="X177" s="351"/>
      <c r="Y177" s="363"/>
      <c r="Z177" s="363"/>
      <c r="AA177" s="363"/>
      <c r="AB177" s="363"/>
      <c r="AC177" s="363"/>
      <c r="AD177" s="355"/>
      <c r="AE177" s="334"/>
    </row>
    <row r="178" spans="1:31" s="352" customFormat="1" x14ac:dyDescent="0.2">
      <c r="A178" s="320">
        <f>IFERROR(VLOOKUP(B178,mapping_one_neo!A:B,2,FALSE),"")</f>
        <v>0</v>
      </c>
      <c r="B178" s="352" t="s">
        <v>127</v>
      </c>
      <c r="C178" s="353"/>
      <c r="E178" s="356">
        <v>0</v>
      </c>
      <c r="G178" s="419">
        <v>0</v>
      </c>
      <c r="H178" s="419">
        <v>0</v>
      </c>
      <c r="I178" s="419">
        <v>0</v>
      </c>
      <c r="J178" s="419">
        <v>0</v>
      </c>
      <c r="K178" s="419">
        <v>0</v>
      </c>
      <c r="L178" s="419">
        <v>0</v>
      </c>
      <c r="M178" s="419"/>
      <c r="N178" s="419"/>
      <c r="O178" s="419"/>
      <c r="P178" s="419"/>
      <c r="Q178" s="419"/>
      <c r="R178" s="419"/>
      <c r="S178" s="345"/>
      <c r="T178" s="361"/>
      <c r="U178" s="351"/>
      <c r="V178" s="351"/>
      <c r="W178" s="351"/>
      <c r="X178" s="351"/>
      <c r="Y178" s="363"/>
      <c r="Z178" s="363"/>
      <c r="AA178" s="363"/>
      <c r="AB178" s="363"/>
      <c r="AC178" s="363"/>
      <c r="AD178" s="355"/>
      <c r="AE178" s="334"/>
    </row>
    <row r="179" spans="1:31" x14ac:dyDescent="0.2">
      <c r="A179" s="320">
        <f>IFERROR(VLOOKUP(B179,mapping_one_neo!A:B,2,FALSE),"")</f>
        <v>0</v>
      </c>
      <c r="B179" s="352" t="s">
        <v>122</v>
      </c>
      <c r="C179" s="353"/>
      <c r="E179" s="354">
        <v>-12.426435333333337</v>
      </c>
      <c r="G179" s="354">
        <v>2.8532666666666668</v>
      </c>
      <c r="H179" s="354">
        <v>6.1805666666666657</v>
      </c>
      <c r="I179" s="354">
        <v>-0.59864333333333253</v>
      </c>
      <c r="J179" s="354">
        <v>-1.8381833333333333</v>
      </c>
      <c r="K179" s="354">
        <v>-1.2530633333333332</v>
      </c>
      <c r="L179" s="354">
        <v>-1.2426433333333347</v>
      </c>
      <c r="M179" s="354">
        <v>-1.3587336666666667</v>
      </c>
      <c r="N179" s="354">
        <v>-1.3587336666666667</v>
      </c>
      <c r="O179" s="354">
        <v>-1.7587336666666666</v>
      </c>
      <c r="P179" s="354">
        <v>-1.3587336666666667</v>
      </c>
      <c r="Q179" s="354">
        <v>-1.3587336666666667</v>
      </c>
      <c r="R179" s="354">
        <v>-9.3340669999999992</v>
      </c>
      <c r="S179" s="349"/>
      <c r="T179" s="346"/>
      <c r="U179" s="354">
        <f>SUM(U170:U176)</f>
        <v>-5.2866400000000002</v>
      </c>
      <c r="V179" s="354">
        <f t="shared" ref="V179:AC179" si="16">SUM(V170:V176)</f>
        <v>-1.3333333333333333</v>
      </c>
      <c r="W179" s="354">
        <f t="shared" si="16"/>
        <v>0</v>
      </c>
      <c r="X179" s="354">
        <f t="shared" si="16"/>
        <v>0</v>
      </c>
      <c r="Y179" s="354">
        <f t="shared" si="16"/>
        <v>-6.6199733333333333</v>
      </c>
      <c r="Z179" s="354">
        <f t="shared" si="16"/>
        <v>0</v>
      </c>
      <c r="AA179" s="354">
        <f t="shared" si="16"/>
        <v>0</v>
      </c>
      <c r="AB179" s="354">
        <f t="shared" si="16"/>
        <v>0</v>
      </c>
      <c r="AC179" s="354">
        <f t="shared" si="16"/>
        <v>-6.6199733333333333</v>
      </c>
      <c r="AD179" s="350"/>
    </row>
    <row r="180" spans="1:31" x14ac:dyDescent="0.2">
      <c r="A180" s="320" t="str">
        <f>IFERROR(VLOOKUP(B180,mapping_one_neo!A:B,2,FALSE),"")</f>
        <v/>
      </c>
      <c r="S180" s="349"/>
      <c r="T180" s="346"/>
      <c r="U180" s="351"/>
      <c r="V180" s="351"/>
      <c r="W180" s="351"/>
      <c r="X180" s="351"/>
      <c r="Y180" s="358"/>
      <c r="Z180" s="358"/>
      <c r="AA180" s="358"/>
      <c r="AB180" s="358"/>
      <c r="AC180" s="358"/>
      <c r="AD180" s="350"/>
    </row>
    <row r="181" spans="1:31" s="352" customFormat="1" x14ac:dyDescent="0.2">
      <c r="A181" s="320">
        <f>IFERROR(VLOOKUP(B181,mapping_one_neo!A:B,2,FALSE),"")</f>
        <v>0</v>
      </c>
      <c r="B181" s="352" t="s">
        <v>123</v>
      </c>
      <c r="C181" s="353"/>
      <c r="E181" s="356">
        <v>-1056.4001456871595</v>
      </c>
      <c r="G181" s="356">
        <v>-72.381549166666659</v>
      </c>
      <c r="H181" s="356">
        <v>-77.538119166666675</v>
      </c>
      <c r="I181" s="356">
        <v>-87.084399166666671</v>
      </c>
      <c r="J181" s="356">
        <v>-83.282141759259233</v>
      </c>
      <c r="K181" s="356">
        <v>-81.486561759259217</v>
      </c>
      <c r="L181" s="356">
        <v>-79.562363981481568</v>
      </c>
      <c r="M181" s="356">
        <v>-101.4223185968211</v>
      </c>
      <c r="N181" s="356">
        <v>-91.743487902376756</v>
      </c>
      <c r="O181" s="356">
        <v>-90.708533423210099</v>
      </c>
      <c r="P181" s="356">
        <v>-91.704564673210086</v>
      </c>
      <c r="Q181" s="356">
        <v>-90.004564673210098</v>
      </c>
      <c r="R181" s="356">
        <v>-109.48154141833135</v>
      </c>
      <c r="S181" s="349"/>
      <c r="T181" s="346"/>
      <c r="U181" s="354">
        <f>U58+U81+U102+U135+U166+U179</f>
        <v>-301.07708000000002</v>
      </c>
      <c r="V181" s="354">
        <f t="shared" ref="V181:AC181" si="17">V58+V81+V102+V135+V166+V179</f>
        <v>-57.744903333333333</v>
      </c>
      <c r="W181" s="354">
        <f t="shared" si="17"/>
        <v>-6.2333333333333334</v>
      </c>
      <c r="X181" s="354">
        <f t="shared" si="17"/>
        <v>-33.944952346666661</v>
      </c>
      <c r="Y181" s="357">
        <f t="shared" si="17"/>
        <v>-399.00026901333331</v>
      </c>
      <c r="Z181" s="357">
        <f t="shared" si="17"/>
        <v>0</v>
      </c>
      <c r="AA181" s="357">
        <f t="shared" si="17"/>
        <v>0</v>
      </c>
      <c r="AB181" s="357">
        <f t="shared" si="17"/>
        <v>0</v>
      </c>
      <c r="AC181" s="357">
        <f t="shared" si="17"/>
        <v>-399.00026901333331</v>
      </c>
      <c r="AD181" s="355"/>
      <c r="AE181" s="334"/>
    </row>
    <row r="182" spans="1:31" x14ac:dyDescent="0.2">
      <c r="A182" s="320" t="str">
        <f>IFERROR(VLOOKUP(B182,mapping_one_neo!A:B,2,FALSE),"")</f>
        <v/>
      </c>
      <c r="S182" s="349"/>
      <c r="T182" s="346"/>
      <c r="U182" s="351"/>
      <c r="V182" s="351"/>
      <c r="W182" s="351"/>
      <c r="X182" s="351"/>
      <c r="Y182" s="358"/>
      <c r="Z182" s="358"/>
      <c r="AA182" s="358"/>
      <c r="AB182" s="358"/>
      <c r="AC182" s="358"/>
      <c r="AD182" s="350"/>
    </row>
    <row r="183" spans="1:31" x14ac:dyDescent="0.2">
      <c r="A183" s="320" t="str">
        <f>IFERROR(VLOOKUP(B183,mapping_one_neo!A:B,2,FALSE),"")</f>
        <v>Country overhead AU=0.INP Neo</v>
      </c>
      <c r="B183" s="352" t="s">
        <v>124</v>
      </c>
      <c r="C183" s="337" t="s">
        <v>768</v>
      </c>
      <c r="E183" s="356">
        <v>-562.73365000000001</v>
      </c>
      <c r="G183" s="356">
        <v>-46.894470833333337</v>
      </c>
      <c r="H183" s="356">
        <v>-46.894470833333337</v>
      </c>
      <c r="I183" s="356">
        <v>-46.894470833333337</v>
      </c>
      <c r="J183" s="356">
        <v>-46.894470833333337</v>
      </c>
      <c r="K183" s="356">
        <v>-46.894470833333337</v>
      </c>
      <c r="L183" s="356">
        <v>-46.894470833333337</v>
      </c>
      <c r="M183" s="356">
        <v>-46.894470833333337</v>
      </c>
      <c r="N183" s="356">
        <v>-46.894470833333337</v>
      </c>
      <c r="O183" s="356">
        <v>-46.894470833333337</v>
      </c>
      <c r="P183" s="356">
        <v>-46.894470833333337</v>
      </c>
      <c r="Q183" s="356">
        <v>-46.894470833333337</v>
      </c>
      <c r="R183" s="356">
        <v>-46.894470833333337</v>
      </c>
      <c r="S183" s="349"/>
      <c r="T183" s="346"/>
      <c r="U183" s="351">
        <v>-15.667999999999999</v>
      </c>
      <c r="V183" s="351">
        <v>0</v>
      </c>
      <c r="W183" s="351">
        <v>-160.03200000000001</v>
      </c>
      <c r="X183" s="351">
        <v>0</v>
      </c>
      <c r="Y183" s="358">
        <v>-175.70000000000002</v>
      </c>
      <c r="Z183" s="358"/>
      <c r="AA183" s="358"/>
      <c r="AB183" s="358"/>
      <c r="AC183" s="363">
        <v>-175.70000000000002</v>
      </c>
      <c r="AD183" s="350"/>
    </row>
    <row r="184" spans="1:31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8"/>
      <c r="AD184" s="350"/>
    </row>
    <row r="185" spans="1:31" s="352" customFormat="1" ht="13.5" thickBot="1" x14ac:dyDescent="0.25">
      <c r="A185" s="320">
        <f>IFERROR(VLOOKUP(B185,mapping_one_neo!A:B,2,FALSE),"")</f>
        <v>0</v>
      </c>
      <c r="B185" s="352" t="s">
        <v>125</v>
      </c>
      <c r="C185" s="353"/>
      <c r="E185" s="406">
        <v>1064.7890899761505</v>
      </c>
      <c r="G185" s="407">
        <v>-47.638120017778</v>
      </c>
      <c r="H185" s="407">
        <v>66.287604982221978</v>
      </c>
      <c r="I185" s="407">
        <v>60.890894982221901</v>
      </c>
      <c r="J185" s="407">
        <v>121.09979912740795</v>
      </c>
      <c r="K185" s="407">
        <v>107.85232907407365</v>
      </c>
      <c r="L185" s="407">
        <v>131.96869745185273</v>
      </c>
      <c r="M185" s="407">
        <v>11.106425399242518</v>
      </c>
      <c r="N185" s="407">
        <v>75.889422760352915</v>
      </c>
      <c r="O185" s="407">
        <v>216.34490612047261</v>
      </c>
      <c r="P185" s="407">
        <v>127.9979051561865</v>
      </c>
      <c r="Q185" s="407">
        <v>124.69790515618649</v>
      </c>
      <c r="R185" s="407">
        <v>67.698319783708541</v>
      </c>
      <c r="S185" s="349"/>
      <c r="T185" s="346"/>
      <c r="U185" s="406">
        <f>U6+U49+U181+U183</f>
        <v>172.45215666667002</v>
      </c>
      <c r="V185" s="406">
        <f t="shared" ref="V185:AC185" si="18">V6+V49+V181+V183</f>
        <v>-25.621093333333334</v>
      </c>
      <c r="W185" s="406">
        <f t="shared" si="18"/>
        <v>-166.26533333333333</v>
      </c>
      <c r="X185" s="406">
        <f t="shared" si="18"/>
        <v>-40.669338346666663</v>
      </c>
      <c r="Y185" s="411">
        <f t="shared" si="18"/>
        <v>-60.103608346663094</v>
      </c>
      <c r="Z185" s="411">
        <f t="shared" si="18"/>
        <v>1243.4697800000001</v>
      </c>
      <c r="AA185" s="411">
        <f t="shared" si="18"/>
        <v>1243.4697800000001</v>
      </c>
      <c r="AB185" s="411">
        <f t="shared" si="18"/>
        <v>1243.4697800000001</v>
      </c>
      <c r="AC185" s="411">
        <f t="shared" si="18"/>
        <v>-60.103608346663094</v>
      </c>
      <c r="AD185" s="355"/>
      <c r="AE185" s="334"/>
    </row>
    <row r="186" spans="1:31" s="408" customFormat="1" ht="13.5" thickTop="1" x14ac:dyDescent="0.2">
      <c r="A186" s="320" t="str">
        <f>IFERROR(VLOOKUP(B186,mapping_one_neo!A:B,2,FALSE),"")</f>
        <v/>
      </c>
      <c r="E186" s="409">
        <v>0.17023361408393931</v>
      </c>
      <c r="G186" s="408">
        <v>-0.1395572912694007</v>
      </c>
      <c r="H186" s="408">
        <v>0.14595496269585756</v>
      </c>
      <c r="I186" s="408">
        <v>0.12442763665003939</v>
      </c>
      <c r="J186" s="408">
        <v>0.23553786205916724</v>
      </c>
      <c r="K186" s="408">
        <v>0.20834089102311387</v>
      </c>
      <c r="L186" s="408">
        <v>0.23022728151277719</v>
      </c>
      <c r="M186" s="408">
        <v>2.296659815619486E-2</v>
      </c>
      <c r="N186" s="408">
        <v>0.14945030311906116</v>
      </c>
      <c r="O186" s="408">
        <v>0.35450467469009223</v>
      </c>
      <c r="P186" s="408">
        <v>0.22213063957647869</v>
      </c>
      <c r="Q186" s="408">
        <v>0.21829793772579228</v>
      </c>
      <c r="R186" s="408">
        <v>0.10992658010645354</v>
      </c>
      <c r="S186" s="349"/>
      <c r="T186" s="346"/>
      <c r="U186" s="427">
        <v>0.10138171547854044</v>
      </c>
      <c r="V186" s="427" t="e">
        <v>#DIV/0!</v>
      </c>
      <c r="W186" s="427" t="e">
        <v>#DIV/0!</v>
      </c>
      <c r="X186" s="427" t="e">
        <v>#DIV/0!</v>
      </c>
      <c r="Y186" s="427">
        <v>-0.11464460809174173</v>
      </c>
      <c r="Z186" s="427"/>
      <c r="AA186" s="427"/>
      <c r="AB186" s="427" t="e">
        <v>#DIV/0!</v>
      </c>
      <c r="AC186" s="427">
        <v>-0.11464460809174173</v>
      </c>
      <c r="AD186" s="410"/>
      <c r="AE186" s="334"/>
    </row>
    <row r="187" spans="1:31" x14ac:dyDescent="0.2">
      <c r="A187" s="320" t="str">
        <f>IFERROR(VLOOKUP(B187,mapping_one_neo!A:B,2,FALSE),"")</f>
        <v/>
      </c>
      <c r="S187" s="349"/>
      <c r="T187" s="346"/>
      <c r="U187" s="351"/>
      <c r="V187" s="351"/>
      <c r="W187" s="351"/>
      <c r="X187" s="351"/>
      <c r="Y187" s="358"/>
      <c r="Z187" s="358"/>
      <c r="AA187" s="358"/>
      <c r="AB187" s="358"/>
      <c r="AC187" s="358"/>
      <c r="AD187" s="350"/>
    </row>
    <row r="188" spans="1:31" x14ac:dyDescent="0.2">
      <c r="A188" s="320" t="str">
        <f>IFERROR(VLOOKUP(B188,mapping_one_neo!A:B,2,FALSE),"")</f>
        <v>I/G exchange gains/(losses)</v>
      </c>
      <c r="B188" s="352" t="s">
        <v>126</v>
      </c>
      <c r="S188" s="349"/>
      <c r="T188" s="346"/>
      <c r="U188" s="428">
        <v>1.2499500000000001</v>
      </c>
      <c r="V188" s="412">
        <v>0</v>
      </c>
      <c r="W188" s="412">
        <v>0</v>
      </c>
      <c r="X188" s="412">
        <v>0</v>
      </c>
      <c r="Y188" s="401">
        <v>1.2499500000000001</v>
      </c>
      <c r="Z188" s="401"/>
      <c r="AA188" s="401"/>
      <c r="AB188" s="401"/>
      <c r="AC188" s="429">
        <v>1.2499500000000001</v>
      </c>
      <c r="AD188" s="350"/>
    </row>
    <row r="189" spans="1:31" x14ac:dyDescent="0.2">
      <c r="A189" s="320" t="str">
        <f>IFERROR(VLOOKUP(B189,mapping_one_neo!A:B,2,FALSE),"")</f>
        <v>I/G exchange gains/(losses)</v>
      </c>
      <c r="B189" s="334" t="s">
        <v>126</v>
      </c>
      <c r="C189" s="337">
        <v>768003</v>
      </c>
      <c r="G189" s="335">
        <v>-46.894470833333337</v>
      </c>
      <c r="S189" s="349"/>
      <c r="T189" s="346"/>
      <c r="U189" s="430">
        <v>0.42043999999999998</v>
      </c>
      <c r="V189" s="351"/>
      <c r="W189" s="351"/>
      <c r="X189" s="351"/>
      <c r="Y189" s="358"/>
      <c r="Z189" s="358"/>
      <c r="AA189" s="358"/>
      <c r="AB189" s="358"/>
      <c r="AC189" s="431">
        <v>0</v>
      </c>
      <c r="AD189" s="350"/>
    </row>
    <row r="190" spans="1:31" x14ac:dyDescent="0.2">
      <c r="A190" s="320">
        <f>IFERROR(VLOOKUP(B190,mapping_one_neo!A:B,2,FALSE),"")</f>
        <v>0</v>
      </c>
      <c r="B190" s="334" t="s">
        <v>127</v>
      </c>
      <c r="C190" s="337">
        <v>758000</v>
      </c>
      <c r="S190" s="349"/>
      <c r="T190" s="346"/>
      <c r="U190" s="432">
        <v>0.82951000000000008</v>
      </c>
      <c r="V190" s="413"/>
      <c r="W190" s="413"/>
      <c r="X190" s="413"/>
      <c r="Y190" s="433"/>
      <c r="Z190" s="433"/>
      <c r="AA190" s="433"/>
      <c r="AB190" s="433"/>
      <c r="AC190" s="434">
        <v>0</v>
      </c>
      <c r="AD190" s="350"/>
    </row>
    <row r="191" spans="1:31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8"/>
      <c r="AD191" s="350"/>
    </row>
    <row r="192" spans="1:31" x14ac:dyDescent="0.2">
      <c r="A192" s="320" t="str">
        <f>IFERROR(VLOOKUP(B192,mapping_one_neo!A:B,2,FALSE),"")</f>
        <v>I/G exchange gains/(losses)</v>
      </c>
      <c r="B192" s="352" t="s">
        <v>128</v>
      </c>
      <c r="S192" s="349"/>
      <c r="T192" s="346"/>
      <c r="U192" s="428">
        <v>-0.23218</v>
      </c>
      <c r="V192" s="412">
        <v>0</v>
      </c>
      <c r="W192" s="412">
        <v>0</v>
      </c>
      <c r="X192" s="412">
        <v>0</v>
      </c>
      <c r="Y192" s="401">
        <v>-0.23218</v>
      </c>
      <c r="Z192" s="401"/>
      <c r="AA192" s="401"/>
      <c r="AB192" s="401"/>
      <c r="AC192" s="429">
        <v>-0.23218</v>
      </c>
      <c r="AD192" s="350"/>
    </row>
    <row r="193" spans="1:31" x14ac:dyDescent="0.2">
      <c r="A193" s="320" t="str">
        <f>IFERROR(VLOOKUP(B193,mapping_one_neo!A:B,2,FALSE),"")</f>
        <v>I/G exchange gains/(losses)</v>
      </c>
      <c r="B193" s="334" t="s">
        <v>129</v>
      </c>
      <c r="C193" s="337">
        <v>666000</v>
      </c>
      <c r="S193" s="349"/>
      <c r="T193" s="346"/>
      <c r="U193" s="430">
        <v>-0.23300999999999999</v>
      </c>
      <c r="V193" s="351"/>
      <c r="W193" s="351"/>
      <c r="X193" s="351"/>
      <c r="Y193" s="358"/>
      <c r="Z193" s="358"/>
      <c r="AA193" s="358"/>
      <c r="AB193" s="358"/>
      <c r="AC193" s="431">
        <v>0</v>
      </c>
      <c r="AD193" s="350"/>
    </row>
    <row r="194" spans="1:31" x14ac:dyDescent="0.2">
      <c r="A194" s="320">
        <f>IFERROR(VLOOKUP(B194,mapping_one_neo!A:B,2,FALSE),"")</f>
        <v>0</v>
      </c>
      <c r="B194" s="334" t="s">
        <v>127</v>
      </c>
      <c r="C194" s="414" t="s">
        <v>758</v>
      </c>
      <c r="S194" s="349"/>
      <c r="T194" s="346"/>
      <c r="U194" s="432">
        <v>8.3000000000000001E-4</v>
      </c>
      <c r="V194" s="441"/>
      <c r="W194" s="413"/>
      <c r="X194" s="413"/>
      <c r="Y194" s="433"/>
      <c r="Z194" s="433"/>
      <c r="AA194" s="433"/>
      <c r="AB194" s="433"/>
      <c r="AC194" s="434">
        <v>0</v>
      </c>
      <c r="AD194" s="350"/>
    </row>
    <row r="195" spans="1:31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8" t="s">
        <v>134</v>
      </c>
      <c r="AD195" s="350"/>
    </row>
    <row r="196" spans="1:31" x14ac:dyDescent="0.2">
      <c r="A196" s="320">
        <f>IFERROR(VLOOKUP(B196,mapping_one_neo!A:B,2,FALSE),"")</f>
        <v>0</v>
      </c>
      <c r="B196" s="352" t="s">
        <v>130</v>
      </c>
      <c r="S196" s="349"/>
      <c r="T196" s="346"/>
      <c r="U196" s="415">
        <v>339.08673000000016</v>
      </c>
      <c r="V196" s="415">
        <v>-25.621093333333334</v>
      </c>
      <c r="W196" s="415">
        <v>-166.26533333333333</v>
      </c>
      <c r="X196" s="415">
        <v>-40.66933834666667</v>
      </c>
      <c r="Y196" s="435">
        <v>106.53096498666706</v>
      </c>
      <c r="Z196" s="435">
        <v>0</v>
      </c>
      <c r="AA196" s="435"/>
      <c r="AB196" s="435">
        <v>0</v>
      </c>
      <c r="AC196" s="435">
        <v>106.53096498666706</v>
      </c>
      <c r="AD196" s="350"/>
    </row>
    <row r="197" spans="1:31" x14ac:dyDescent="0.2">
      <c r="A197" s="320" t="str">
        <f>IFERROR(VLOOKUP(B197,mapping_one_neo!A:B,2,FALSE),"")</f>
        <v/>
      </c>
      <c r="S197" s="349"/>
      <c r="T197" s="346"/>
      <c r="U197" s="351"/>
      <c r="V197" s="351"/>
      <c r="W197" s="351"/>
      <c r="X197" s="351"/>
      <c r="Y197" s="358"/>
      <c r="Z197" s="358"/>
      <c r="AA197" s="358"/>
      <c r="AB197" s="358"/>
      <c r="AC197" s="358"/>
      <c r="AD197" s="350"/>
    </row>
    <row r="198" spans="1:31" s="352" customFormat="1" x14ac:dyDescent="0.2">
      <c r="A198" s="320">
        <f>IFERROR(VLOOKUP(B198,mapping_one_neo!A:B,2,FALSE),"")</f>
        <v>0</v>
      </c>
      <c r="B198" s="352" t="s">
        <v>131</v>
      </c>
      <c r="C198" s="353"/>
      <c r="E198" s="356"/>
      <c r="G198" s="335"/>
      <c r="H198" s="335"/>
      <c r="I198" s="335"/>
      <c r="J198" s="335"/>
      <c r="K198" s="335"/>
      <c r="L198" s="335"/>
      <c r="M198" s="335"/>
      <c r="N198" s="335"/>
      <c r="O198" s="335"/>
      <c r="P198" s="335"/>
      <c r="Q198" s="335"/>
      <c r="R198" s="335"/>
      <c r="S198" s="349"/>
      <c r="T198" s="346"/>
      <c r="U198" s="415">
        <v>339.08673000000016</v>
      </c>
      <c r="V198" s="354"/>
      <c r="W198" s="354"/>
      <c r="X198" s="415">
        <v>-40.66933834666667</v>
      </c>
      <c r="Y198" s="435">
        <v>0</v>
      </c>
      <c r="Z198" s="435">
        <v>0</v>
      </c>
      <c r="AA198" s="435"/>
      <c r="AB198" s="435">
        <v>0</v>
      </c>
      <c r="AC198" s="435">
        <v>0</v>
      </c>
      <c r="AD198" s="355"/>
    </row>
    <row r="199" spans="1:31" ht="13.5" thickBot="1" x14ac:dyDescent="0.25">
      <c r="A199" s="320" t="str">
        <f>IFERROR(VLOOKUP(B199,mapping_one_neo!A:B,2,FALSE),"")</f>
        <v/>
      </c>
      <c r="S199" s="349"/>
      <c r="T199" s="416"/>
      <c r="U199" s="418"/>
      <c r="V199" s="418"/>
      <c r="W199" s="418"/>
      <c r="X199" s="418"/>
      <c r="Y199" s="436"/>
      <c r="Z199" s="436"/>
      <c r="AA199" s="436"/>
      <c r="AB199" s="436"/>
      <c r="AC199" s="436"/>
      <c r="AD199" s="417"/>
    </row>
    <row r="200" spans="1:31" x14ac:dyDescent="0.2">
      <c r="A200" s="320" t="str">
        <f>IFERROR(VLOOKUP(B200,mapping_one_neo!A:B,2,FALSE),"")</f>
        <v/>
      </c>
    </row>
    <row r="201" spans="1:31" s="352" customFormat="1" x14ac:dyDescent="0.2">
      <c r="A201" s="320">
        <f>IFERROR(VLOOKUP(B201,mapping_one_neo!A:B,2,FALSE),"")</f>
        <v>0</v>
      </c>
      <c r="B201" s="352" t="s">
        <v>132</v>
      </c>
      <c r="C201" s="353"/>
      <c r="E201" s="356"/>
      <c r="G201" s="356"/>
      <c r="H201" s="356"/>
      <c r="I201" s="356"/>
      <c r="J201" s="356"/>
      <c r="K201" s="356"/>
      <c r="L201" s="356"/>
      <c r="M201" s="356"/>
      <c r="N201" s="356"/>
      <c r="O201" s="356"/>
      <c r="P201" s="356"/>
      <c r="Q201" s="356"/>
      <c r="R201" s="356"/>
      <c r="U201" s="356"/>
      <c r="V201" s="356"/>
      <c r="W201" s="356"/>
      <c r="X201" s="356"/>
      <c r="Y201" s="437"/>
      <c r="Z201" s="437"/>
      <c r="AA201" s="437"/>
      <c r="AB201" s="437"/>
      <c r="AC201" s="437">
        <f>AC6+AC49+AC58+AC81+AC102+AC135+AC166+AC179+U183+U188+U192-AC163</f>
        <v>107.17949498667028</v>
      </c>
      <c r="AE201" s="352" t="s">
        <v>759</v>
      </c>
    </row>
    <row r="202" spans="1:31" x14ac:dyDescent="0.2">
      <c r="A202" s="320" t="str">
        <f>IFERROR(VLOOKUP(B202,mapping_one_neo!A:B,2,FALSE),"")</f>
        <v/>
      </c>
    </row>
    <row r="203" spans="1:31" s="352" customFormat="1" x14ac:dyDescent="0.2">
      <c r="A203" s="320">
        <f>IFERROR(VLOOKUP(B203,mapping_one_neo!A:B,2,FALSE),"")</f>
        <v>0</v>
      </c>
      <c r="B203" s="352" t="s">
        <v>133</v>
      </c>
      <c r="C203" s="353"/>
      <c r="E203" s="356"/>
      <c r="G203" s="356"/>
      <c r="H203" s="356"/>
      <c r="I203" s="356"/>
      <c r="J203" s="356"/>
      <c r="K203" s="356"/>
      <c r="L203" s="356"/>
      <c r="M203" s="356"/>
      <c r="N203" s="356"/>
      <c r="O203" s="356"/>
      <c r="P203" s="356"/>
      <c r="Q203" s="356"/>
      <c r="R203" s="356"/>
      <c r="U203" s="335"/>
      <c r="V203" s="335"/>
      <c r="W203" s="356"/>
      <c r="X203" s="356"/>
      <c r="Y203" s="437"/>
      <c r="Z203" s="437"/>
      <c r="AA203" s="437"/>
      <c r="AB203" s="437"/>
      <c r="AC203" s="437"/>
    </row>
    <row r="204" spans="1:31" x14ac:dyDescent="0.2">
      <c r="A204" s="320" t="str">
        <f>IFERROR(VLOOKUP(B204,mapping_one_neo!A:B,2,FALSE),"")</f>
        <v/>
      </c>
    </row>
    <row r="206" spans="1:31" x14ac:dyDescent="0.2">
      <c r="B206" s="334" t="s">
        <v>794</v>
      </c>
    </row>
    <row r="211" spans="1:31" s="335" customFormat="1" x14ac:dyDescent="0.2">
      <c r="A211" s="320"/>
      <c r="C211" s="337"/>
      <c r="D211" s="334"/>
      <c r="F211" s="334"/>
      <c r="S211" s="334"/>
      <c r="T211" s="334"/>
      <c r="Y211" s="420"/>
      <c r="Z211" s="420"/>
      <c r="AA211" s="420"/>
      <c r="AB211" s="420"/>
      <c r="AC211" s="420"/>
      <c r="AD211" s="334"/>
      <c r="AE211" s="334"/>
    </row>
    <row r="212" spans="1:31" s="335" customFormat="1" x14ac:dyDescent="0.2">
      <c r="A212" s="320"/>
      <c r="C212" s="337"/>
      <c r="D212" s="334"/>
      <c r="F212" s="334"/>
      <c r="S212" s="334"/>
      <c r="T212" s="334"/>
      <c r="Y212" s="420"/>
      <c r="Z212" s="420"/>
      <c r="AA212" s="420"/>
      <c r="AB212" s="420"/>
      <c r="AC212" s="420"/>
      <c r="AD212" s="334"/>
      <c r="AE212" s="334"/>
    </row>
    <row r="213" spans="1:31" s="335" customFormat="1" x14ac:dyDescent="0.2">
      <c r="A213" s="320"/>
      <c r="C213" s="337"/>
      <c r="D213" s="334"/>
      <c r="F213" s="334"/>
      <c r="S213" s="334"/>
      <c r="T213" s="334"/>
      <c r="Y213" s="420"/>
      <c r="Z213" s="420"/>
      <c r="AA213" s="420"/>
      <c r="AB213" s="420"/>
      <c r="AC213" s="420"/>
      <c r="AD213" s="334"/>
      <c r="AE213" s="334"/>
    </row>
    <row r="214" spans="1:31" s="335" customFormat="1" x14ac:dyDescent="0.2">
      <c r="A214" s="320"/>
      <c r="C214" s="337"/>
      <c r="D214" s="334"/>
      <c r="F214" s="334"/>
      <c r="S214" s="334"/>
      <c r="T214" s="334"/>
      <c r="Y214" s="420"/>
      <c r="Z214" s="420"/>
      <c r="AA214" s="420"/>
      <c r="AB214" s="420"/>
      <c r="AC214" s="420"/>
      <c r="AD214" s="334"/>
      <c r="AE214" s="334"/>
    </row>
    <row r="215" spans="1:31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420"/>
      <c r="AD215" s="334"/>
      <c r="AE215" s="334"/>
    </row>
  </sheetData>
  <autoFilter ref="A1:A215"/>
  <mergeCells count="1">
    <mergeCell ref="AE9:AE10"/>
  </mergeCells>
  <pageMargins left="0.7" right="0.7" top="0.75" bottom="0.75" header="0.3" footer="0.3"/>
  <pageSetup paperSize="121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39997558519241921"/>
    <pageSetUpPr fitToPage="1"/>
  </sheetPr>
  <dimension ref="A1:N75"/>
  <sheetViews>
    <sheetView showGridLines="0" topLeftCell="A12" workbookViewId="0">
      <selection activeCell="J28" sqref="J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42826</v>
      </c>
      <c r="E13" s="324">
        <f ca="1">NOW()</f>
        <v>43075.51473761574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SUMIF(Avril!$A:$A,'p&amp;l Avril'!D16,Avril!$Y:$Y)</f>
        <v>1704.6180566666699</v>
      </c>
      <c r="F16" s="289">
        <f>SUMIF(Fev!$A:$A,'p&amp;l Avril'!D16,Fev!$X:$X)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SUMIF(Avril!$A:$A,'p&amp;l Avril'!D19,Avril!$Y:$Y)</f>
        <v>-789.18097999999975</v>
      </c>
      <c r="F19" s="316">
        <f>SUMIF(Fev!$A:$A,'p&amp;l Avril'!D19,Fev!$X:$X)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SUMIF(Avril!$A:$A,'p&amp;l Avril'!D20,Avril!$Y:$Y)</f>
        <v>-332.15011600000003</v>
      </c>
      <c r="F20" s="316">
        <f>SUMIF(Fev!$A:$A,'p&amp;l Avril'!D20,Fev!$X:$X)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SUMIF(Avril!$A:$A,'p&amp;l Avril'!D21,Avril!$Y:$Y)</f>
        <v>-74.497870000000006</v>
      </c>
      <c r="F21" s="316">
        <f>SUMIF(Fev!$A:$A,'p&amp;l Avril'!D21,Fev!$X:$X)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SUMIF(Avril!$A:$A,'p&amp;l Avril'!D22,Avril!$Y:$Y)</f>
        <v>0</v>
      </c>
      <c r="F22" s="316">
        <f>SUMIF(Fev!$A:$A,'p&amp;l Avril'!D22,Fev!$X:$X)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SUMIF(Avril!$A:$A,'p&amp;l Avril'!D23,Avril!$Y:$Y)</f>
        <v>0</v>
      </c>
      <c r="F23" s="316">
        <f>SUMIF(Fev!$A:$A,'p&amp;l Avril'!D23,Fev!$X:$X)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SUMIF(Avril!$A:$A,'p&amp;l Avril'!D24,Avril!$Y:$Y)</f>
        <v>0.74000000000000021</v>
      </c>
      <c r="F24" s="316">
        <f>SUMIF(Fev!$A:$A,'p&amp;l Avril'!D24,Fev!$X:$X)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SUMIF(Avril!$A:$A,'p&amp;l Avril'!D25,Avril!$Y:$Y)</f>
        <v>0</v>
      </c>
      <c r="F25" s="316">
        <f>SUMIF(Fev!$A:$A,'p&amp;l Avril'!D25,Fev!$X:$X)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SUMIF(Avril!$A:$A,'p&amp;l Avril'!D26,Avril!$Y:$Y)</f>
        <v>-14.030430000000001</v>
      </c>
      <c r="F26" s="316">
        <f>SUMIF(Fev!$A:$A,'p&amp;l Avril'!D26,Fev!$X:$X)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SUMIF(Avril!$A:$A,'p&amp;l Avril'!D27,Avril!$Y:$Y)</f>
        <v>-4.08</v>
      </c>
      <c r="F27" s="316">
        <f>SUMIF(Fev!$A:$A,'p&amp;l Avril'!D27,Fev!$X:$X)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SUMIF(Avril!$A:$A,'p&amp;l Avril'!D28,Avril!$Y:$Y)</f>
        <v>28.996999999999986</v>
      </c>
      <c r="F28" s="316">
        <f>SUMIF(Fev!$A:$A,'p&amp;l Avril'!D28,Fev!$X:$X)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-1184.2023959999997</v>
      </c>
      <c r="F29" s="317">
        <f>SUMIF(Fev!$A:$A,'p&amp;l Avril'!D29,Fev!$X:$X)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SUMIF(Avril!$A:$A,'p&amp;l Avril'!D31,Avril!$Y:$Y)</f>
        <v>-92.336000000000013</v>
      </c>
      <c r="F31" s="316">
        <f>SUMIF(Fev!$A:$A,'p&amp;l Avril'!D31,Fev!$X:$X)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SUMIF(Avril!$A:$A,'p&amp;l Avril'!D32,Avril!$Y:$Y)</f>
        <v>-1.1426100000000001</v>
      </c>
      <c r="F32" s="316">
        <f>SUMIF(Fev!$A:$A,'p&amp;l Avril'!D32,Fev!$X:$X)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-93.478610000000018</v>
      </c>
      <c r="F33" s="317">
        <f>SUMIF(Fev!$A:$A,'p&amp;l Avril'!D33,Fev!$X:$X)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SUMIF(Avril!$A:$A,'p&amp;l Avril'!D34,Avril!$Y:$Y)</f>
        <v>-12.486895679999998</v>
      </c>
      <c r="F34" s="316">
        <f>SUMIF(Fev!$A:$A,'p&amp;l Avril'!D34,Fev!$X:$X)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SUMIF(Avril!$A:$A,'p&amp;l Avril'!D35,Avril!$Y:$Y)</f>
        <v>-61.844379999999994</v>
      </c>
      <c r="F35" s="316">
        <f>SUMIF(Fev!$A:$A,'p&amp;l Avril'!D35,Fev!$X:$X)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SUMIF(Avril!$A:$A,'p&amp;l Avril'!D36,Avril!$Y:$Y)</f>
        <v>-10.643339999999998</v>
      </c>
      <c r="F36" s="316">
        <f>SUMIF(Fev!$A:$A,'p&amp;l Avril'!D36,Fev!$X:$X)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SUMIF(Avril!$A:$A,'p&amp;l Avril'!D37,Avril!$Y:$Y)</f>
        <v>-9.8464099999999988</v>
      </c>
      <c r="F37" s="316">
        <f>SUMIF(Fev!$A:$A,'p&amp;l Avril'!D37,Fev!$X:$X)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-94.821025679999991</v>
      </c>
      <c r="F38" s="317">
        <f>SUMIF(Fev!$A:$A,'p&amp;l Avril'!D38,Fev!$X:$X)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SUMIF(Avril!$A:$A,'p&amp;l Avril'!D40,Avril!$Y:$Y)</f>
        <v>-0.28745999999999999</v>
      </c>
      <c r="F40" s="316">
        <f>SUMIF(Fev!$A:$A,'p&amp;l Avril'!D40,Fev!$X:$X)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SUMIF(Avril!$A:$A,'p&amp;l Avril'!D41,Avril!$Y:$Y)</f>
        <v>0.41392000000000007</v>
      </c>
      <c r="F41" s="316">
        <f>SUMIF(Fev!$A:$A,'p&amp;l Avril'!D41,Fev!$X:$X)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SUMIF(Avril!$A:$A,'p&amp;l Avril'!D42,Avril!$Y:$Y)</f>
        <v>-92.000069999999994</v>
      </c>
      <c r="F42" s="316">
        <f>SUMIF(Fev!$A:$A,'p&amp;l Avril'!D42,Fev!$X:$X)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SUMIF(Avril!$A:$A,'p&amp;l Avril'!D43,Avril!$Y:$Y)</f>
        <v>-20.667999999999999</v>
      </c>
      <c r="F43" s="316">
        <f>SUMIF(Fev!$A:$A,'p&amp;l Avril'!D43,Fev!$X:$X)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-112.54160999999999</v>
      </c>
      <c r="F44" s="317">
        <f>SUMIF(Fev!$A:$A,'p&amp;l Avril'!D44,Fev!$X:$X)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SUMIF(Avril!$A:$A,'p&amp;l Avril'!D46,Avril!$Y:$Y)</f>
        <v>-2.5308999999999999</v>
      </c>
      <c r="F46" s="316">
        <f>SUMIF(Fev!$A:$A,'p&amp;l Avril'!D46,Fev!$X:$X)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SUMIF(Avril!$A:$A,'p&amp;l Avril'!D47,Avril!$Y:$Y)</f>
        <v>0.36359000000000002</v>
      </c>
      <c r="F47" s="316">
        <f>SUMIF(Fev!$A:$A,'p&amp;l Avril'!D47,Fev!$X:$X)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SUMIF(Avril!$A:$A,'p&amp;l Avril'!D48,Avril!$Y:$Y)</f>
        <v>-47.850069999999995</v>
      </c>
      <c r="F48" s="316">
        <f>SUMIF(Fev!$A:$A,'p&amp;l Avril'!D48,Fev!$X:$X)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SUMIF(Avril!$A:$A,'p&amp;l Avril'!D49,Avril!$Y:$Y)</f>
        <v>-4.1352000000000002</v>
      </c>
      <c r="F49" s="316">
        <f>SUMIF(Fev!$A:$A,'p&amp;l Avril'!D49,Fev!$X:$X)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SUMIF(Avril!$A:$A,'p&amp;l Avril'!D50,Avril!$Y:$Y)</f>
        <v>-0.33200000000000002</v>
      </c>
      <c r="F50" s="316">
        <f>SUMIF(Fev!$A:$A,'p&amp;l Avril'!D50,Fev!$X:$X)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SUMIF(Avril!$A:$A,'p&amp;l Avril'!D51,Avril!$Y:$Y)</f>
        <v>-20.832000000000001</v>
      </c>
      <c r="F51" s="316">
        <f>SUMIF(Fev!$A:$A,'p&amp;l Avril'!D51,Fev!$X:$X)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525</v>
      </c>
      <c r="E52" s="327">
        <f>SUMIF(Avril!$A:$A,'p&amp;l Avril'!D52,Avril!$Y:$Y)</f>
        <v>-2.3234700000000017</v>
      </c>
      <c r="F52" s="316">
        <f>SUMIF(Fev!$A:$A,'p&amp;l Avril'!D52,Fev!$X:$X)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SUMIF(Avril!$A:$A,'p&amp;l Avril'!D53,Avril!$Y:$Y)</f>
        <v>0</v>
      </c>
      <c r="F53" s="316">
        <f>SUMIF(Fev!$A:$A,'p&amp;l Avril'!D53,Fev!$X:$X)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SUMIF(Avril!$A:$A,'p&amp;l Avril'!D54,Avril!$Y:$Y)</f>
        <v>-7.6656666666666684</v>
      </c>
      <c r="F54" s="316">
        <f>SUMIF(Fev!$A:$A,'p&amp;l Avril'!D54,Fev!$X:$X)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-85.305716666666655</v>
      </c>
      <c r="F55" s="317">
        <f>SUMIF(Fev!$A:$A,'p&amp;l Avril'!D55,Fev!$X:$X)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SUMIF(Avril!$A:$A,'p&amp;l Avril'!D57,Avril!$Y:$Y)</f>
        <v>-1.766</v>
      </c>
      <c r="F57" s="316">
        <f>SUMIF(Fev!$A:$A,'p&amp;l Avril'!D57,Fev!$X:$X)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SUMIF(Avril!$A:$A,'p&amp;l Avril'!D58,Avril!$Y:$Y)</f>
        <v>-1.3333333333333333</v>
      </c>
      <c r="F58" s="316">
        <f>SUMIF(Fev!$A:$A,'p&amp;l Avril'!D58,Fev!$X:$X)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SUMIF(Avril!$A:$A,'p&amp;l Avril'!D59,Avril!$Y:$Y)</f>
        <v>-2.5</v>
      </c>
      <c r="F59" s="316">
        <f>SUMIF(Fev!$A:$A,'p&amp;l Avril'!D59,Fev!$X:$X)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SUMIF(Avril!$A:$A,'p&amp;l Avril'!D60,Avril!$Y:$Y)</f>
        <v>-1.02064</v>
      </c>
      <c r="F60" s="316">
        <f>SUMIF(Fev!$A:$A,'p&amp;l Avril'!D60,Fev!$X:$X)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SUMIF(Avril!$A:$A,'p&amp;l Avril'!D61,Avril!$Y:$Y)</f>
        <v>0</v>
      </c>
      <c r="F61" s="316">
        <f>SUMIF(Fev!$A:$A,'p&amp;l Avril'!D61,Fev!$X:$X)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-6.6199733333333333</v>
      </c>
      <c r="F62" s="317">
        <f>SUMIF(Fev!$A:$A,'p&amp;l Avril'!D62,Fev!$X:$X)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SUMIF(Avril!$A:$U,'p&amp;l Avril'!D64,Avril!$U:$U)</f>
        <v>-15.667999999999999</v>
      </c>
      <c r="F64" s="316">
        <f>SUMIF(Fev!$A:$A,'p&amp;l Avril'!D64,Fev!$X:$X)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-15.667999999999999</v>
      </c>
      <c r="F65" s="317">
        <f>SUMIF(Fev!$A:$A,'p&amp;l Avril'!D65,Fev!$X:$X)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SUMIF(Avril!$A:$A,'p&amp;l Avril'!D67,Avril!$Y:$Y)</f>
        <v>1.0177700000000001</v>
      </c>
      <c r="F67" s="316">
        <f>SUMIF(Fev!$A:$A,'p&amp;l Avril'!D67,Fev!$X:$X)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1.0177700000000001</v>
      </c>
      <c r="F68" s="317">
        <f>SUMIF(Fev!$A:$A,'p&amp;l Avril'!D68,Fev!$X:$X)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-1591.6195616799998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112.99849498667004</v>
      </c>
    </row>
    <row r="74" spans="1:8" x14ac:dyDescent="0.25">
      <c r="D74" t="s">
        <v>762</v>
      </c>
      <c r="E74" s="331">
        <f>Avril!AC201</f>
        <v>107.17949498667028</v>
      </c>
    </row>
    <row r="75" spans="1:8" x14ac:dyDescent="0.25">
      <c r="D75" s="315" t="s">
        <v>763</v>
      </c>
      <c r="E75" s="319">
        <f ca="1">E73-E74</f>
        <v>5.818999999999761</v>
      </c>
    </row>
  </sheetData>
  <dataValidations disablePrompts="1"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D219"/>
  <sheetViews>
    <sheetView showGridLines="0" topLeftCell="B1" workbookViewId="0">
      <selection activeCell="J28" sqref="J28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806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1992324.51333333/1000</f>
        <v>1992.3245133333298</v>
      </c>
      <c r="V6" s="440"/>
      <c r="W6" s="440"/>
      <c r="X6" s="440"/>
      <c r="Y6" s="440">
        <v>1992.3245133333298</v>
      </c>
      <c r="Z6" s="440"/>
      <c r="AA6" s="440"/>
      <c r="AB6" s="440">
        <v>1992.3245133333298</v>
      </c>
      <c r="AC6" s="355"/>
      <c r="AD6" s="334"/>
    </row>
    <row r="7" spans="1:30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-982.01451999999972</v>
      </c>
      <c r="V9" s="362">
        <v>2.99</v>
      </c>
      <c r="W9" s="362"/>
      <c r="X9" s="351"/>
      <c r="Y9" s="363">
        <v>-979.02451999999971</v>
      </c>
      <c r="Z9" s="363"/>
      <c r="AA9" s="363"/>
      <c r="AB9" s="363">
        <f>SUM(Y9:AA9)</f>
        <v>-979.02451999999971</v>
      </c>
      <c r="AC9" s="355"/>
      <c r="AD9" s="485" t="s">
        <v>782</v>
      </c>
    </row>
    <row r="10" spans="1:30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-420.74916000000007</v>
      </c>
      <c r="V10" s="362">
        <v>1.4071699999999998</v>
      </c>
      <c r="W10" s="362"/>
      <c r="X10" s="351"/>
      <c r="Y10" s="363">
        <v>-419.34199000000007</v>
      </c>
      <c r="Z10" s="363"/>
      <c r="AA10" s="363"/>
      <c r="AB10" s="363">
        <f t="shared" ref="AB10:AB47" si="0">SUM(Y10:AA10)</f>
        <v>-419.34199000000007</v>
      </c>
      <c r="AC10" s="355"/>
      <c r="AD10" s="485"/>
    </row>
    <row r="11" spans="1:30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15.625</v>
      </c>
      <c r="W11" s="362"/>
      <c r="X11" s="351"/>
      <c r="Y11" s="363">
        <v>15.625</v>
      </c>
      <c r="Z11" s="363"/>
      <c r="AA11" s="363"/>
      <c r="AB11" s="363">
        <f t="shared" si="0"/>
        <v>15.625</v>
      </c>
      <c r="AC11" s="355"/>
      <c r="AD11" s="366" t="s">
        <v>783</v>
      </c>
    </row>
    <row r="12" spans="1:30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7.03125</v>
      </c>
      <c r="W12" s="362"/>
      <c r="X12" s="351"/>
      <c r="Y12" s="363">
        <v>7.03125</v>
      </c>
      <c r="Z12" s="363"/>
      <c r="AA12" s="363"/>
      <c r="AB12" s="363">
        <f t="shared" si="0"/>
        <v>7.03125</v>
      </c>
      <c r="AC12" s="355"/>
      <c r="AD12" s="366" t="s">
        <v>783</v>
      </c>
    </row>
    <row r="13" spans="1:30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 t="shared" si="0"/>
        <v>0</v>
      </c>
      <c r="AC13" s="355"/>
      <c r="AD13" s="334"/>
    </row>
    <row r="14" spans="1:30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 t="shared" si="0"/>
        <v>0</v>
      </c>
      <c r="AC14" s="355"/>
      <c r="AD14" s="334"/>
    </row>
    <row r="15" spans="1:30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f t="shared" si="0"/>
        <v>6.2080000000000002</v>
      </c>
      <c r="AC15" s="355"/>
      <c r="AD15" s="334"/>
    </row>
    <row r="16" spans="1:30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f t="shared" si="0"/>
        <v>2.9798399999999998</v>
      </c>
      <c r="AC16" s="355"/>
      <c r="AD16" s="334"/>
    </row>
    <row r="17" spans="1:30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f t="shared" si="0"/>
        <v>1.762</v>
      </c>
      <c r="AC17" s="355"/>
      <c r="AD17" s="334"/>
    </row>
    <row r="18" spans="1:30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f t="shared" si="0"/>
        <v>0.79290000000000005</v>
      </c>
      <c r="AC18" s="355"/>
      <c r="AD18" s="334"/>
    </row>
    <row r="19" spans="1:30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13.917999999999999</v>
      </c>
      <c r="V19" s="362"/>
      <c r="W19" s="362"/>
      <c r="X19" s="362"/>
      <c r="Y19" s="363">
        <v>13.917999999999999</v>
      </c>
      <c r="Z19" s="363"/>
      <c r="AA19" s="363"/>
      <c r="AB19" s="363">
        <f t="shared" si="0"/>
        <v>13.917999999999999</v>
      </c>
      <c r="AC19" s="355"/>
      <c r="AD19" s="334"/>
    </row>
    <row r="20" spans="1:30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/>
      <c r="V20" s="362"/>
      <c r="W20" s="362"/>
      <c r="X20" s="362"/>
      <c r="Y20" s="363">
        <v>0</v>
      </c>
      <c r="Z20" s="363"/>
      <c r="AA20" s="363"/>
      <c r="AB20" s="363">
        <f t="shared" si="0"/>
        <v>0</v>
      </c>
      <c r="AC20" s="355"/>
      <c r="AD20" s="334" t="s">
        <v>134</v>
      </c>
    </row>
    <row r="21" spans="1:30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 t="shared" si="0"/>
        <v>0</v>
      </c>
      <c r="AC21" s="355"/>
      <c r="AD21" s="334"/>
    </row>
    <row r="22" spans="1:30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 t="shared" si="0"/>
        <v>-8.75</v>
      </c>
      <c r="AC22" s="355"/>
      <c r="AD22" s="334"/>
    </row>
    <row r="23" spans="1:30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 t="shared" si="0"/>
        <v>0</v>
      </c>
      <c r="AC23" s="355"/>
      <c r="AD23" s="334"/>
    </row>
    <row r="24" spans="1:30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-27.27</v>
      </c>
      <c r="V24" s="362"/>
      <c r="W24" s="362"/>
      <c r="X24" s="362">
        <v>-4.4850000000000003</v>
      </c>
      <c r="Y24" s="363">
        <f>SUM(U24:X24)</f>
        <v>-31.754999999999999</v>
      </c>
      <c r="Z24" s="363"/>
      <c r="AA24" s="363"/>
      <c r="AB24" s="363">
        <f t="shared" si="0"/>
        <v>-31.754999999999999</v>
      </c>
      <c r="AC24" s="355"/>
      <c r="AD24" s="369"/>
    </row>
    <row r="25" spans="1:30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-4.8337500000000002</v>
      </c>
      <c r="V25" s="362"/>
      <c r="W25" s="362"/>
      <c r="X25" s="362"/>
      <c r="Y25" s="363">
        <v>-4.8337500000000002</v>
      </c>
      <c r="Z25" s="363"/>
      <c r="AA25" s="363"/>
      <c r="AB25" s="363">
        <f t="shared" si="0"/>
        <v>-4.8337500000000002</v>
      </c>
      <c r="AC25" s="355"/>
      <c r="AD25" s="334"/>
    </row>
    <row r="26" spans="1:30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-14.962</v>
      </c>
      <c r="V26" s="362"/>
      <c r="W26" s="362"/>
      <c r="X26" s="362">
        <v>0</v>
      </c>
      <c r="Y26" s="363">
        <v>-14.962</v>
      </c>
      <c r="Z26" s="363"/>
      <c r="AA26" s="363"/>
      <c r="AB26" s="363">
        <f t="shared" si="0"/>
        <v>-14.962</v>
      </c>
      <c r="AC26" s="355"/>
      <c r="AD26" s="334"/>
    </row>
    <row r="27" spans="1:30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-2.44</v>
      </c>
      <c r="V27" s="362"/>
      <c r="W27" s="362"/>
      <c r="X27" s="362"/>
      <c r="Y27" s="363">
        <v>-2.44</v>
      </c>
      <c r="Z27" s="363"/>
      <c r="AA27" s="363"/>
      <c r="AB27" s="363">
        <f t="shared" si="0"/>
        <v>-2.44</v>
      </c>
      <c r="AC27" s="355"/>
      <c r="AD27" s="334"/>
    </row>
    <row r="28" spans="1:30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>
        <v>0</v>
      </c>
      <c r="Y28" s="363">
        <v>0</v>
      </c>
      <c r="Z28" s="363"/>
      <c r="AA28" s="363"/>
      <c r="AB28" s="363">
        <f t="shared" si="0"/>
        <v>0</v>
      </c>
      <c r="AC28" s="355"/>
      <c r="AD28" s="334"/>
    </row>
    <row r="29" spans="1:30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0.74000000000000021</v>
      </c>
      <c r="V29" s="362"/>
      <c r="W29" s="362"/>
      <c r="X29" s="362"/>
      <c r="Y29" s="363">
        <v>0.74000000000000021</v>
      </c>
      <c r="Z29" s="363"/>
      <c r="AA29" s="363"/>
      <c r="AB29" s="363">
        <f t="shared" si="0"/>
        <v>0.74000000000000021</v>
      </c>
      <c r="AC29" s="355"/>
      <c r="AD29" s="334"/>
    </row>
    <row r="30" spans="1:30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-26.14087</v>
      </c>
      <c r="V30" s="362"/>
      <c r="W30" s="362"/>
      <c r="X30" s="363"/>
      <c r="Y30" s="363">
        <v>-26.140370000000001</v>
      </c>
      <c r="Z30" s="363"/>
      <c r="AA30" s="363"/>
      <c r="AB30" s="363">
        <f t="shared" si="0"/>
        <v>-26.140370000000001</v>
      </c>
      <c r="AC30" s="355"/>
      <c r="AD30" s="334"/>
    </row>
    <row r="31" spans="1:30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-40.408999999999999</v>
      </c>
      <c r="V31" s="362"/>
      <c r="W31" s="362"/>
      <c r="X31" s="362"/>
      <c r="Y31" s="363">
        <v>-40.408999999999999</v>
      </c>
      <c r="Z31" s="363"/>
      <c r="AA31" s="363"/>
      <c r="AB31" s="363">
        <f t="shared" si="0"/>
        <v>-40.408999999999999</v>
      </c>
      <c r="AC31" s="355"/>
      <c r="AD31" s="334"/>
    </row>
    <row r="32" spans="1:30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 t="shared" si="0"/>
        <v>0</v>
      </c>
      <c r="AC32" s="355"/>
      <c r="AD32" s="334"/>
    </row>
    <row r="33" spans="1:30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 t="shared" si="0"/>
        <v>0</v>
      </c>
      <c r="AC33" s="355"/>
      <c r="AD33" s="334"/>
    </row>
    <row r="34" spans="1:30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/>
      <c r="Y34" s="363"/>
      <c r="Z34" s="363"/>
      <c r="AA34" s="363"/>
      <c r="AB34" s="363">
        <f t="shared" si="0"/>
        <v>0</v>
      </c>
      <c r="AC34" s="355"/>
      <c r="AD34" s="334"/>
    </row>
    <row r="35" spans="1:30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 t="shared" si="0"/>
        <v>0</v>
      </c>
      <c r="AC35" s="355"/>
      <c r="AD35" s="334"/>
    </row>
    <row r="36" spans="1:30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 t="shared" si="0"/>
        <v>0</v>
      </c>
      <c r="AC36" s="355"/>
      <c r="AD36" s="334"/>
    </row>
    <row r="37" spans="1:30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-17.412279999999999</v>
      </c>
      <c r="V37" s="351"/>
      <c r="W37" s="351"/>
      <c r="X37" s="351">
        <v>0</v>
      </c>
      <c r="Y37" s="363">
        <v>-17.412279999999999</v>
      </c>
      <c r="Z37" s="363"/>
      <c r="AA37" s="363"/>
      <c r="AB37" s="363">
        <f t="shared" si="0"/>
        <v>-17.412279999999999</v>
      </c>
      <c r="AC37" s="355"/>
      <c r="AD37" s="334"/>
    </row>
    <row r="38" spans="1:30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-13.236829999999999</v>
      </c>
      <c r="V38" s="351"/>
      <c r="W38" s="351"/>
      <c r="X38" s="351"/>
      <c r="Y38" s="363"/>
      <c r="Z38" s="363"/>
      <c r="AA38" s="363"/>
      <c r="AB38" s="363">
        <f t="shared" si="0"/>
        <v>0</v>
      </c>
      <c r="AC38" s="350"/>
    </row>
    <row r="39" spans="1:30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-1.825</v>
      </c>
      <c r="V39" s="351"/>
      <c r="W39" s="351"/>
      <c r="X39" s="351"/>
      <c r="Y39" s="363"/>
      <c r="Z39" s="363"/>
      <c r="AA39" s="363"/>
      <c r="AB39" s="363">
        <f t="shared" si="0"/>
        <v>0</v>
      </c>
      <c r="AC39" s="350"/>
    </row>
    <row r="40" spans="1:30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-0.75934000000000001</v>
      </c>
      <c r="V40" s="362"/>
      <c r="W40" s="351"/>
      <c r="X40" s="351">
        <v>0</v>
      </c>
      <c r="Y40" s="363"/>
      <c r="Z40" s="363"/>
      <c r="AA40" s="363"/>
      <c r="AB40" s="363">
        <f t="shared" si="0"/>
        <v>0</v>
      </c>
      <c r="AC40" s="350"/>
      <c r="AD40" s="334" t="s">
        <v>134</v>
      </c>
    </row>
    <row r="41" spans="1:30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-1.59111</v>
      </c>
      <c r="V41" s="362"/>
      <c r="W41" s="362"/>
      <c r="X41" s="351"/>
      <c r="Y41" s="363"/>
      <c r="Z41" s="363"/>
      <c r="AA41" s="363"/>
      <c r="AB41" s="363">
        <f t="shared" si="0"/>
        <v>0</v>
      </c>
      <c r="AC41" s="350"/>
    </row>
    <row r="42" spans="1:30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-5.0999999999999996</v>
      </c>
      <c r="V42" s="362"/>
      <c r="W42" s="362"/>
      <c r="X42" s="351"/>
      <c r="Y42" s="363">
        <v>-5.0999999999999996</v>
      </c>
      <c r="Z42" s="363"/>
      <c r="AA42" s="363"/>
      <c r="AB42" s="363">
        <f t="shared" si="0"/>
        <v>-5.0999999999999996</v>
      </c>
      <c r="AC42" s="355"/>
      <c r="AD42" s="334"/>
    </row>
    <row r="43" spans="1:30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f t="shared" si="0"/>
        <v>0</v>
      </c>
      <c r="AC43" s="355"/>
      <c r="AD43" s="334"/>
    </row>
    <row r="44" spans="1:30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28.996999999999986</v>
      </c>
      <c r="V44" s="351"/>
      <c r="W44" s="351"/>
      <c r="X44" s="351"/>
      <c r="Y44" s="363">
        <v>28.996999999999986</v>
      </c>
      <c r="Z44" s="363"/>
      <c r="AA44" s="363"/>
      <c r="AB44" s="363">
        <f t="shared" si="0"/>
        <v>28.996999999999986</v>
      </c>
      <c r="AC44" s="350"/>
    </row>
    <row r="45" spans="1:30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/>
      <c r="V45" s="351"/>
      <c r="W45" s="351"/>
      <c r="X45" s="351"/>
      <c r="Y45" s="363"/>
      <c r="Z45" s="363"/>
      <c r="AA45" s="363"/>
      <c r="AB45" s="363">
        <f t="shared" si="0"/>
        <v>0</v>
      </c>
      <c r="AC45" s="350"/>
      <c r="AD45" s="334" t="s">
        <v>134</v>
      </c>
    </row>
    <row r="46" spans="1:30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 t="shared" si="0"/>
        <v>0</v>
      </c>
      <c r="AC46" s="377"/>
      <c r="AD46" s="334"/>
    </row>
    <row r="47" spans="1:30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>
        <v>92.379497367414189</v>
      </c>
      <c r="AA47" s="363">
        <v>2.2357723577235773E-2</v>
      </c>
      <c r="AB47" s="363">
        <f t="shared" si="0"/>
        <v>92.401855090991418</v>
      </c>
      <c r="AC47" s="377"/>
      <c r="AD47" s="334"/>
    </row>
    <row r="48" spans="1:30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SUM(U9:U37,U42,U44)</f>
        <v>-1505.6336799999999</v>
      </c>
      <c r="V49" s="383">
        <f>SUM(V8:V20)</f>
        <v>38.003260000000004</v>
      </c>
      <c r="W49" s="383">
        <v>0</v>
      </c>
      <c r="X49" s="383">
        <f>SUM(X8:X47)</f>
        <v>-4.4850000000000003</v>
      </c>
      <c r="Y49" s="383">
        <f>SUM(Y8:Y47)</f>
        <v>-1472.1149200000002</v>
      </c>
      <c r="Z49" s="383">
        <v>92.379497367414189</v>
      </c>
      <c r="AA49" s="383">
        <v>2.2357723577235773E-2</v>
      </c>
      <c r="AB49" s="383">
        <f>SUM(AB9:AB47)</f>
        <v>-1379.7130649090088</v>
      </c>
      <c r="AC49" s="377"/>
      <c r="AD49" s="382" t="s">
        <v>134</v>
      </c>
    </row>
    <row r="50" spans="1:30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-83.335000000000008</v>
      </c>
      <c r="V52" s="362"/>
      <c r="W52" s="362"/>
      <c r="X52" s="362"/>
      <c r="Y52" s="363">
        <v>-83.335000000000008</v>
      </c>
      <c r="Z52" s="363"/>
      <c r="AA52" s="363"/>
      <c r="AB52" s="363">
        <f>SUM(Y52:AA52)</f>
        <v>-83.335000000000008</v>
      </c>
      <c r="AC52" s="355"/>
      <c r="AD52" s="334"/>
    </row>
    <row r="53" spans="1:30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-20</v>
      </c>
      <c r="V53" s="362"/>
      <c r="W53" s="362"/>
      <c r="X53" s="362"/>
      <c r="Y53" s="363">
        <v>-20</v>
      </c>
      <c r="Z53" s="363"/>
      <c r="AA53" s="363"/>
      <c r="AB53" s="363">
        <f t="shared" ref="AB53:AB56" si="1">SUM(Y53:AA53)</f>
        <v>-20</v>
      </c>
      <c r="AC53" s="355"/>
      <c r="AD53" s="334"/>
    </row>
    <row r="54" spans="1:30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-12.084999999999999</v>
      </c>
      <c r="V54" s="362"/>
      <c r="W54" s="362"/>
      <c r="X54" s="362"/>
      <c r="Y54" s="363">
        <v>-12.084999999999999</v>
      </c>
      <c r="Z54" s="363"/>
      <c r="AA54" s="363"/>
      <c r="AB54" s="363">
        <f t="shared" si="1"/>
        <v>-12.084999999999999</v>
      </c>
      <c r="AC54" s="355"/>
      <c r="AD54" s="334"/>
    </row>
    <row r="55" spans="1:30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-1.2935400000000001</v>
      </c>
      <c r="V55" s="362"/>
      <c r="W55" s="362"/>
      <c r="X55" s="362"/>
      <c r="Y55" s="363">
        <v>-1.2935400000000001</v>
      </c>
      <c r="Z55" s="363"/>
      <c r="AA55" s="363"/>
      <c r="AB55" s="363">
        <f t="shared" si="1"/>
        <v>-1.2935400000000001</v>
      </c>
      <c r="AC55" s="355"/>
      <c r="AD55" s="334" t="s">
        <v>134</v>
      </c>
    </row>
    <row r="56" spans="1:30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>
        <v>7.2489836189026722</v>
      </c>
      <c r="AA56" s="363">
        <v>0.77235772357723576</v>
      </c>
      <c r="AB56" s="363">
        <f t="shared" si="1"/>
        <v>8.0213413424799072</v>
      </c>
      <c r="AC56" s="355"/>
      <c r="AD56" s="334"/>
    </row>
    <row r="57" spans="1:30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>
        <v>0</v>
      </c>
      <c r="AC57" s="355"/>
      <c r="AD57" s="334"/>
    </row>
    <row r="58" spans="1:30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-116.71353999999999</v>
      </c>
      <c r="V58" s="354">
        <v>0</v>
      </c>
      <c r="W58" s="354">
        <v>0</v>
      </c>
      <c r="X58" s="354"/>
      <c r="Y58" s="357">
        <f>SUM(Y52:Y57)</f>
        <v>-116.71353999999999</v>
      </c>
      <c r="Z58" s="357">
        <f>SUM(Z52:Z57)</f>
        <v>7.2489836189026722</v>
      </c>
      <c r="AA58" s="357">
        <f>SUM(AA52:AA57)</f>
        <v>0.77235772357723576</v>
      </c>
      <c r="AB58" s="357">
        <f>SUM(AB52:AB57)</f>
        <v>-108.69219865752009</v>
      </c>
      <c r="AC58" s="355"/>
      <c r="AD58" s="334"/>
    </row>
    <row r="59" spans="1:30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-5.0805099999999994</v>
      </c>
      <c r="V62" s="351">
        <v>-10.353389999999999</v>
      </c>
      <c r="W62" s="351"/>
      <c r="X62" s="351"/>
      <c r="Y62" s="363">
        <v>-15.433899999999998</v>
      </c>
      <c r="Z62" s="363"/>
      <c r="AA62" s="363"/>
      <c r="AB62" s="363">
        <f>SUM(Y62:AA62)</f>
        <v>-15.433899999999998</v>
      </c>
      <c r="AC62" s="355"/>
      <c r="AD62" s="334"/>
    </row>
    <row r="63" spans="1:30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-59.986319999999999</v>
      </c>
      <c r="W63" s="351"/>
      <c r="X63" s="351"/>
      <c r="Y63" s="363">
        <v>-59.986319999999999</v>
      </c>
      <c r="Z63" s="363"/>
      <c r="AA63" s="363"/>
      <c r="AB63" s="363">
        <f t="shared" ref="AB63:AB70" si="2">SUM(Y63:AA63)</f>
        <v>-59.986319999999999</v>
      </c>
      <c r="AC63" s="355"/>
      <c r="AD63" s="334"/>
    </row>
    <row r="64" spans="1:30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-4.835</v>
      </c>
      <c r="V64" s="351"/>
      <c r="W64" s="351"/>
      <c r="X64" s="351"/>
      <c r="Y64" s="363">
        <v>-4.835</v>
      </c>
      <c r="Z64" s="363"/>
      <c r="AA64" s="363"/>
      <c r="AB64" s="363">
        <f t="shared" si="2"/>
        <v>-4.835</v>
      </c>
      <c r="AC64" s="355"/>
      <c r="AD64" s="334"/>
    </row>
    <row r="65" spans="1:30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-0.96</v>
      </c>
      <c r="V65" s="351"/>
      <c r="W65" s="351"/>
      <c r="X65" s="351"/>
      <c r="Y65" s="363">
        <v>-0.96</v>
      </c>
      <c r="Z65" s="363"/>
      <c r="AA65" s="363"/>
      <c r="AB65" s="363">
        <f t="shared" si="2"/>
        <v>-0.96</v>
      </c>
      <c r="AC65" s="355"/>
      <c r="AD65" s="334"/>
    </row>
    <row r="66" spans="1:30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>
        <f t="shared" si="2"/>
        <v>0</v>
      </c>
      <c r="AC66" s="355"/>
      <c r="AD66" s="334"/>
    </row>
    <row r="67" spans="1:30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-1.9875</v>
      </c>
      <c r="V67" s="351"/>
      <c r="W67" s="351"/>
      <c r="X67" s="351"/>
      <c r="Y67" s="363">
        <v>-1.9875</v>
      </c>
      <c r="Z67" s="363"/>
      <c r="AA67" s="363"/>
      <c r="AB67" s="363">
        <f t="shared" si="2"/>
        <v>-1.9875</v>
      </c>
      <c r="AC67" s="355"/>
      <c r="AD67" s="334"/>
    </row>
    <row r="68" spans="1:30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-2.5517600000000003</v>
      </c>
      <c r="V68" s="351"/>
      <c r="W68" s="351"/>
      <c r="X68" s="351"/>
      <c r="Y68" s="363">
        <v>-2.5517600000000003</v>
      </c>
      <c r="Z68" s="363"/>
      <c r="AA68" s="363"/>
      <c r="AB68" s="363">
        <f t="shared" si="2"/>
        <v>-2.5517600000000003</v>
      </c>
      <c r="AC68" s="355"/>
      <c r="AD68" s="334"/>
    </row>
    <row r="69" spans="1:30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-0.812279999999999</v>
      </c>
      <c r="V69" s="351"/>
      <c r="W69" s="351"/>
      <c r="X69" s="351"/>
      <c r="Y69" s="363">
        <v>-0.812279999999999</v>
      </c>
      <c r="Z69" s="363"/>
      <c r="AA69" s="363"/>
      <c r="AB69" s="363">
        <f t="shared" si="2"/>
        <v>-0.812279999999999</v>
      </c>
      <c r="AC69" s="355"/>
      <c r="AD69" s="334"/>
    </row>
    <row r="70" spans="1:30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-5.625</v>
      </c>
      <c r="V70" s="351"/>
      <c r="W70" s="351"/>
      <c r="X70" s="351"/>
      <c r="Y70" s="363">
        <v>-5.625</v>
      </c>
      <c r="Z70" s="363"/>
      <c r="AA70" s="363"/>
      <c r="AB70" s="363">
        <f t="shared" si="2"/>
        <v>-5.625</v>
      </c>
      <c r="AC70" s="355"/>
      <c r="AD70" s="334"/>
    </row>
    <row r="71" spans="1:30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-21.852049999999998</v>
      </c>
      <c r="V72" s="393">
        <f t="shared" ref="V72:AB72" si="3">SUM(V62:V71)</f>
        <v>-70.339709999999997</v>
      </c>
      <c r="W72" s="393">
        <f t="shared" si="3"/>
        <v>0</v>
      </c>
      <c r="X72" s="393">
        <f t="shared" si="3"/>
        <v>0</v>
      </c>
      <c r="Y72" s="395">
        <f t="shared" si="3"/>
        <v>-92.191759999999988</v>
      </c>
      <c r="Z72" s="395">
        <f t="shared" si="3"/>
        <v>0</v>
      </c>
      <c r="AA72" s="395">
        <f t="shared" si="3"/>
        <v>0</v>
      </c>
      <c r="AB72" s="395">
        <f t="shared" si="3"/>
        <v>-92.191759999999988</v>
      </c>
      <c r="AC72" s="394"/>
      <c r="AD72" s="334"/>
    </row>
    <row r="73" spans="1:30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-11.44121</v>
      </c>
      <c r="V75" s="351"/>
      <c r="W75" s="351"/>
      <c r="X75" s="351"/>
      <c r="Y75" s="363">
        <v>-11.44121</v>
      </c>
      <c r="Z75" s="363"/>
      <c r="AA75" s="363"/>
      <c r="AB75" s="363">
        <f>SUM(Y75:AA75)</f>
        <v>-11.44121</v>
      </c>
      <c r="AC75" s="355" t="s">
        <v>134</v>
      </c>
      <c r="AD75" s="334"/>
    </row>
    <row r="76" spans="1:30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-4.9196600000000004</v>
      </c>
      <c r="V76" s="351"/>
      <c r="W76" s="351"/>
      <c r="X76" s="351"/>
      <c r="Y76" s="363">
        <v>-4.9196600000000004</v>
      </c>
      <c r="Z76" s="363"/>
      <c r="AA76" s="363"/>
      <c r="AB76" s="363">
        <f t="shared" ref="AB76:AB78" si="4">SUM(Y76:AA76)</f>
        <v>-4.9196600000000004</v>
      </c>
      <c r="AC76" s="355"/>
      <c r="AD76" s="334"/>
    </row>
    <row r="77" spans="1:30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-4.6599500000000003</v>
      </c>
      <c r="V77" s="351"/>
      <c r="W77" s="351"/>
      <c r="X77" s="351"/>
      <c r="Y77" s="363">
        <v>-4.6599500000000003</v>
      </c>
      <c r="Z77" s="363"/>
      <c r="AA77" s="363"/>
      <c r="AB77" s="363">
        <f t="shared" si="4"/>
        <v>-4.6599500000000003</v>
      </c>
      <c r="AC77" s="355"/>
      <c r="AD77" s="334"/>
    </row>
    <row r="78" spans="1:30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-2.70025</v>
      </c>
      <c r="V78" s="351"/>
      <c r="W78" s="351"/>
      <c r="X78" s="351">
        <v>0</v>
      </c>
      <c r="Y78" s="363">
        <v>-2.70025</v>
      </c>
      <c r="Z78" s="363"/>
      <c r="AA78" s="363"/>
      <c r="AB78" s="363">
        <f t="shared" si="4"/>
        <v>-2.70025</v>
      </c>
      <c r="AC78" s="355"/>
      <c r="AD78" s="334"/>
    </row>
    <row r="79" spans="1:30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-23.721070000000001</v>
      </c>
      <c r="V79" s="393">
        <f t="shared" ref="V79:AB79" si="5">SUM(V75:V78)</f>
        <v>0</v>
      </c>
      <c r="W79" s="393">
        <f t="shared" si="5"/>
        <v>0</v>
      </c>
      <c r="X79" s="393">
        <f t="shared" si="5"/>
        <v>0</v>
      </c>
      <c r="Y79" s="393">
        <f t="shared" si="5"/>
        <v>-23.721070000000001</v>
      </c>
      <c r="Z79" s="393">
        <f t="shared" si="5"/>
        <v>0</v>
      </c>
      <c r="AA79" s="393">
        <f t="shared" si="5"/>
        <v>0</v>
      </c>
      <c r="AB79" s="393">
        <f t="shared" si="5"/>
        <v>-23.721070000000001</v>
      </c>
      <c r="AC79" s="394"/>
      <c r="AD79" s="334"/>
    </row>
    <row r="80" spans="1:30" s="387" customFormat="1" x14ac:dyDescent="0.2">
      <c r="A80" s="320"/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387" customFormat="1" x14ac:dyDescent="0.2">
      <c r="A81" s="320"/>
      <c r="B81" s="387" t="s">
        <v>747</v>
      </c>
      <c r="C81" s="392"/>
      <c r="E81" s="39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349"/>
      <c r="T81" s="346"/>
      <c r="U81" s="397"/>
      <c r="V81" s="397"/>
      <c r="W81" s="397"/>
      <c r="X81" s="397"/>
      <c r="Y81" s="397"/>
      <c r="Z81" s="397">
        <v>6.3860000000000001</v>
      </c>
      <c r="AA81" s="397"/>
      <c r="AB81" s="397">
        <f>Z81</f>
        <v>6.3860000000000001</v>
      </c>
      <c r="AC81" s="394"/>
      <c r="AD81" s="334"/>
    </row>
    <row r="82" spans="1:30" x14ac:dyDescent="0.2">
      <c r="A82" s="320" t="str">
        <f>IFERROR(VLOOKUP(B82,mapping_one_neo!A:B,2,FALSE),"")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-45.573120000000003</v>
      </c>
      <c r="V83" s="354">
        <f t="shared" ref="V83:AA83" si="6">V72+V79</f>
        <v>-70.339709999999997</v>
      </c>
      <c r="W83" s="354">
        <f t="shared" si="6"/>
        <v>0</v>
      </c>
      <c r="X83" s="354">
        <f t="shared" si="6"/>
        <v>0</v>
      </c>
      <c r="Y83" s="354">
        <f t="shared" si="6"/>
        <v>-115.91282999999999</v>
      </c>
      <c r="Z83" s="354">
        <f>Z81</f>
        <v>6.3860000000000001</v>
      </c>
      <c r="AA83" s="354">
        <f t="shared" si="6"/>
        <v>0</v>
      </c>
      <c r="AB83" s="354">
        <f>AB72+AB79+AB81</f>
        <v>-109.52682999999999</v>
      </c>
      <c r="AC83" s="350"/>
    </row>
    <row r="84" spans="1:30" x14ac:dyDescent="0.2">
      <c r="A84" s="320" t="str">
        <f>IFERROR(VLOOKUP(B84,mapping_one_neo!A:B,2,FALSE),"")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/>
      <c r="V87" s="351"/>
      <c r="W87" s="351"/>
      <c r="X87" s="351"/>
      <c r="Y87" s="363"/>
      <c r="Z87" s="363"/>
      <c r="AA87" s="363"/>
      <c r="AB87" s="363"/>
      <c r="AC87" s="355"/>
      <c r="AD87" s="334"/>
    </row>
    <row r="88" spans="1:30" s="352" customFormat="1" x14ac:dyDescent="0.2">
      <c r="A88" s="320" t="str">
        <f>IFERROR(VLOOKUP(B88,mapping_one_neo!A:B,2,FALSE),"")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/>
      <c r="V88" s="351"/>
      <c r="W88" s="351"/>
      <c r="X88" s="351"/>
      <c r="Y88" s="363"/>
      <c r="Z88" s="363"/>
      <c r="AA88" s="363"/>
      <c r="AB88" s="363"/>
      <c r="AC88" s="355"/>
      <c r="AD88" s="334"/>
    </row>
    <row r="89" spans="1:30" s="352" customFormat="1" x14ac:dyDescent="0.2">
      <c r="A89" s="320" t="str">
        <f>IFERROR(VLOOKUP(B89,mapping_one_neo!A:B,2,FALSE),"")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-0.84667999999999999</v>
      </c>
      <c r="V89" s="351"/>
      <c r="W89" s="351"/>
      <c r="X89" s="351"/>
      <c r="Y89" s="363">
        <v>-0.84667999999999999</v>
      </c>
      <c r="Z89" s="363"/>
      <c r="AA89" s="363"/>
      <c r="AB89" s="363">
        <f>SUM(Y89:AA89)</f>
        <v>-0.84667999999999999</v>
      </c>
      <c r="AC89" s="355"/>
      <c r="AD89" s="334"/>
    </row>
    <row r="90" spans="1:30" s="387" customFormat="1" x14ac:dyDescent="0.2">
      <c r="A90" s="320">
        <f>IFERROR(VLOOKUP(B90,mapping_one_neo!A:B,2,FALSE),"")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SUM(U88:U89)</f>
        <v>-0.84667999999999999</v>
      </c>
      <c r="V90" s="393">
        <f t="shared" ref="V90:AB90" si="7">SUM(V88:V89)</f>
        <v>0</v>
      </c>
      <c r="W90" s="393">
        <f t="shared" si="7"/>
        <v>0</v>
      </c>
      <c r="X90" s="393">
        <f t="shared" si="7"/>
        <v>0</v>
      </c>
      <c r="Y90" s="395">
        <f t="shared" si="7"/>
        <v>-0.84667999999999999</v>
      </c>
      <c r="Z90" s="395">
        <f t="shared" si="7"/>
        <v>0</v>
      </c>
      <c r="AA90" s="395">
        <f t="shared" si="7"/>
        <v>0</v>
      </c>
      <c r="AB90" s="395">
        <f t="shared" si="7"/>
        <v>-0.84667999999999999</v>
      </c>
      <c r="AC90" s="394"/>
      <c r="AD90" s="334"/>
    </row>
    <row r="91" spans="1:30" x14ac:dyDescent="0.2">
      <c r="A91" s="320" t="str">
        <f>IFERROR(VLOOKUP(B91,mapping_one_neo!A:B,2,FALSE),"")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v>-0.48812</v>
      </c>
      <c r="V93" s="351"/>
      <c r="W93" s="351"/>
      <c r="X93" s="351">
        <v>0</v>
      </c>
      <c r="Y93" s="363">
        <v>-0.48812</v>
      </c>
      <c r="Z93" s="363"/>
      <c r="AA93" s="363"/>
      <c r="AB93" s="363">
        <v>-0.48812</v>
      </c>
      <c r="AC93" s="355"/>
    </row>
    <row r="94" spans="1:30" s="352" customFormat="1" x14ac:dyDescent="0.2">
      <c r="A94" s="320" t="str">
        <f>IFERROR(VLOOKUP(B94,mapping_one_neo!A:B,2,FALSE),"")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/>
      <c r="Y94" s="363">
        <v>0.90203999999999995</v>
      </c>
      <c r="Z94" s="363"/>
      <c r="AA94" s="363"/>
      <c r="AB94" s="363">
        <v>0.90203999999999995</v>
      </c>
      <c r="AC94" s="355"/>
      <c r="AD94" s="334"/>
    </row>
    <row r="95" spans="1:30" s="387" customFormat="1" x14ac:dyDescent="0.2">
      <c r="A95" s="320">
        <f>IFERROR(VLOOKUP(B95,mapping_one_neo!A:B,2,FALSE),"")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0.41391999999999995</v>
      </c>
      <c r="V95" s="393">
        <f t="shared" ref="V95:AB95" si="8">SUM(V93:V94)</f>
        <v>0</v>
      </c>
      <c r="W95" s="393">
        <f t="shared" si="8"/>
        <v>0</v>
      </c>
      <c r="X95" s="393">
        <f t="shared" si="8"/>
        <v>0</v>
      </c>
      <c r="Y95" s="393">
        <f t="shared" si="8"/>
        <v>0.41391999999999995</v>
      </c>
      <c r="Z95" s="393">
        <f t="shared" si="8"/>
        <v>0</v>
      </c>
      <c r="AA95" s="393">
        <f t="shared" si="8"/>
        <v>0</v>
      </c>
      <c r="AB95" s="393">
        <f t="shared" si="8"/>
        <v>0.41391999999999995</v>
      </c>
      <c r="AC95" s="394"/>
      <c r="AD95" s="334"/>
    </row>
    <row r="96" spans="1:30" x14ac:dyDescent="0.2">
      <c r="A96" s="320" t="str">
        <f>IFERROR(VLOOKUP(B96,mapping_one_neo!A:B,2,FALSE),"")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v>-115.08045</v>
      </c>
      <c r="V98" s="362"/>
      <c r="W98" s="362"/>
      <c r="X98" s="351"/>
      <c r="Y98" s="363">
        <v>-115.08045</v>
      </c>
      <c r="Z98" s="363"/>
      <c r="AA98" s="363"/>
      <c r="AB98" s="363">
        <f>SUM(Y98:AA98)</f>
        <v>-115.08045</v>
      </c>
      <c r="AC98" s="355"/>
      <c r="AD98" s="334"/>
    </row>
    <row r="99" spans="1:30" s="352" customFormat="1" x14ac:dyDescent="0.2">
      <c r="A99" s="320" t="str">
        <f>IFERROR(VLOOKUP(B99,mapping_one_neo!A:B,2,FALSE),"")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-25.835000000000001</v>
      </c>
      <c r="V99" s="362"/>
      <c r="W99" s="362"/>
      <c r="X99" s="362"/>
      <c r="Y99" s="363">
        <v>-25.835000000000001</v>
      </c>
      <c r="Z99" s="363"/>
      <c r="AA99" s="363"/>
      <c r="AB99" s="363">
        <f>SUM(Y99:AA99)</f>
        <v>-25.835000000000001</v>
      </c>
      <c r="AC99" s="355"/>
      <c r="AD99" s="334"/>
    </row>
    <row r="100" spans="1:30" s="387" customFormat="1" x14ac:dyDescent="0.2">
      <c r="A100" s="320">
        <f>IFERROR(VLOOKUP(B100,mapping_one_neo!A:B,2,FALSE),"")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-140.91544999999999</v>
      </c>
      <c r="V100" s="393">
        <f t="shared" ref="V100:AB100" si="9">SUM(V98:V99)</f>
        <v>0</v>
      </c>
      <c r="W100" s="393">
        <f t="shared" si="9"/>
        <v>0</v>
      </c>
      <c r="X100" s="393">
        <f t="shared" si="9"/>
        <v>0</v>
      </c>
      <c r="Y100" s="393">
        <f t="shared" si="9"/>
        <v>-140.91544999999999</v>
      </c>
      <c r="Z100" s="393">
        <f t="shared" si="9"/>
        <v>0</v>
      </c>
      <c r="AA100" s="393">
        <f t="shared" si="9"/>
        <v>0</v>
      </c>
      <c r="AB100" s="393">
        <f t="shared" si="9"/>
        <v>-140.91544999999999</v>
      </c>
      <c r="AC100" s="394"/>
      <c r="AD100" s="334"/>
    </row>
    <row r="101" spans="1:30" x14ac:dyDescent="0.2">
      <c r="A101" s="320" t="str">
        <f>IFERROR(VLOOKUP(B101,mapping_one_neo!A:B,2,FALSE),"")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x14ac:dyDescent="0.2">
      <c r="A102" s="320">
        <f>IFERROR(VLOOKUP(B102,mapping_one_neo!A:B,2,FALSE),"")</f>
        <v>0</v>
      </c>
      <c r="B102" s="334" t="s">
        <v>70</v>
      </c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349"/>
      <c r="T102" s="346"/>
      <c r="U102" s="351"/>
      <c r="V102" s="351"/>
      <c r="W102" s="351"/>
      <c r="X102" s="351"/>
      <c r="Y102" s="358"/>
      <c r="Z102" s="358">
        <v>11.625</v>
      </c>
      <c r="AA102" s="358"/>
      <c r="AB102" s="363">
        <v>11.625</v>
      </c>
      <c r="AC102" s="350"/>
    </row>
    <row r="103" spans="1:30" x14ac:dyDescent="0.2">
      <c r="A103" s="320" t="str">
        <f>IFERROR(VLOOKUP(B103,mapping_one_neo!A:B,2,FALSE),"")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-141.34820999999999</v>
      </c>
      <c r="V104" s="354">
        <f t="shared" ref="V104:AA104" si="10">V95+V100</f>
        <v>0</v>
      </c>
      <c r="W104" s="354">
        <f t="shared" si="10"/>
        <v>0</v>
      </c>
      <c r="X104" s="354">
        <f>X95+X100+X90</f>
        <v>0</v>
      </c>
      <c r="Y104" s="354">
        <f>Y95+Y100+Y90</f>
        <v>-141.34820999999999</v>
      </c>
      <c r="Z104" s="354">
        <f>Z95+Z100+Z102</f>
        <v>11.625</v>
      </c>
      <c r="AA104" s="354">
        <f t="shared" si="10"/>
        <v>0</v>
      </c>
      <c r="AB104" s="354">
        <f>AB95+AB100+AB90+AB102</f>
        <v>-129.72320999999999</v>
      </c>
      <c r="AC104" s="350"/>
    </row>
    <row r="105" spans="1:30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-0.10389999999999988</v>
      </c>
      <c r="V109" s="351"/>
      <c r="W109" s="351"/>
      <c r="X109" s="351">
        <v>0</v>
      </c>
      <c r="Y109" s="363">
        <v>-0.10389999999999988</v>
      </c>
      <c r="Z109" s="363"/>
      <c r="AA109" s="363"/>
      <c r="AB109" s="363">
        <f>SUM(Y109:AA109)</f>
        <v>-0.10389999999999988</v>
      </c>
      <c r="AC109" s="355"/>
      <c r="AD109" s="334"/>
    </row>
    <row r="110" spans="1:30" s="352" customFormat="1" x14ac:dyDescent="0.2">
      <c r="A110" s="320" t="str">
        <f>IFERROR(VLOOKUP(B110,mapping_one_neo!A:B,2,FALSE),"")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-0.83500000000000008</v>
      </c>
      <c r="V110" s="351"/>
      <c r="W110" s="351"/>
      <c r="X110" s="351">
        <v>0</v>
      </c>
      <c r="Y110" s="363">
        <v>-0.83500000000000008</v>
      </c>
      <c r="Z110" s="363"/>
      <c r="AA110" s="363">
        <v>2.5675224105941464E-2</v>
      </c>
      <c r="AB110" s="363">
        <f t="shared" ref="AB110:AB111" si="11">SUM(Y110:AA110)</f>
        <v>-0.8093247758940586</v>
      </c>
      <c r="AC110" s="355"/>
      <c r="AD110" s="334"/>
    </row>
    <row r="111" spans="1:30" s="352" customFormat="1" x14ac:dyDescent="0.2">
      <c r="A111" s="320" t="str">
        <f>IFERROR(VLOOKUP(B111,mapping_one_neo!A:B,2,FALSE),"")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v>1.173</v>
      </c>
      <c r="Z111" s="363"/>
      <c r="AA111" s="363">
        <v>9.1463414634146336E-3</v>
      </c>
      <c r="AB111" s="363">
        <f t="shared" si="11"/>
        <v>1.1821463414634146</v>
      </c>
      <c r="AC111" s="355"/>
      <c r="AD111" s="334"/>
    </row>
    <row r="112" spans="1:30" s="387" customFormat="1" x14ac:dyDescent="0.2">
      <c r="A112" s="320">
        <f>IFERROR(VLOOKUP(B112,mapping_one_neo!A:B,2,FALSE),"")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0.23410000000000009</v>
      </c>
      <c r="V112" s="393">
        <f t="shared" ref="V112:AB112" si="12">SUM(V109:V111)</f>
        <v>0</v>
      </c>
      <c r="W112" s="393">
        <f t="shared" si="12"/>
        <v>0</v>
      </c>
      <c r="X112" s="393">
        <f t="shared" si="12"/>
        <v>0</v>
      </c>
      <c r="Y112" s="393">
        <f t="shared" si="12"/>
        <v>0.23410000000000009</v>
      </c>
      <c r="Z112" s="393">
        <f t="shared" si="12"/>
        <v>0</v>
      </c>
      <c r="AA112" s="393">
        <f t="shared" si="12"/>
        <v>3.4821565569356096E-2</v>
      </c>
      <c r="AB112" s="393">
        <f t="shared" si="12"/>
        <v>0.26892156556935609</v>
      </c>
      <c r="AC112" s="394"/>
      <c r="AD112" s="334"/>
    </row>
    <row r="113" spans="1:30" s="387" customFormat="1" x14ac:dyDescent="0.2">
      <c r="A113" s="320" t="str">
        <f>IFERROR(VLOOKUP(B113,mapping_one_neo!A:B,2,FALSE),"")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0.37391999999999997</v>
      </c>
      <c r="V115" s="351"/>
      <c r="W115" s="351"/>
      <c r="X115" s="351"/>
      <c r="Y115" s="363">
        <v>0.37391999999999997</v>
      </c>
      <c r="Z115" s="363"/>
      <c r="AA115" s="363"/>
      <c r="AB115" s="363">
        <v>0.37391999999999997</v>
      </c>
      <c r="AC115" s="355"/>
      <c r="AD115" s="334"/>
    </row>
    <row r="116" spans="1:30" s="352" customFormat="1" x14ac:dyDescent="0.2">
      <c r="A116" s="320" t="str">
        <f>IFERROR(VLOOKUP(B116,mapping_one_neo!A:B,2,FALSE),"")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-0.14033000000000001</v>
      </c>
      <c r="V116" s="351"/>
      <c r="W116" s="351"/>
      <c r="X116" s="351"/>
      <c r="Y116" s="363">
        <v>-0.14033000000000001</v>
      </c>
      <c r="Z116" s="363"/>
      <c r="AA116" s="363"/>
      <c r="AB116" s="363">
        <v>-6.3441819615476513E-2</v>
      </c>
      <c r="AC116" s="355"/>
      <c r="AD116" s="334"/>
    </row>
    <row r="117" spans="1:30" s="387" customFormat="1" x14ac:dyDescent="0.2">
      <c r="A117" s="320">
        <f>IFERROR(VLOOKUP(B117,mapping_one_neo!A:B,2,FALSE),"")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0.23358999999999996</v>
      </c>
      <c r="V117" s="424">
        <f t="shared" ref="V117:AA117" si="13">SUM(V116)</f>
        <v>0</v>
      </c>
      <c r="W117" s="424">
        <f t="shared" si="13"/>
        <v>0</v>
      </c>
      <c r="X117" s="424">
        <f>SUM(X115:X116)</f>
        <v>0</v>
      </c>
      <c r="Y117" s="424">
        <f>SUM(Y115:Y116)</f>
        <v>0.23358999999999996</v>
      </c>
      <c r="Z117" s="424">
        <f t="shared" si="13"/>
        <v>0</v>
      </c>
      <c r="AA117" s="424">
        <f t="shared" si="13"/>
        <v>0</v>
      </c>
      <c r="AB117" s="424">
        <f>SUM(AB115:AB116)</f>
        <v>0.31047818038452346</v>
      </c>
      <c r="AC117" s="394"/>
      <c r="AD117" s="334"/>
    </row>
    <row r="118" spans="1:30" s="387" customFormat="1" x14ac:dyDescent="0.2">
      <c r="A118" s="320" t="str">
        <f>IFERROR(VLOOKUP(B118,mapping_one_neo!A:B,2,FALSE),"")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B122" si="14">SUM(V120:V121)</f>
        <v>0</v>
      </c>
      <c r="W122" s="393">
        <f t="shared" si="14"/>
        <v>0</v>
      </c>
      <c r="X122" s="393">
        <f t="shared" si="14"/>
        <v>0</v>
      </c>
      <c r="Y122" s="393">
        <f t="shared" si="14"/>
        <v>-1.173</v>
      </c>
      <c r="Z122" s="393">
        <f t="shared" si="14"/>
        <v>0</v>
      </c>
      <c r="AA122" s="393">
        <f t="shared" si="14"/>
        <v>0</v>
      </c>
      <c r="AB122" s="393">
        <f t="shared" si="14"/>
        <v>-1.173</v>
      </c>
      <c r="AC122" s="394"/>
      <c r="AD122" s="334"/>
    </row>
    <row r="123" spans="1:30" s="387" customFormat="1" x14ac:dyDescent="0.2">
      <c r="A123" s="320" t="str">
        <f>IFERROR(VLOOKUP(B123,mapping_one_neo!A:B,2,FALSE),"")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-1.00309</v>
      </c>
      <c r="V125" s="351"/>
      <c r="W125" s="351"/>
      <c r="X125" s="351"/>
      <c r="Y125" s="363">
        <v>-1.00309</v>
      </c>
      <c r="Z125" s="363"/>
      <c r="AA125" s="363"/>
      <c r="AB125" s="363">
        <f>SUM(Y125:AA125)</f>
        <v>-1.00309</v>
      </c>
      <c r="AC125" s="355"/>
      <c r="AD125" s="334" t="s">
        <v>134</v>
      </c>
    </row>
    <row r="126" spans="1:30" s="352" customFormat="1" x14ac:dyDescent="0.2">
      <c r="A126" s="320" t="str">
        <f>IFERROR(VLOOKUP(B126,mapping_one_neo!A:B,2,FALSE),"")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-45.835000000000001</v>
      </c>
      <c r="V126" s="351">
        <v>0</v>
      </c>
      <c r="W126" s="351"/>
      <c r="X126" s="351"/>
      <c r="Y126" s="363">
        <v>-45.835000000000001</v>
      </c>
      <c r="Z126" s="363"/>
      <c r="AA126" s="363"/>
      <c r="AB126" s="363">
        <f t="shared" ref="AB126:AB132" si="15">SUM(Y126:AA126)</f>
        <v>-45.835000000000001</v>
      </c>
      <c r="AC126" s="355"/>
      <c r="AD126" s="334"/>
    </row>
    <row r="127" spans="1:30" s="352" customFormat="1" ht="14.25" customHeight="1" x14ac:dyDescent="0.2">
      <c r="A127" s="320" t="str">
        <f>IFERROR(VLOOKUP(B127,mapping_one_neo!A:B,2,FALSE),"")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-2.21</v>
      </c>
      <c r="V127" s="351"/>
      <c r="W127" s="351"/>
      <c r="X127" s="351"/>
      <c r="Y127" s="363">
        <v>-2.21</v>
      </c>
      <c r="Z127" s="363"/>
      <c r="AA127" s="363"/>
      <c r="AB127" s="363">
        <f t="shared" si="15"/>
        <v>-2.21</v>
      </c>
      <c r="AC127" s="355"/>
      <c r="AD127" s="334"/>
    </row>
    <row r="128" spans="1:30" s="352" customFormat="1" ht="14.25" customHeight="1" x14ac:dyDescent="0.2">
      <c r="A128" s="320" t="str">
        <f>IFERROR(VLOOKUP(B128,mapping_one_neo!A:B,2,FALSE),"")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-0.26900000000000002</v>
      </c>
      <c r="V128" s="351"/>
      <c r="W128" s="351"/>
      <c r="X128" s="351"/>
      <c r="Y128" s="363">
        <v>-0.26900000000000002</v>
      </c>
      <c r="Z128" s="363"/>
      <c r="AA128" s="363"/>
      <c r="AB128" s="363">
        <f t="shared" si="15"/>
        <v>-0.26900000000000002</v>
      </c>
      <c r="AC128" s="355"/>
      <c r="AD128" s="334"/>
    </row>
    <row r="129" spans="1:30" s="352" customFormat="1" x14ac:dyDescent="0.2">
      <c r="A129" s="320" t="str">
        <f>IFERROR(VLOOKUP(B129,mapping_one_neo!A:B,2,FALSE),"")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f t="shared" si="15"/>
        <v>0</v>
      </c>
      <c r="AC129" s="355"/>
      <c r="AD129" s="334"/>
    </row>
    <row r="130" spans="1:30" s="352" customFormat="1" x14ac:dyDescent="0.2">
      <c r="A130" s="320" t="str">
        <f>IFERROR(VLOOKUP(B130,mapping_one_neo!A:B,2,FALSE),"")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-1.665</v>
      </c>
      <c r="V130" s="351"/>
      <c r="W130" s="351"/>
      <c r="X130" s="351"/>
      <c r="Y130" s="363">
        <v>-1.665</v>
      </c>
      <c r="Z130" s="363"/>
      <c r="AA130" s="363"/>
      <c r="AB130" s="363">
        <f t="shared" si="15"/>
        <v>-1.665</v>
      </c>
      <c r="AC130" s="355"/>
      <c r="AD130" s="334"/>
    </row>
    <row r="131" spans="1:30" s="352" customFormat="1" x14ac:dyDescent="0.2">
      <c r="A131" s="320" t="str">
        <f>IFERROR(VLOOKUP(B131,mapping_one_neo!A:B,2,FALSE),"")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-6.6899999999999998E-3</v>
      </c>
      <c r="V131" s="351"/>
      <c r="W131" s="351"/>
      <c r="X131" s="351"/>
      <c r="Y131" s="363">
        <v>-6.6899999999999998E-3</v>
      </c>
      <c r="Z131" s="363"/>
      <c r="AA131" s="363"/>
      <c r="AB131" s="363">
        <f t="shared" si="15"/>
        <v>-6.6899999999999998E-3</v>
      </c>
      <c r="AC131" s="355"/>
      <c r="AD131" s="334"/>
    </row>
    <row r="132" spans="1:30" s="352" customFormat="1" x14ac:dyDescent="0.2">
      <c r="A132" s="320" t="str">
        <f>IFERROR(VLOOKUP(B132,mapping_one_neo!A:B,2,FALSE),"")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-1.4116500000000001</v>
      </c>
      <c r="V132" s="351"/>
      <c r="W132" s="351"/>
      <c r="X132" s="351"/>
      <c r="Y132" s="363">
        <v>-1.4116500000000001</v>
      </c>
      <c r="Z132" s="363"/>
      <c r="AA132" s="363"/>
      <c r="AB132" s="363">
        <f t="shared" si="15"/>
        <v>-1.4116500000000001</v>
      </c>
      <c r="AC132" s="355"/>
      <c r="AD132" s="334"/>
    </row>
    <row r="133" spans="1:30" s="352" customFormat="1" x14ac:dyDescent="0.2">
      <c r="A133" s="320" t="str">
        <f>IFERROR(VLOOKUP(B133,mapping_one_neo!A:B,2,FALSE),"")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-52.40043</v>
      </c>
      <c r="V135" s="393">
        <f t="shared" ref="V135:AB135" si="16">SUM(V125:V134)</f>
        <v>0</v>
      </c>
      <c r="W135" s="393">
        <f t="shared" si="16"/>
        <v>0</v>
      </c>
      <c r="X135" s="393">
        <f t="shared" si="16"/>
        <v>0</v>
      </c>
      <c r="Y135" s="393">
        <f t="shared" si="16"/>
        <v>-52.40043</v>
      </c>
      <c r="Z135" s="393">
        <f t="shared" si="16"/>
        <v>0</v>
      </c>
      <c r="AA135" s="393">
        <f t="shared" si="16"/>
        <v>0</v>
      </c>
      <c r="AB135" s="393">
        <f t="shared" si="16"/>
        <v>-52.40043</v>
      </c>
      <c r="AC135" s="394"/>
      <c r="AD135" s="334"/>
    </row>
    <row r="136" spans="1:30" s="387" customFormat="1" x14ac:dyDescent="0.2">
      <c r="A136" s="320"/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387" customFormat="1" x14ac:dyDescent="0.2">
      <c r="A137" s="320"/>
      <c r="B137" s="387" t="s">
        <v>811</v>
      </c>
      <c r="C137" s="392"/>
      <c r="E137" s="39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349"/>
      <c r="T137" s="346"/>
      <c r="U137" s="397"/>
      <c r="V137" s="397"/>
      <c r="W137" s="397"/>
      <c r="X137" s="397"/>
      <c r="Y137" s="397"/>
      <c r="Z137" s="397">
        <v>3.1760000000000002</v>
      </c>
      <c r="AA137" s="397"/>
      <c r="AB137" s="397">
        <v>3.1760000000000002</v>
      </c>
      <c r="AC137" s="394"/>
      <c r="AD137" s="334"/>
    </row>
    <row r="138" spans="1:30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-53.105740000000004</v>
      </c>
      <c r="V139" s="354">
        <f t="shared" ref="V139:AA139" si="17">V135+V122+V117+V112</f>
        <v>0</v>
      </c>
      <c r="W139" s="354">
        <f t="shared" si="17"/>
        <v>0</v>
      </c>
      <c r="X139" s="354">
        <f t="shared" si="17"/>
        <v>0</v>
      </c>
      <c r="Y139" s="354">
        <f t="shared" si="17"/>
        <v>-53.105740000000004</v>
      </c>
      <c r="Z139" s="354">
        <f>Z135+Z122+Z117+Z112+Z137</f>
        <v>3.1760000000000002</v>
      </c>
      <c r="AA139" s="354">
        <f t="shared" si="17"/>
        <v>3.4821565569356096E-2</v>
      </c>
      <c r="AB139" s="354">
        <f>AB135+AB122+AB117+AB112+AB137</f>
        <v>-49.818030254046121</v>
      </c>
      <c r="AC139" s="350"/>
    </row>
    <row r="140" spans="1:30" x14ac:dyDescent="0.2">
      <c r="A140" s="320" t="str">
        <f>IFERROR(VLOOKUP(B140,mapping_one_neo!A:B,2,FALSE),"")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v>-2.6671999999999998</v>
      </c>
      <c r="V141" s="351"/>
      <c r="W141" s="351"/>
      <c r="X141" s="351"/>
      <c r="Y141" s="363">
        <v>-2.6671999999999998</v>
      </c>
      <c r="Z141" s="363"/>
      <c r="AA141" s="363"/>
      <c r="AB141" s="363">
        <f>SUM(Y141:AA141)</f>
        <v>-2.6671999999999998</v>
      </c>
      <c r="AC141" s="355"/>
      <c r="AD141" s="334"/>
    </row>
    <row r="142" spans="1:30" s="352" customFormat="1" x14ac:dyDescent="0.2">
      <c r="A142" s="320" t="str">
        <f>IFERROR(VLOOKUP(B142,mapping_one_neo!A:B,2,FALSE),"")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-2.71</v>
      </c>
      <c r="V142" s="351"/>
      <c r="W142" s="351"/>
      <c r="X142" s="351"/>
      <c r="Y142" s="363">
        <v>-2.71</v>
      </c>
      <c r="Z142" s="363"/>
      <c r="AA142" s="443">
        <v>1.1219656847033353E-2</v>
      </c>
      <c r="AB142" s="363">
        <f t="shared" ref="AB142:AB157" si="18">SUM(Y142:AA142)</f>
        <v>-2.6987803431529667</v>
      </c>
      <c r="AC142" s="355"/>
      <c r="AD142" s="334"/>
    </row>
    <row r="143" spans="1:30" x14ac:dyDescent="0.2">
      <c r="A143" s="320" t="str">
        <f>IFERROR(VLOOKUP(B143,mapping_one_neo!A:B,2,FALSE),"")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si="18"/>
        <v>0</v>
      </c>
      <c r="AC143" s="350"/>
    </row>
    <row r="144" spans="1:30" s="352" customFormat="1" x14ac:dyDescent="0.2">
      <c r="A144" s="320" t="str">
        <f>IFERROR(VLOOKUP(B144,mapping_one_neo!A:B,2,FALSE),"")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18"/>
        <v>0</v>
      </c>
      <c r="AC144" s="355"/>
      <c r="AD144" s="334"/>
    </row>
    <row r="145" spans="1:30" s="352" customFormat="1" x14ac:dyDescent="0.2">
      <c r="A145" s="320" t="str">
        <f>IFERROR(VLOOKUP(B145,mapping_one_neo!A:B,2,FALSE),"")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-0.41500000000000004</v>
      </c>
      <c r="V145" s="351"/>
      <c r="W145" s="351"/>
      <c r="X145" s="351"/>
      <c r="Y145" s="363">
        <v>-0.41500000000000004</v>
      </c>
      <c r="Z145" s="363"/>
      <c r="AA145" s="363"/>
      <c r="AB145" s="363">
        <f t="shared" si="18"/>
        <v>-0.41500000000000004</v>
      </c>
      <c r="AC145" s="355"/>
      <c r="AD145" s="334"/>
    </row>
    <row r="146" spans="1:30" x14ac:dyDescent="0.2">
      <c r="A146" s="320" t="str">
        <f>IFERROR(VLOOKUP(B146,mapping_one_neo!A:B,2,FALSE),"")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18"/>
        <v>0</v>
      </c>
      <c r="AC146" s="350"/>
    </row>
    <row r="147" spans="1:30" x14ac:dyDescent="0.2">
      <c r="A147" s="320">
        <f>IFERROR(VLOOKUP(B147,mapping_one_neo!A:B,2,FALSE),"")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18"/>
        <v>0</v>
      </c>
      <c r="AC147" s="350"/>
    </row>
    <row r="148" spans="1:30" s="352" customFormat="1" x14ac:dyDescent="0.2">
      <c r="A148" s="320" t="str">
        <f>IFERROR(VLOOKUP(B148,mapping_one_neo!A:B,2,FALSE),"")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>
        <f t="shared" si="18"/>
        <v>0</v>
      </c>
      <c r="AC148" s="355"/>
      <c r="AD148" s="334"/>
    </row>
    <row r="149" spans="1:30" s="352" customFormat="1" x14ac:dyDescent="0.2">
      <c r="A149" s="320" t="str">
        <f>IFERROR(VLOOKUP(B149,mapping_one_neo!A:B,2,FALSE),"")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-8.75</v>
      </c>
      <c r="V149" s="351"/>
      <c r="W149" s="351"/>
      <c r="X149" s="351"/>
      <c r="Y149" s="363">
        <v>-8.75</v>
      </c>
      <c r="Z149" s="363"/>
      <c r="AA149" s="363"/>
      <c r="AB149" s="363">
        <f t="shared" si="18"/>
        <v>-8.75</v>
      </c>
      <c r="AC149" s="355"/>
      <c r="AD149" s="334"/>
    </row>
    <row r="150" spans="1:30" s="352" customFormat="1" x14ac:dyDescent="0.2">
      <c r="A150" s="320" t="str">
        <f>IFERROR(VLOOKUP(B150,mapping_one_neo!A:B,2,FALSE),"")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-0.29000000000000004</v>
      </c>
      <c r="V150" s="351"/>
      <c r="W150" s="351"/>
      <c r="X150" s="351"/>
      <c r="Y150" s="363">
        <v>-0.29000000000000004</v>
      </c>
      <c r="Z150" s="363"/>
      <c r="AA150" s="363"/>
      <c r="AB150" s="363">
        <f t="shared" si="18"/>
        <v>-0.29000000000000004</v>
      </c>
      <c r="AC150" s="355"/>
      <c r="AD150" s="334"/>
    </row>
    <row r="151" spans="1:30" s="352" customFormat="1" x14ac:dyDescent="0.2">
      <c r="A151" s="320" t="str">
        <f>IFERROR(VLOOKUP(B151,mapping_one_neo!A:B,2,FALSE),"")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-2.9237000000000002</v>
      </c>
      <c r="V151" s="351"/>
      <c r="W151" s="351"/>
      <c r="X151" s="351"/>
      <c r="Y151" s="363">
        <v>-2.9237000000000002</v>
      </c>
      <c r="Z151" s="363"/>
      <c r="AA151" s="363"/>
      <c r="AB151" s="363">
        <f t="shared" si="18"/>
        <v>-2.9237000000000002</v>
      </c>
      <c r="AC151" s="355"/>
      <c r="AD151" s="334"/>
    </row>
    <row r="152" spans="1:30" s="352" customFormat="1" x14ac:dyDescent="0.2">
      <c r="A152" s="320" t="str">
        <f>IFERROR(VLOOKUP(B152,mapping_one_neo!A:B,2,FALSE),"")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-12.5</v>
      </c>
      <c r="V152" s="351"/>
      <c r="W152" s="351"/>
      <c r="X152" s="351"/>
      <c r="Y152" s="363">
        <v>-12.5</v>
      </c>
      <c r="Z152" s="363"/>
      <c r="AA152" s="363"/>
      <c r="AB152" s="363">
        <f t="shared" si="18"/>
        <v>-12.5</v>
      </c>
      <c r="AC152" s="355"/>
      <c r="AD152" s="334"/>
    </row>
    <row r="153" spans="1:30" s="352" customFormat="1" x14ac:dyDescent="0.2">
      <c r="A153" s="320" t="str">
        <f>IFERROR(VLOOKUP(B153,mapping_one_neo!A:B,2,FALSE),"")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-2.625</v>
      </c>
      <c r="V153" s="351"/>
      <c r="W153" s="351"/>
      <c r="X153" s="351"/>
      <c r="Y153" s="363">
        <v>-2.625</v>
      </c>
      <c r="Z153" s="363"/>
      <c r="AA153" s="363"/>
      <c r="AB153" s="363">
        <f t="shared" si="18"/>
        <v>-2.625</v>
      </c>
      <c r="AC153" s="355"/>
      <c r="AD153" s="334" t="s">
        <v>134</v>
      </c>
    </row>
    <row r="154" spans="1:30" s="352" customFormat="1" x14ac:dyDescent="0.2">
      <c r="A154" s="320" t="str">
        <f>IFERROR(VLOOKUP(B154,mapping_one_neo!A:B,2,FALSE),"")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363"/>
      <c r="Z154" s="363"/>
      <c r="AA154" s="363"/>
      <c r="AB154" s="363">
        <f t="shared" si="18"/>
        <v>0</v>
      </c>
      <c r="AC154" s="355"/>
      <c r="AD154" s="334"/>
    </row>
    <row r="155" spans="1:30" s="352" customFormat="1" x14ac:dyDescent="0.2">
      <c r="A155" s="320" t="str">
        <f>IFERROR(VLOOKUP(B155,mapping_one_neo!A:B,2,FALSE),"")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363">
        <v>0</v>
      </c>
      <c r="Z155" s="363"/>
      <c r="AA155" s="363"/>
      <c r="AB155" s="363">
        <f t="shared" si="18"/>
        <v>0</v>
      </c>
      <c r="AC155" s="355"/>
      <c r="AD155" s="334"/>
    </row>
    <row r="156" spans="1:30" s="352" customFormat="1" x14ac:dyDescent="0.2">
      <c r="A156" s="320" t="str">
        <f>IFERROR(VLOOKUP(B156,mapping_one_neo!A:B,2,FALSE),"")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-1.875</v>
      </c>
      <c r="W156" s="351"/>
      <c r="X156" s="351"/>
      <c r="Y156" s="363">
        <v>-1.875</v>
      </c>
      <c r="Z156" s="363"/>
      <c r="AA156" s="363"/>
      <c r="AB156" s="363">
        <f t="shared" si="18"/>
        <v>-1.875</v>
      </c>
      <c r="AC156" s="355"/>
      <c r="AD156" s="334"/>
    </row>
    <row r="157" spans="1:30" s="352" customFormat="1" x14ac:dyDescent="0.2">
      <c r="A157" s="320" t="str">
        <f>IFERROR(VLOOKUP(B157,mapping_one_neo!A:B,2,FALSE),"")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351">
        <v>-9.5833333333333499</v>
      </c>
      <c r="Y157" s="363">
        <v>-9.5833333333333499</v>
      </c>
      <c r="Z157" s="363"/>
      <c r="AA157" s="363"/>
      <c r="AB157" s="363">
        <f t="shared" si="18"/>
        <v>-9.5833333333333499</v>
      </c>
      <c r="AC157" s="355"/>
      <c r="AD157" s="334"/>
    </row>
    <row r="158" spans="1:30" s="387" customFormat="1" x14ac:dyDescent="0.2">
      <c r="A158" s="320">
        <f>IFERROR(VLOOKUP(B158,mapping_one_neo!A:B,2,FALSE),"")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-27.088699999999999</v>
      </c>
      <c r="V158" s="393">
        <f t="shared" ref="V158:AB158" si="19">SUM(V148:V157)</f>
        <v>-1.875</v>
      </c>
      <c r="W158" s="393">
        <f t="shared" si="19"/>
        <v>0</v>
      </c>
      <c r="X158" s="393">
        <f t="shared" si="19"/>
        <v>-9.5833333333333499</v>
      </c>
      <c r="Y158" s="393">
        <f t="shared" si="19"/>
        <v>-38.547033333333346</v>
      </c>
      <c r="Z158" s="393">
        <f t="shared" si="19"/>
        <v>0</v>
      </c>
      <c r="AA158" s="393">
        <f t="shared" si="19"/>
        <v>0</v>
      </c>
      <c r="AB158" s="393">
        <f t="shared" si="19"/>
        <v>-38.547033333333346</v>
      </c>
      <c r="AC158" s="394"/>
      <c r="AD158" s="334"/>
    </row>
    <row r="159" spans="1:30" s="387" customFormat="1" x14ac:dyDescent="0.2">
      <c r="A159" s="320" t="str">
        <f>IFERROR(VLOOKUP(B159,mapping_one_neo!A:B,2,FALSE),"")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-0.5</v>
      </c>
      <c r="V160" s="351"/>
      <c r="W160" s="351"/>
      <c r="X160" s="351"/>
      <c r="Y160" s="363">
        <v>-0.5</v>
      </c>
      <c r="Z160" s="363"/>
      <c r="AA160" s="363">
        <v>1.6829476633612197E-2</v>
      </c>
      <c r="AB160" s="363">
        <f>SUM(Y160:AA160)</f>
        <v>-0.48317052336638783</v>
      </c>
      <c r="AC160" s="355"/>
      <c r="AD160" s="334"/>
    </row>
    <row r="161" spans="1:30" s="352" customFormat="1" x14ac:dyDescent="0.2">
      <c r="A161" s="320" t="str">
        <f>IFERROR(VLOOKUP(B161,mapping_one_neo!A:B,2,FALSE),"")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/>
      <c r="V161" s="351"/>
      <c r="W161" s="351"/>
      <c r="X161" s="351"/>
      <c r="Y161" s="363">
        <v>0</v>
      </c>
      <c r="Z161" s="363"/>
      <c r="AA161" s="363"/>
      <c r="AB161" s="363">
        <f t="shared" ref="AB161:AB164" si="20">SUM(Y161:AA161)</f>
        <v>0</v>
      </c>
      <c r="AC161" s="355"/>
      <c r="AD161" s="334" t="s">
        <v>792</v>
      </c>
    </row>
    <row r="162" spans="1:30" s="352" customFormat="1" x14ac:dyDescent="0.2">
      <c r="A162" s="320" t="str">
        <f>IFERROR(VLOOKUP(B162,mapping_one_neo!A:B,2,FALSE),"")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-3.165</v>
      </c>
      <c r="V162" s="351"/>
      <c r="W162" s="351"/>
      <c r="X162" s="351"/>
      <c r="Y162" s="363">
        <v>-3.165</v>
      </c>
      <c r="Z162" s="363"/>
      <c r="AA162" s="363"/>
      <c r="AB162" s="363">
        <f t="shared" si="20"/>
        <v>-3.165</v>
      </c>
      <c r="AC162" s="355"/>
      <c r="AD162" s="334"/>
    </row>
    <row r="163" spans="1:30" s="352" customFormat="1" x14ac:dyDescent="0.2">
      <c r="A163" s="320" t="str">
        <f>IFERROR(VLOOKUP(B163,mapping_one_neo!A:B,2,FALSE),"")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-1.25</v>
      </c>
      <c r="V163" s="351"/>
      <c r="W163" s="351"/>
      <c r="X163" s="351"/>
      <c r="Y163" s="363">
        <v>-1.25</v>
      </c>
      <c r="Z163" s="363"/>
      <c r="AA163" s="363"/>
      <c r="AB163" s="363">
        <f t="shared" si="20"/>
        <v>-1.25</v>
      </c>
      <c r="AC163" s="355"/>
      <c r="AD163" s="334"/>
    </row>
    <row r="164" spans="1:30" s="352" customFormat="1" x14ac:dyDescent="0.2">
      <c r="A164" s="320" t="str">
        <f>IFERROR(VLOOKUP(B164,mapping_one_neo!A:B,2,FALSE),"")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-4.40327</v>
      </c>
      <c r="V164" s="351"/>
      <c r="W164" s="351"/>
      <c r="X164" s="351"/>
      <c r="Y164" s="363">
        <v>-4.40327</v>
      </c>
      <c r="Z164" s="363"/>
      <c r="AA164" s="363"/>
      <c r="AB164" s="363">
        <f t="shared" si="20"/>
        <v>-4.40327</v>
      </c>
      <c r="AC164" s="355"/>
      <c r="AD164" s="334"/>
    </row>
    <row r="165" spans="1:30" s="387" customFormat="1" x14ac:dyDescent="0.2">
      <c r="A165" s="320">
        <f>IFERROR(VLOOKUP(B165,mapping_one_neo!A:B,2,FALSE),"")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-9.3182700000000001</v>
      </c>
      <c r="V165" s="393">
        <f>SUM(V160:V164)</f>
        <v>0</v>
      </c>
      <c r="W165" s="393">
        <f t="shared" ref="W165:AB165" si="21">SUM(W160:W164)</f>
        <v>0</v>
      </c>
      <c r="X165" s="393">
        <f t="shared" si="21"/>
        <v>0</v>
      </c>
      <c r="Y165" s="393">
        <f t="shared" si="21"/>
        <v>-9.3182700000000001</v>
      </c>
      <c r="Z165" s="393">
        <f t="shared" si="21"/>
        <v>0</v>
      </c>
      <c r="AA165" s="393">
        <f t="shared" si="21"/>
        <v>1.6829476633612197E-2</v>
      </c>
      <c r="AB165" s="393">
        <f t="shared" si="21"/>
        <v>-9.3014405233663879</v>
      </c>
      <c r="AC165" s="355"/>
      <c r="AD165" s="334"/>
    </row>
    <row r="166" spans="1:30" s="387" customFormat="1" x14ac:dyDescent="0.2">
      <c r="A166" s="320" t="str">
        <f>IFERROR(VLOOKUP(B166,mapping_one_neo!A:B,2,FALSE),"")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387" customFormat="1" x14ac:dyDescent="0.2">
      <c r="A167" s="320" t="str">
        <f>IFERROR(VLOOKUP(B167,mapping_one_neo!A:B,2,FALSE),"")</f>
        <v/>
      </c>
      <c r="C167" s="392"/>
      <c r="E167" s="39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349"/>
      <c r="T167" s="346"/>
      <c r="U167" s="397"/>
      <c r="V167" s="397"/>
      <c r="W167" s="397">
        <v>-7.7916666666666501</v>
      </c>
      <c r="X167" s="397"/>
      <c r="Y167" s="397">
        <v>-7.7916666666666501</v>
      </c>
      <c r="Z167" s="397">
        <v>3.0939999999999999</v>
      </c>
      <c r="AA167" s="397"/>
      <c r="AB167" s="397">
        <f>SUM(Y167:AA167)</f>
        <v>-4.6976666666666507</v>
      </c>
      <c r="AC167" s="394"/>
      <c r="AD167" s="334"/>
    </row>
    <row r="168" spans="1:30" s="400" customFormat="1" x14ac:dyDescent="0.2">
      <c r="A168" s="320" t="str">
        <f>IFERROR(VLOOKUP(B168,mapping_one_neo!A:B,2,FALSE),"")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V170" si="22">U165+U158+U145+U142+U141+U167</f>
        <v>-42.199170000000002</v>
      </c>
      <c r="V170" s="354">
        <f t="shared" si="22"/>
        <v>-1.875</v>
      </c>
      <c r="W170" s="354">
        <f>W165+W158+W145+W142+W141+W167</f>
        <v>-7.7916666666666501</v>
      </c>
      <c r="X170" s="354">
        <f t="shared" ref="X170:AB170" si="23">X165+X158+X145+X142+X141+X167</f>
        <v>-9.5833333333333499</v>
      </c>
      <c r="Y170" s="357">
        <f t="shared" si="23"/>
        <v>-61.449169999999995</v>
      </c>
      <c r="Z170" s="357">
        <f t="shared" si="23"/>
        <v>3.0939999999999999</v>
      </c>
      <c r="AA170" s="357">
        <f t="shared" si="23"/>
        <v>2.8049133480645548E-2</v>
      </c>
      <c r="AB170" s="357">
        <f t="shared" si="23"/>
        <v>-58.327120866519351</v>
      </c>
      <c r="AC170" s="403"/>
    </row>
    <row r="171" spans="1:30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-1.875</v>
      </c>
      <c r="V174" s="362"/>
      <c r="W174" s="362"/>
      <c r="X174" s="362"/>
      <c r="Y174" s="363">
        <v>-1.875</v>
      </c>
      <c r="Z174" s="363"/>
      <c r="AA174" s="363"/>
      <c r="AB174" s="363">
        <f>SUM(Y174:AA174)</f>
        <v>-1.875</v>
      </c>
      <c r="AC174" s="355"/>
      <c r="AD174" s="334"/>
    </row>
    <row r="175" spans="1:30" s="352" customFormat="1" x14ac:dyDescent="0.2">
      <c r="A175" s="320" t="str">
        <f>IFERROR(VLOOKUP(B175,mapping_one_neo!A:B,2,FALSE),"")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v>-0.26600000000000001</v>
      </c>
      <c r="Z175" s="363"/>
      <c r="AA175" s="363"/>
      <c r="AB175" s="363">
        <f t="shared" ref="AB175:AB182" si="24">SUM(Y175:AA175)</f>
        <v>-0.26600000000000001</v>
      </c>
      <c r="AC175" s="355"/>
      <c r="AD175" s="334"/>
    </row>
    <row r="176" spans="1:30" s="352" customFormat="1" x14ac:dyDescent="0.2">
      <c r="A176" s="320" t="str">
        <f>IFERROR(VLOOKUP(B176,mapping_one_neo!A:B,2,FALSE),"")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v>-1.666666666666665</v>
      </c>
      <c r="W176" s="351"/>
      <c r="X176" s="351"/>
      <c r="Y176" s="363">
        <v>-1.666666666666665</v>
      </c>
      <c r="Z176" s="363"/>
      <c r="AA176" s="363"/>
      <c r="AB176" s="363">
        <f t="shared" si="24"/>
        <v>-1.666666666666665</v>
      </c>
      <c r="AC176" s="355"/>
      <c r="AD176" s="334"/>
    </row>
    <row r="177" spans="1:30" s="352" customFormat="1" x14ac:dyDescent="0.2">
      <c r="A177" s="320" t="str">
        <f>IFERROR(VLOOKUP(B177,mapping_one_neo!A:B,2,FALSE),"")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-3.125</v>
      </c>
      <c r="V177" s="351"/>
      <c r="W177" s="351"/>
      <c r="X177" s="351"/>
      <c r="Y177" s="363">
        <v>-3.125</v>
      </c>
      <c r="Z177" s="363"/>
      <c r="AA177" s="363"/>
      <c r="AB177" s="363">
        <f t="shared" si="24"/>
        <v>-3.125</v>
      </c>
      <c r="AC177" s="355"/>
      <c r="AD177" s="334"/>
    </row>
    <row r="178" spans="1:30" s="352" customFormat="1" x14ac:dyDescent="0.2">
      <c r="A178" s="320" t="str">
        <f>IFERROR(VLOOKUP(B178,mapping_one_neo!A:B,2,FALSE),"")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-1.0788899999999999</v>
      </c>
      <c r="V178" s="351"/>
      <c r="W178" s="351"/>
      <c r="X178" s="351"/>
      <c r="Y178" s="363">
        <v>-1.0788899999999999</v>
      </c>
      <c r="Z178" s="363"/>
      <c r="AA178" s="363"/>
      <c r="AB178" s="363">
        <f t="shared" si="24"/>
        <v>-1.0788899999999999</v>
      </c>
      <c r="AC178" s="355"/>
      <c r="AD178" s="334"/>
    </row>
    <row r="179" spans="1:30" s="352" customFormat="1" x14ac:dyDescent="0.2">
      <c r="A179" s="320" t="str">
        <f>IFERROR(VLOOKUP(B179,mapping_one_neo!A:B,2,FALSE),"")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/>
      <c r="V179" s="351"/>
      <c r="W179" s="351"/>
      <c r="X179" s="351"/>
      <c r="Y179" s="363">
        <v>0</v>
      </c>
      <c r="Z179" s="363"/>
      <c r="AA179" s="363"/>
      <c r="AB179" s="363">
        <f t="shared" si="24"/>
        <v>0</v>
      </c>
      <c r="AC179" s="355"/>
      <c r="AD179" s="334"/>
    </row>
    <row r="180" spans="1:30" s="352" customFormat="1" x14ac:dyDescent="0.2">
      <c r="A180" s="320" t="str">
        <f>IFERROR(VLOOKUP(B180,mapping_one_neo!A:B,2,FALSE),"")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/>
      <c r="Y180" s="363">
        <v>-0.3</v>
      </c>
      <c r="Z180" s="363"/>
      <c r="AA180" s="363"/>
      <c r="AB180" s="363">
        <f t="shared" si="24"/>
        <v>-0.3</v>
      </c>
      <c r="AC180" s="355"/>
      <c r="AD180" s="334"/>
    </row>
    <row r="181" spans="1:30" s="352" customFormat="1" x14ac:dyDescent="0.2">
      <c r="A181" s="320" t="str">
        <f>IFERROR(VLOOKUP(B181,mapping_one_neo!A:B,2,FALSE),"")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/>
      <c r="V181" s="351"/>
      <c r="W181" s="351"/>
      <c r="X181" s="351"/>
      <c r="Y181" s="363"/>
      <c r="Z181" s="363"/>
      <c r="AA181" s="363"/>
      <c r="AB181" s="363">
        <f t="shared" si="24"/>
        <v>0</v>
      </c>
      <c r="AC181" s="355"/>
      <c r="AD181" s="334"/>
    </row>
    <row r="182" spans="1:30" s="352" customFormat="1" x14ac:dyDescent="0.2">
      <c r="A182" s="320">
        <f>IFERROR(VLOOKUP(B182,mapping_one_neo!A:B,2,FALSE),"")</f>
        <v>0</v>
      </c>
      <c r="B182" s="352" t="s">
        <v>127</v>
      </c>
      <c r="C182" s="353"/>
      <c r="E182" s="356">
        <v>0</v>
      </c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345"/>
      <c r="T182" s="361"/>
      <c r="U182" s="351"/>
      <c r="V182" s="351"/>
      <c r="W182" s="351"/>
      <c r="X182" s="351"/>
      <c r="Y182" s="363"/>
      <c r="Z182" s="363">
        <v>0.52800000000000002</v>
      </c>
      <c r="AA182" s="363"/>
      <c r="AB182" s="363">
        <f t="shared" si="24"/>
        <v>0.52800000000000002</v>
      </c>
      <c r="AC182" s="355"/>
      <c r="AD182" s="334"/>
    </row>
    <row r="183" spans="1:30" x14ac:dyDescent="0.2">
      <c r="A183" s="320">
        <f>IFERROR(VLOOKUP(B183,mapping_one_neo!A:B,2,FALSE),"")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SUM(U174:U180)</f>
        <v>-6.6448899999999993</v>
      </c>
      <c r="V183" s="354">
        <f t="shared" ref="V183:AA183" si="25">SUM(V174:V180)</f>
        <v>-1.666666666666665</v>
      </c>
      <c r="W183" s="354">
        <f t="shared" si="25"/>
        <v>0</v>
      </c>
      <c r="X183" s="354">
        <f t="shared" si="25"/>
        <v>0</v>
      </c>
      <c r="Y183" s="354">
        <f t="shared" si="25"/>
        <v>-8.3115566666666663</v>
      </c>
      <c r="Z183" s="354">
        <f t="shared" si="25"/>
        <v>0</v>
      </c>
      <c r="AA183" s="354">
        <f t="shared" si="25"/>
        <v>0</v>
      </c>
      <c r="AB183" s="354">
        <f>SUM(AB174:AB182)</f>
        <v>-7.7835566666666658</v>
      </c>
      <c r="AC183" s="350"/>
    </row>
    <row r="184" spans="1:30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-405.58466999999996</v>
      </c>
      <c r="V185" s="354">
        <f t="shared" ref="V185:AB185" si="26">V58+V83+V104+V139+V170+V183</f>
        <v>-73.881376666666668</v>
      </c>
      <c r="W185" s="354">
        <f t="shared" si="26"/>
        <v>-7.7916666666666501</v>
      </c>
      <c r="X185" s="354">
        <f t="shared" si="26"/>
        <v>-9.5833333333333499</v>
      </c>
      <c r="Y185" s="357">
        <f t="shared" si="26"/>
        <v>-496.84104666666661</v>
      </c>
      <c r="Z185" s="357">
        <f t="shared" si="26"/>
        <v>31.529983618902676</v>
      </c>
      <c r="AA185" s="357">
        <f t="shared" si="26"/>
        <v>0.8352284226272374</v>
      </c>
      <c r="AB185" s="357">
        <f t="shared" si="26"/>
        <v>-463.87094644475218</v>
      </c>
      <c r="AC185" s="355"/>
      <c r="AD185" s="334"/>
    </row>
    <row r="186" spans="1:30" x14ac:dyDescent="0.2">
      <c r="A186" s="320" t="str">
        <f>IFERROR(VLOOKUP(B186,mapping_one_neo!A:B,2,FALSE),"")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-19.585000000000001</v>
      </c>
      <c r="V187" s="351">
        <v>0</v>
      </c>
      <c r="W187" s="351">
        <v>-200.04000000000002</v>
      </c>
      <c r="X187" s="351">
        <v>0</v>
      </c>
      <c r="Y187" s="358">
        <v>-219.62500000000003</v>
      </c>
      <c r="Z187" s="358"/>
      <c r="AA187" s="358"/>
      <c r="AB187" s="363">
        <v>-219.62500000000003</v>
      </c>
      <c r="AC187" s="350"/>
    </row>
    <row r="188" spans="1:30" x14ac:dyDescent="0.2">
      <c r="A188" s="320" t="str">
        <f>IFERROR(VLOOKUP(B188,mapping_one_neo!A:B,2,FALSE),"")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61.521163333329959</v>
      </c>
      <c r="V189" s="406">
        <f t="shared" ref="V189:AB189" si="27">V6+V49+V185+V187</f>
        <v>-35.878116666666664</v>
      </c>
      <c r="W189" s="406">
        <f t="shared" si="27"/>
        <v>-207.83166666666668</v>
      </c>
      <c r="X189" s="406">
        <f t="shared" si="27"/>
        <v>-14.068333333333349</v>
      </c>
      <c r="Y189" s="411">
        <f t="shared" si="27"/>
        <v>-196.25645333333702</v>
      </c>
      <c r="Z189" s="411">
        <f t="shared" si="27"/>
        <v>123.90948098631686</v>
      </c>
      <c r="AA189" s="411">
        <f t="shared" si="27"/>
        <v>0.85758614620447315</v>
      </c>
      <c r="AB189" s="411">
        <f t="shared" si="27"/>
        <v>-70.884498020431209</v>
      </c>
      <c r="AC189" s="355"/>
      <c r="AD189" s="334"/>
    </row>
    <row r="190" spans="1:30" s="408" customFormat="1" ht="13.5" thickTop="1" x14ac:dyDescent="0.2">
      <c r="A190" s="320" t="str">
        <f>IFERROR(VLOOKUP(B190,mapping_one_neo!A:B,2,FALSE),"")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IFERROR(VLOOKUP(B192,mapping_one_neo!A:B,2,FALSE),"")</f>
        <v>I/G exchange gains/(losses)</v>
      </c>
      <c r="B192" s="352" t="s">
        <v>126</v>
      </c>
      <c r="S192" s="349"/>
      <c r="T192" s="346"/>
      <c r="U192" s="428">
        <v>1.2499500000000001</v>
      </c>
      <c r="V192" s="412">
        <v>0</v>
      </c>
      <c r="W192" s="412">
        <v>0</v>
      </c>
      <c r="X192" s="412">
        <v>0</v>
      </c>
      <c r="Y192" s="401">
        <v>1.2499500000000001</v>
      </c>
      <c r="Z192" s="401"/>
      <c r="AA192" s="401"/>
      <c r="AB192" s="429">
        <v>1.2499500000000001</v>
      </c>
      <c r="AC192" s="350"/>
    </row>
    <row r="193" spans="1:30" x14ac:dyDescent="0.2">
      <c r="A193" s="320" t="str">
        <f>IFERROR(VLOOKUP(B193,mapping_one_neo!A:B,2,FALSE),"")</f>
        <v>I/G exchange gains/(losses)</v>
      </c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0.42043999999999998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A194" s="320">
        <f>IFERROR(VLOOKUP(B194,mapping_one_neo!A:B,2,FALSE),"")</f>
        <v>0</v>
      </c>
      <c r="B194" s="334" t="s">
        <v>127</v>
      </c>
      <c r="C194" s="337">
        <v>758000</v>
      </c>
      <c r="S194" s="349"/>
      <c r="T194" s="346"/>
      <c r="U194" s="432">
        <v>0.82951000000000008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IFERROR(VLOOKUP(B196,mapping_one_neo!A:B,2,FALSE),"")</f>
        <v>I/G exchange gains/(losses)</v>
      </c>
      <c r="B196" s="352" t="s">
        <v>128</v>
      </c>
      <c r="S196" s="349"/>
      <c r="T196" s="346"/>
      <c r="U196" s="428">
        <v>-0.23218</v>
      </c>
      <c r="V196" s="412">
        <v>0</v>
      </c>
      <c r="W196" s="412">
        <v>0</v>
      </c>
      <c r="X196" s="412">
        <v>0</v>
      </c>
      <c r="Y196" s="401">
        <v>-0.23218</v>
      </c>
      <c r="Z196" s="401"/>
      <c r="AA196" s="401"/>
      <c r="AB196" s="429">
        <v>-0.23218</v>
      </c>
      <c r="AC196" s="350"/>
    </row>
    <row r="197" spans="1:30" x14ac:dyDescent="0.2">
      <c r="A197" s="320" t="str">
        <f>IFERROR(VLOOKUP(B197,mapping_one_neo!A:B,2,FALSE),"")</f>
        <v>I/G exchange gains/(losses)</v>
      </c>
      <c r="B197" s="334" t="s">
        <v>129</v>
      </c>
      <c r="C197" s="337">
        <v>666000</v>
      </c>
      <c r="S197" s="349"/>
      <c r="T197" s="346"/>
      <c r="U197" s="430">
        <v>-0.23300999999999999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8.3000000000000001E-4</v>
      </c>
      <c r="V198" s="441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IFERROR(VLOOKUP(B200,mapping_one_neo!A:B,2,FALSE),"")</f>
        <v>0</v>
      </c>
      <c r="B200" s="352" t="s">
        <v>130</v>
      </c>
      <c r="S200" s="349"/>
      <c r="T200" s="346"/>
      <c r="U200" s="415">
        <v>339.08673000000016</v>
      </c>
      <c r="V200" s="415">
        <v>-25.621093333333334</v>
      </c>
      <c r="W200" s="415">
        <v>-166.26533333333333</v>
      </c>
      <c r="X200" s="415">
        <v>-40.66933834666667</v>
      </c>
      <c r="Y200" s="435">
        <v>106.53096498666706</v>
      </c>
      <c r="Z200" s="435"/>
      <c r="AA200" s="435">
        <v>0</v>
      </c>
      <c r="AB200" s="435">
        <v>106.53096498666706</v>
      </c>
      <c r="AC200" s="350"/>
    </row>
    <row r="201" spans="1:30" x14ac:dyDescent="0.2">
      <c r="A201" s="320" t="str">
        <f>IFERROR(VLOOKUP(B201,mapping_one_neo!A:B,2,FALSE),"")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339.08673000000016</v>
      </c>
      <c r="V202" s="354"/>
      <c r="W202" s="354"/>
      <c r="X202" s="415">
        <v>-40.66933834666667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IFERROR(VLOOKUP(B204,mapping_one_neo!A:B,2,FALSE),"")</f>
        <v/>
      </c>
    </row>
    <row r="205" spans="1:30" s="352" customFormat="1" x14ac:dyDescent="0.2">
      <c r="A205" s="320">
        <f>IFERROR(VLOOKUP(B205,mapping_one_neo!A:B,2,FALSE),"")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Y6+Y49+Y58+Y83+Y104+Y139+Y170+Y183+U187+U192+U196-Y167</f>
        <v>12.592983333329665</v>
      </c>
      <c r="AD205" s="352" t="s">
        <v>759</v>
      </c>
    </row>
    <row r="206" spans="1:30" x14ac:dyDescent="0.2">
      <c r="A206" s="320" t="str">
        <f>IFERROR(VLOOKUP(B206,mapping_one_neo!A:B,2,FALSE),"")</f>
        <v/>
      </c>
    </row>
    <row r="207" spans="1:30" s="352" customFormat="1" x14ac:dyDescent="0.2">
      <c r="A207" s="320">
        <f>IFERROR(VLOOKUP(B207,mapping_one_neo!A:B,2,FALSE),"")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0.39997558519241921"/>
    <pageSetUpPr fitToPage="1"/>
  </sheetPr>
  <dimension ref="A1:N75"/>
  <sheetViews>
    <sheetView showGridLines="0" topLeftCell="A12" workbookViewId="0">
      <selection activeCell="J28" sqref="J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42856</v>
      </c>
      <c r="E13" s="324">
        <f ca="1">NOW()</f>
        <v>43075.51473761574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SUMIF(Mai!$A:$A,'p&amp;l Mai'!D16,Mai!$Y:$Y)</f>
        <v>1992.3245133333298</v>
      </c>
      <c r="F16" s="289">
        <f>SUMIF(Fev!$A:$A,'p&amp;l Mai'!D16,Fev!$X:$X)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SUMIF(Mai!$A:$A,'p&amp;l Mai'!D19,Mai!$Y:$Y)</f>
        <v>-964.1795199999998</v>
      </c>
      <c r="F19" s="316">
        <f>SUMIF(Fev!$A:$A,'p&amp;l Mai'!D19,Fev!$X:$X)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SUMIF(Mai!$A:$A,'p&amp;l Mai'!D20,Mai!$Y:$Y)</f>
        <v>-412.02200000000005</v>
      </c>
      <c r="F20" s="316">
        <f>SUMIF(Fev!$A:$A,'p&amp;l Mai'!D20,Fev!$X:$X)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SUMIF(Mai!$A:$A,'p&amp;l Mai'!D21,Mai!$Y:$Y)</f>
        <v>-103.13811999999999</v>
      </c>
      <c r="F21" s="316">
        <f>SUMIF(Fev!$A:$A,'p&amp;l Mai'!D21,Fev!$X:$X)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SUMIF(Mai!$A:$A,'p&amp;l Mai'!D22,Mai!$Y:$Y)</f>
        <v>0</v>
      </c>
      <c r="F22" s="316">
        <f>SUMIF(Fev!$A:$A,'p&amp;l Mai'!D22,Fev!$X:$X)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SUMIF(Mai!$A:$A,'p&amp;l Mai'!D23,Mai!$Y:$Y)</f>
        <v>0</v>
      </c>
      <c r="F23" s="316">
        <f>SUMIF(Fev!$A:$A,'p&amp;l Mai'!D23,Fev!$X:$X)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SUMIF(Mai!$A:$A,'p&amp;l Mai'!D24,Mai!$Y:$Y)</f>
        <v>0.74000000000000021</v>
      </c>
      <c r="F24" s="316">
        <f>SUMIF(Fev!$A:$A,'p&amp;l Mai'!D24,Fev!$X:$X)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SUMIF(Mai!$A:$A,'p&amp;l Mai'!D25,Mai!$Y:$Y)</f>
        <v>0</v>
      </c>
      <c r="F25" s="316">
        <f>SUMIF(Fev!$A:$A,'p&amp;l Mai'!D25,Fev!$X:$X)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SUMIF(Mai!$A:$A,'p&amp;l Mai'!D26,Mai!$Y:$Y)</f>
        <v>-17.412279999999999</v>
      </c>
      <c r="F26" s="316">
        <f>SUMIF(Fev!$A:$A,'p&amp;l Mai'!D26,Fev!$X:$X)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SUMIF(Mai!$A:$A,'p&amp;l Mai'!D27,Mai!$Y:$Y)</f>
        <v>-5.0999999999999996</v>
      </c>
      <c r="F27" s="316">
        <f>SUMIF(Fev!$A:$A,'p&amp;l Mai'!D27,Fev!$X:$X)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SUMIF(Mai!$A:$A,'p&amp;l Mai'!D28,Mai!$Y:$Y)</f>
        <v>28.996999999999986</v>
      </c>
      <c r="F28" s="316">
        <f>SUMIF(Fev!$A:$A,'p&amp;l Mai'!D28,Fev!$X:$X)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-1472.1149199999998</v>
      </c>
      <c r="F29" s="317">
        <f>SUMIF(Fev!$A:$A,'p&amp;l Mai'!D29,Fev!$X:$X)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SUMIF(Mai!$A:$A,'p&amp;l Mai'!D31,Mai!$Y:$Y)</f>
        <v>-115.42</v>
      </c>
      <c r="F31" s="316">
        <f>SUMIF(Fev!$A:$A,'p&amp;l Mai'!D31,Fev!$X:$X)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SUMIF(Mai!$A:$A,'p&amp;l Mai'!D32,Mai!$Y:$Y)</f>
        <v>-1.2935400000000001</v>
      </c>
      <c r="F32" s="316">
        <f>SUMIF(Fev!$A:$A,'p&amp;l Mai'!D32,Fev!$X:$X)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-116.71353999999999</v>
      </c>
      <c r="F33" s="317">
        <f>SUMIF(Fev!$A:$A,'p&amp;l Mai'!D33,Fev!$X:$X)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SUMIF(Mai!$A:$A,'p&amp;l Mai'!D34,Mai!$Y:$Y)</f>
        <v>-15.433899999999998</v>
      </c>
      <c r="F34" s="316">
        <f>SUMIF(Fev!$A:$A,'p&amp;l Mai'!D34,Fev!$X:$X)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SUMIF(Mai!$A:$A,'p&amp;l Mai'!D35,Mai!$Y:$Y)</f>
        <v>-76.757859999999994</v>
      </c>
      <c r="F35" s="316">
        <f>SUMIF(Fev!$A:$A,'p&amp;l Mai'!D35,Fev!$X:$X)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SUMIF(Mai!$A:$A,'p&amp;l Mai'!D36,Mai!$Y:$Y)</f>
        <v>-12.279860000000001</v>
      </c>
      <c r="F36" s="316">
        <f>SUMIF(Fev!$A:$A,'p&amp;l Mai'!D36,Fev!$X:$X)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SUMIF(Mai!$A:$A,'p&amp;l Mai'!D37,Mai!$Y:$Y)</f>
        <v>-11.44121</v>
      </c>
      <c r="F37" s="316">
        <f>SUMIF(Fev!$A:$A,'p&amp;l Mai'!D37,Fev!$X:$X)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-115.91282999999999</v>
      </c>
      <c r="F38" s="317">
        <f>SUMIF(Fev!$A:$A,'p&amp;l Mai'!D38,Fev!$X:$X)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SUMIF(Mai!$A:$A,'p&amp;l Mai'!D40,Mai!$Y:$Y)</f>
        <v>-0.84667999999999999</v>
      </c>
      <c r="F40" s="316">
        <f>SUMIF(Fev!$A:$A,'p&amp;l Mai'!D40,Fev!$X:$X)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SUMIF(Mai!$A:$A,'p&amp;l Mai'!D41,Mai!$Y:$Y)</f>
        <v>0.41391999999999995</v>
      </c>
      <c r="F41" s="316">
        <f>SUMIF(Fev!$A:$A,'p&amp;l Mai'!D41,Fev!$X:$X)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SUMIF(Mai!$A:$A,'p&amp;l Mai'!D42,Mai!$Y:$Y)</f>
        <v>-115.08045</v>
      </c>
      <c r="F42" s="316">
        <f>SUMIF(Fev!$A:$A,'p&amp;l Mai'!D42,Fev!$X:$X)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SUMIF(Mai!$A:$A,'p&amp;l Mai'!D43,Mai!$Y:$Y)</f>
        <v>-25.835000000000001</v>
      </c>
      <c r="F43" s="316">
        <f>SUMIF(Fev!$A:$A,'p&amp;l Mai'!D43,Fev!$X:$X)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-141.34820999999999</v>
      </c>
      <c r="F44" s="317">
        <f>SUMIF(Fev!$A:$A,'p&amp;l Mai'!D44,Fev!$X:$X)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SUMIF(Mai!$A:$A,'p&amp;l Mai'!D46,Mai!$Y:$Y)</f>
        <v>-3.4308999999999998</v>
      </c>
      <c r="F46" s="316">
        <f>SUMIF(Fev!$A:$A,'p&amp;l Mai'!D46,Fev!$X:$X)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SUMIF(Mai!$A:$A,'p&amp;l Mai'!D47,Mai!$Y:$Y)</f>
        <v>0.23358999999999996</v>
      </c>
      <c r="F47" s="316">
        <f>SUMIF(Fev!$A:$A,'p&amp;l Mai'!D47,Fev!$X:$X)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SUMIF(Mai!$A:$A,'p&amp;l Mai'!D48,Mai!$Y:$Y)</f>
        <v>-59.226700000000001</v>
      </c>
      <c r="F48" s="316">
        <f>SUMIF(Fev!$A:$A,'p&amp;l Mai'!D48,Fev!$X:$X)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SUMIF(Mai!$A:$A,'p&amp;l Mai'!D49,Mai!$Y:$Y)</f>
        <v>-5.3772000000000002</v>
      </c>
      <c r="F49" s="316">
        <f>SUMIF(Fev!$A:$A,'p&amp;l Mai'!D49,Fev!$X:$X)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SUMIF(Mai!$A:$A,'p&amp;l Mai'!D50,Mai!$Y:$Y)</f>
        <v>-0.41500000000000004</v>
      </c>
      <c r="F50" s="316">
        <f>SUMIF(Fev!$A:$A,'p&amp;l Mai'!D50,Fev!$X:$X)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SUMIF(Mai!$A:$A,'p&amp;l Mai'!D51,Mai!$Y:$Y)</f>
        <v>-26.04</v>
      </c>
      <c r="F51" s="316">
        <f>SUMIF(Fev!$A:$A,'p&amp;l Mai'!D51,Fev!$X:$X)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525</v>
      </c>
      <c r="E52" s="327">
        <f>SUMIF(Mai!$A:$A,'p&amp;l Mai'!D52,Mai!$Y:$Y)</f>
        <v>-2.9237000000000002</v>
      </c>
      <c r="F52" s="316">
        <f>SUMIF(Fev!$A:$A,'p&amp;l Mai'!D52,Fev!$X:$X)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SUMIF(Mai!$A:$A,'p&amp;l Mai'!D53,Mai!$Y:$Y)</f>
        <v>0</v>
      </c>
      <c r="F53" s="316">
        <f>SUMIF(Fev!$A:$A,'p&amp;l Mai'!D53,Fev!$X:$X)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SUMIF(Mai!$A:$A,'p&amp;l Mai'!D54,Mai!$Y:$Y)</f>
        <v>-9.5833333333333499</v>
      </c>
      <c r="F54" s="316">
        <f>SUMIF(Fev!$A:$A,'p&amp;l Mai'!D54,Fev!$X:$X)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-106.76324333333335</v>
      </c>
      <c r="F55" s="317">
        <f>SUMIF(Fev!$A:$A,'p&amp;l Mai'!D55,Fev!$X:$X)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SUMIF(Mai!$A:$A,'p&amp;l Mai'!D57,Mai!$Y:$Y)</f>
        <v>-2.141</v>
      </c>
      <c r="F57" s="316">
        <f>SUMIF(Fev!$A:$A,'p&amp;l Mai'!D57,Fev!$X:$X)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SUMIF(Mai!$A:$A,'p&amp;l Mai'!D58,Mai!$Y:$Y)</f>
        <v>-1.666666666666665</v>
      </c>
      <c r="F58" s="316">
        <f>SUMIF(Fev!$A:$A,'p&amp;l Mai'!D58,Fev!$X:$X)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SUMIF(Mai!$A:$A,'p&amp;l Mai'!D59,Mai!$Y:$Y)</f>
        <v>-3.4249999999999998</v>
      </c>
      <c r="F59" s="316">
        <f>SUMIF(Fev!$A:$A,'p&amp;l Mai'!D59,Fev!$X:$X)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SUMIF(Mai!$A:$A,'p&amp;l Mai'!D60,Mai!$Y:$Y)</f>
        <v>-1.0788899999999999</v>
      </c>
      <c r="F60" s="316">
        <f>SUMIF(Fev!$A:$A,'p&amp;l Mai'!D60,Fev!$X:$X)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SUMIF(Mai!$A:$A,'p&amp;l Mai'!D61,Mai!$Y:$Y)</f>
        <v>0</v>
      </c>
      <c r="F61" s="316">
        <f>SUMIF(Fev!$A:$A,'p&amp;l Mai'!D61,Fev!$X:$X)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-8.3115566666666645</v>
      </c>
      <c r="F62" s="317">
        <f>SUMIF(Fev!$A:$A,'p&amp;l Mai'!D62,Fev!$X:$X)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SUMIF(Mai!$A:$U,'p&amp;l Mai'!D64,Mai!$U:$U)</f>
        <v>-19.585000000000001</v>
      </c>
      <c r="F64" s="316">
        <f>SUMIF(Fev!$A:$A,'p&amp;l Mai'!D64,Fev!$X:$X)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-19.585000000000001</v>
      </c>
      <c r="F65" s="317">
        <f>SUMIF(Fev!$A:$A,'p&amp;l Mai'!D65,Fev!$X:$X)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SUMIF(Mai!$A:$A,'p&amp;l Mai'!D67,Mai!$Y:$Y)</f>
        <v>1.0177700000000001</v>
      </c>
      <c r="F67" s="316">
        <f>SUMIF(Fev!$A:$A,'p&amp;l Mai'!D67,Fev!$X:$X)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1.0177700000000001</v>
      </c>
      <c r="F68" s="317">
        <f>SUMIF(Fev!$A:$A,'p&amp;l Mai'!D68,Fev!$X:$X)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-1979.7315299999998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12.592983333330039</v>
      </c>
    </row>
    <row r="74" spans="1:8" x14ac:dyDescent="0.25">
      <c r="D74" t="s">
        <v>762</v>
      </c>
      <c r="E74" s="331">
        <f>Mai!AB205</f>
        <v>12.592983333329665</v>
      </c>
    </row>
    <row r="75" spans="1:8" x14ac:dyDescent="0.25">
      <c r="D75" s="315" t="s">
        <v>763</v>
      </c>
      <c r="E75" s="319">
        <f ca="1">E73-E74</f>
        <v>3.7481129311345285E-13</v>
      </c>
    </row>
  </sheetData>
  <dataValidations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D219"/>
  <sheetViews>
    <sheetView showGridLines="0" topLeftCell="B1" workbookViewId="0">
      <selection activeCell="J28" sqref="J28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813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2312542.01333333/1000</f>
        <v>2312.54201333333</v>
      </c>
      <c r="V6" s="440"/>
      <c r="W6" s="440"/>
      <c r="X6" s="440"/>
      <c r="Y6" s="440">
        <v>2312.54201333333</v>
      </c>
      <c r="Z6" s="440"/>
      <c r="AA6" s="440"/>
      <c r="AB6" s="440">
        <v>2312.54201333333</v>
      </c>
      <c r="AC6" s="355"/>
      <c r="AD6" s="334"/>
    </row>
    <row r="7" spans="1:30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-1216.5316499999994</v>
      </c>
      <c r="V9" s="362">
        <v>3.3445600000000004</v>
      </c>
      <c r="W9" s="362"/>
      <c r="X9" s="351">
        <v>22</v>
      </c>
      <c r="Y9" s="363">
        <v>-1191.1870899999994</v>
      </c>
      <c r="Z9" s="363"/>
      <c r="AA9" s="363"/>
      <c r="AB9" s="363">
        <f>SUM(Y9:AA9)</f>
        <v>-1191.1870899999994</v>
      </c>
      <c r="AC9" s="355"/>
      <c r="AD9" s="485" t="s">
        <v>782</v>
      </c>
    </row>
    <row r="10" spans="1:30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-521.85933</v>
      </c>
      <c r="V10" s="362">
        <v>1.5790899999999999</v>
      </c>
      <c r="W10" s="362"/>
      <c r="X10" s="351">
        <v>10.5</v>
      </c>
      <c r="Y10" s="363">
        <v>-509.78024000000005</v>
      </c>
      <c r="Z10" s="363"/>
      <c r="AA10" s="363"/>
      <c r="AB10" s="363">
        <f t="shared" ref="AB10:AB47" si="0">SUM(Y10:AA10)</f>
        <v>-509.78024000000005</v>
      </c>
      <c r="AC10" s="355"/>
      <c r="AD10" s="485"/>
    </row>
    <row r="11" spans="1:30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18.75</v>
      </c>
      <c r="W11" s="362"/>
      <c r="X11" s="351"/>
      <c r="Y11" s="363">
        <v>18.75</v>
      </c>
      <c r="Z11" s="363"/>
      <c r="AA11" s="363"/>
      <c r="AB11" s="363">
        <f t="shared" si="0"/>
        <v>18.75</v>
      </c>
      <c r="AC11" s="355"/>
      <c r="AD11" s="366" t="s">
        <v>783</v>
      </c>
    </row>
    <row r="12" spans="1:30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8.4375</v>
      </c>
      <c r="W12" s="362"/>
      <c r="X12" s="351"/>
      <c r="Y12" s="363">
        <v>8.4375</v>
      </c>
      <c r="Z12" s="363"/>
      <c r="AA12" s="363"/>
      <c r="AB12" s="363">
        <f t="shared" si="0"/>
        <v>8.4375</v>
      </c>
      <c r="AC12" s="355"/>
      <c r="AD12" s="366" t="s">
        <v>783</v>
      </c>
    </row>
    <row r="13" spans="1:30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 t="shared" si="0"/>
        <v>0</v>
      </c>
      <c r="AC13" s="355"/>
      <c r="AD13" s="334"/>
    </row>
    <row r="14" spans="1:30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 t="shared" si="0"/>
        <v>0</v>
      </c>
      <c r="AC14" s="355"/>
      <c r="AD14" s="334"/>
    </row>
    <row r="15" spans="1:30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f t="shared" si="0"/>
        <v>6.2080000000000002</v>
      </c>
      <c r="AC15" s="355"/>
      <c r="AD15" s="334"/>
    </row>
    <row r="16" spans="1:30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f t="shared" si="0"/>
        <v>2.9798399999999998</v>
      </c>
      <c r="AC16" s="355"/>
      <c r="AD16" s="334"/>
    </row>
    <row r="17" spans="1:30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f t="shared" si="0"/>
        <v>1.762</v>
      </c>
      <c r="AC17" s="355"/>
      <c r="AD17" s="334"/>
    </row>
    <row r="18" spans="1:30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f t="shared" si="0"/>
        <v>0.79290000000000005</v>
      </c>
      <c r="AC18" s="355"/>
      <c r="AD18" s="334"/>
    </row>
    <row r="19" spans="1:30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-1.6170000000000009</v>
      </c>
      <c r="V19" s="362"/>
      <c r="W19" s="362"/>
      <c r="X19" s="362"/>
      <c r="Y19" s="363">
        <v>-1.6170000000000009</v>
      </c>
      <c r="Z19" s="363"/>
      <c r="AA19" s="363"/>
      <c r="AB19" s="363">
        <f t="shared" si="0"/>
        <v>-1.6170000000000009</v>
      </c>
      <c r="AC19" s="355"/>
      <c r="AD19" s="334"/>
    </row>
    <row r="20" spans="1:30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>
        <v>-0.48299999999999998</v>
      </c>
      <c r="V20" s="362"/>
      <c r="W20" s="362"/>
      <c r="X20" s="362"/>
      <c r="Y20" s="363">
        <v>-0.48299999999999998</v>
      </c>
      <c r="Z20" s="363"/>
      <c r="AA20" s="363"/>
      <c r="AB20" s="363">
        <f t="shared" si="0"/>
        <v>-0.48299999999999998</v>
      </c>
      <c r="AC20" s="355"/>
      <c r="AD20" s="334" t="s">
        <v>134</v>
      </c>
    </row>
    <row r="21" spans="1:30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 t="shared" si="0"/>
        <v>0</v>
      </c>
      <c r="AC21" s="355"/>
      <c r="AD21" s="334"/>
    </row>
    <row r="22" spans="1:30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 t="shared" si="0"/>
        <v>-8.75</v>
      </c>
      <c r="AC22" s="355"/>
      <c r="AD22" s="334"/>
    </row>
    <row r="23" spans="1:30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 t="shared" si="0"/>
        <v>0</v>
      </c>
      <c r="AC23" s="355"/>
      <c r="AD23" s="334"/>
    </row>
    <row r="24" spans="1:30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-37.137</v>
      </c>
      <c r="V24" s="362"/>
      <c r="W24" s="362"/>
      <c r="X24" s="362"/>
      <c r="Y24" s="363">
        <f>SUM(U24:X24)</f>
        <v>-37.137</v>
      </c>
      <c r="Z24" s="363"/>
      <c r="AA24" s="363"/>
      <c r="AB24" s="363">
        <f t="shared" si="0"/>
        <v>-37.137</v>
      </c>
      <c r="AC24" s="355"/>
      <c r="AD24" s="369"/>
    </row>
    <row r="25" spans="1:30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-7.801000000000001</v>
      </c>
      <c r="V25" s="362"/>
      <c r="W25" s="362"/>
      <c r="X25" s="362"/>
      <c r="Y25" s="363">
        <f t="shared" ref="Y25:Y31" si="1">SUM(U25:X25)</f>
        <v>-7.801000000000001</v>
      </c>
      <c r="Z25" s="363"/>
      <c r="AA25" s="363"/>
      <c r="AB25" s="363">
        <f t="shared" si="0"/>
        <v>-7.801000000000001</v>
      </c>
      <c r="AC25" s="355"/>
      <c r="AD25" s="334"/>
    </row>
    <row r="26" spans="1:30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-20.164999999999999</v>
      </c>
      <c r="V26" s="362"/>
      <c r="W26" s="362"/>
      <c r="X26" s="362">
        <v>0</v>
      </c>
      <c r="Y26" s="363">
        <f t="shared" si="1"/>
        <v>-20.164999999999999</v>
      </c>
      <c r="Z26" s="363"/>
      <c r="AA26" s="363"/>
      <c r="AB26" s="363">
        <f t="shared" si="0"/>
        <v>-20.164999999999999</v>
      </c>
      <c r="AC26" s="355"/>
      <c r="AD26" s="334"/>
    </row>
    <row r="27" spans="1:30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-3.9039999999999999</v>
      </c>
      <c r="V27" s="362"/>
      <c r="W27" s="362"/>
      <c r="X27" s="362"/>
      <c r="Y27" s="363">
        <f t="shared" si="1"/>
        <v>-3.9039999999999999</v>
      </c>
      <c r="Z27" s="363"/>
      <c r="AA27" s="363"/>
      <c r="AB27" s="363">
        <f t="shared" si="0"/>
        <v>-3.9039999999999999</v>
      </c>
      <c r="AC27" s="355"/>
      <c r="AD27" s="334"/>
    </row>
    <row r="28" spans="1:30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/>
      <c r="Y28" s="363">
        <f t="shared" si="1"/>
        <v>0</v>
      </c>
      <c r="Z28" s="363"/>
      <c r="AA28" s="363"/>
      <c r="AB28" s="363">
        <f t="shared" si="0"/>
        <v>0</v>
      </c>
      <c r="AC28" s="355"/>
      <c r="AD28" s="334"/>
    </row>
    <row r="29" spans="1:30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0.74000000000000021</v>
      </c>
      <c r="V29" s="362"/>
      <c r="W29" s="362"/>
      <c r="X29" s="362"/>
      <c r="Y29" s="363">
        <f t="shared" si="1"/>
        <v>0.74000000000000021</v>
      </c>
      <c r="Z29" s="363"/>
      <c r="AA29" s="363"/>
      <c r="AB29" s="363">
        <f t="shared" si="0"/>
        <v>0.74000000000000021</v>
      </c>
      <c r="AC29" s="355"/>
      <c r="AD29" s="334"/>
    </row>
    <row r="30" spans="1:30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-26.140370000000001</v>
      </c>
      <c r="V30" s="362"/>
      <c r="W30" s="362"/>
      <c r="X30" s="363"/>
      <c r="Y30" s="363">
        <f t="shared" si="1"/>
        <v>-26.140370000000001</v>
      </c>
      <c r="Z30" s="363"/>
      <c r="AA30" s="363"/>
      <c r="AB30" s="363">
        <f t="shared" si="0"/>
        <v>-26.140370000000001</v>
      </c>
      <c r="AC30" s="355"/>
      <c r="AD30" s="334"/>
    </row>
    <row r="31" spans="1:30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-48.491</v>
      </c>
      <c r="V31" s="362"/>
      <c r="W31" s="362"/>
      <c r="X31" s="362"/>
      <c r="Y31" s="363">
        <f t="shared" si="1"/>
        <v>-48.491</v>
      </c>
      <c r="Z31" s="363"/>
      <c r="AA31" s="363"/>
      <c r="AB31" s="363">
        <f t="shared" si="0"/>
        <v>-48.491</v>
      </c>
      <c r="AC31" s="355"/>
      <c r="AD31" s="334"/>
    </row>
    <row r="32" spans="1:30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 t="shared" si="0"/>
        <v>0</v>
      </c>
      <c r="AC32" s="355"/>
      <c r="AD32" s="334"/>
    </row>
    <row r="33" spans="1:30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 t="shared" si="0"/>
        <v>0</v>
      </c>
      <c r="AC33" s="355"/>
      <c r="AD33" s="334"/>
    </row>
    <row r="34" spans="1:30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/>
      <c r="V34" s="362"/>
      <c r="W34" s="362"/>
      <c r="X34" s="362">
        <v>-8.9700000000000006</v>
      </c>
      <c r="Y34" s="363">
        <f t="shared" ref="Y34" si="2">SUM(U34:X34)</f>
        <v>-8.9700000000000006</v>
      </c>
      <c r="Z34" s="363"/>
      <c r="AA34" s="363"/>
      <c r="AB34" s="363">
        <f t="shared" si="0"/>
        <v>-8.9700000000000006</v>
      </c>
      <c r="AC34" s="355"/>
      <c r="AD34" s="334"/>
    </row>
    <row r="35" spans="1:30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 t="shared" si="0"/>
        <v>0</v>
      </c>
      <c r="AC35" s="355"/>
      <c r="AD35" s="334"/>
    </row>
    <row r="36" spans="1:30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 t="shared" si="0"/>
        <v>0</v>
      </c>
      <c r="AC36" s="355"/>
      <c r="AD36" s="334"/>
    </row>
    <row r="37" spans="1:30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-20.978819999999999</v>
      </c>
      <c r="V37" s="351"/>
      <c r="W37" s="351"/>
      <c r="X37" s="351">
        <v>0</v>
      </c>
      <c r="Y37" s="363">
        <v>-20.978819999999999</v>
      </c>
      <c r="Z37" s="363"/>
      <c r="AA37" s="363"/>
      <c r="AB37" s="363">
        <f t="shared" si="0"/>
        <v>-20.978819999999999</v>
      </c>
      <c r="AC37" s="355"/>
      <c r="AD37" s="334"/>
    </row>
    <row r="38" spans="1:30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-15.756869999999999</v>
      </c>
      <c r="V38" s="351"/>
      <c r="W38" s="351"/>
      <c r="X38" s="351">
        <v>0</v>
      </c>
      <c r="Y38" s="363"/>
      <c r="Z38" s="363"/>
      <c r="AA38" s="363"/>
      <c r="AB38" s="363">
        <f t="shared" si="0"/>
        <v>0</v>
      </c>
      <c r="AC38" s="350"/>
    </row>
    <row r="39" spans="1:30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-2.1775600000000002</v>
      </c>
      <c r="V39" s="351"/>
      <c r="W39" s="351"/>
      <c r="X39" s="351">
        <v>0</v>
      </c>
      <c r="Y39" s="363"/>
      <c r="Z39" s="363"/>
      <c r="AA39" s="363"/>
      <c r="AB39" s="363">
        <f t="shared" si="0"/>
        <v>0</v>
      </c>
      <c r="AC39" s="350"/>
    </row>
    <row r="40" spans="1:30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-1.20828</v>
      </c>
      <c r="V40" s="362"/>
      <c r="W40" s="351"/>
      <c r="X40" s="351">
        <v>0</v>
      </c>
      <c r="Y40" s="363"/>
      <c r="Z40" s="363"/>
      <c r="AA40" s="363"/>
      <c r="AB40" s="363">
        <f t="shared" si="0"/>
        <v>0</v>
      </c>
      <c r="AC40" s="350"/>
      <c r="AD40" s="334" t="s">
        <v>134</v>
      </c>
    </row>
    <row r="41" spans="1:30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-1.8361099999999999</v>
      </c>
      <c r="V41" s="362"/>
      <c r="W41" s="362"/>
      <c r="X41" s="351"/>
      <c r="Y41" s="363"/>
      <c r="Z41" s="363"/>
      <c r="AA41" s="363"/>
      <c r="AB41" s="363">
        <f t="shared" si="0"/>
        <v>0</v>
      </c>
      <c r="AC41" s="350"/>
    </row>
    <row r="42" spans="1:30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-6.12</v>
      </c>
      <c r="V42" s="362"/>
      <c r="W42" s="362"/>
      <c r="X42" s="351">
        <v>0</v>
      </c>
      <c r="Y42" s="363">
        <v>-6.12</v>
      </c>
      <c r="Z42" s="363"/>
      <c r="AA42" s="363"/>
      <c r="AB42" s="363">
        <f t="shared" si="0"/>
        <v>-6.12</v>
      </c>
      <c r="AC42" s="355"/>
      <c r="AD42" s="334"/>
    </row>
    <row r="43" spans="1:30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f t="shared" si="0"/>
        <v>0</v>
      </c>
      <c r="AC43" s="355"/>
      <c r="AD43" s="334"/>
    </row>
    <row r="44" spans="1:30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-3.3689999999999998</v>
      </c>
      <c r="V44" s="351"/>
      <c r="W44" s="351"/>
      <c r="X44" s="351"/>
      <c r="Y44" s="363">
        <v>-3.369000000000014</v>
      </c>
      <c r="Z44" s="363"/>
      <c r="AA44" s="363"/>
      <c r="AB44" s="363">
        <f t="shared" si="0"/>
        <v>-3.369000000000014</v>
      </c>
      <c r="AC44" s="350"/>
    </row>
    <row r="45" spans="1:30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>
        <v>-1.0069999999999999</v>
      </c>
      <c r="V45" s="351"/>
      <c r="W45" s="351"/>
      <c r="X45" s="351"/>
      <c r="Y45" s="363">
        <v>-1.0069999999999999</v>
      </c>
      <c r="Z45" s="363"/>
      <c r="AA45" s="363"/>
      <c r="AB45" s="363">
        <f t="shared" si="0"/>
        <v>-1.0069999999999999</v>
      </c>
      <c r="AC45" s="350"/>
      <c r="AD45" s="334" t="s">
        <v>134</v>
      </c>
    </row>
    <row r="46" spans="1:30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 t="shared" si="0"/>
        <v>0</v>
      </c>
      <c r="AC46" s="377"/>
      <c r="AD46" s="334"/>
    </row>
    <row r="47" spans="1:30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>
        <v>185.41414192025974</v>
      </c>
      <c r="AA47" s="363">
        <v>4.4715447154471601E-2</v>
      </c>
      <c r="AB47" s="363">
        <f t="shared" si="0"/>
        <v>185.4588573674142</v>
      </c>
      <c r="AC47" s="377"/>
      <c r="AD47" s="334"/>
    </row>
    <row r="48" spans="1:30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SUM(U9:U37,U42,U44)</f>
        <v>-1921.8142699999992</v>
      </c>
      <c r="V49" s="383">
        <f>SUM(V8:V20)</f>
        <v>43.060990000000004</v>
      </c>
      <c r="W49" s="383">
        <v>0</v>
      </c>
      <c r="X49" s="383">
        <f>SUM(X8:X47)</f>
        <v>23.53</v>
      </c>
      <c r="Y49" s="383">
        <f>SUM(Y8:Y47)</f>
        <v>-1856.2302799999993</v>
      </c>
      <c r="Z49" s="383">
        <v>185.41414192025974</v>
      </c>
      <c r="AA49" s="383">
        <v>2.2357723577235773E-2</v>
      </c>
      <c r="AB49" s="383">
        <f>SUM(AB9:AB47)</f>
        <v>-1670.7714226325852</v>
      </c>
      <c r="AC49" s="377"/>
      <c r="AD49" s="382" t="s">
        <v>134</v>
      </c>
    </row>
    <row r="50" spans="1:30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-100.00200000000001</v>
      </c>
      <c r="V52" s="362"/>
      <c r="W52" s="362"/>
      <c r="X52" s="362"/>
      <c r="Y52" s="363">
        <v>-100.00200000000001</v>
      </c>
      <c r="Z52" s="363"/>
      <c r="AA52" s="363"/>
      <c r="AB52" s="363">
        <f>SUM(Y52:AA52)</f>
        <v>-100.00200000000001</v>
      </c>
      <c r="AC52" s="355"/>
      <c r="AD52" s="334"/>
    </row>
    <row r="53" spans="1:30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-24</v>
      </c>
      <c r="V53" s="362"/>
      <c r="W53" s="362"/>
      <c r="X53" s="362"/>
      <c r="Y53" s="363">
        <v>-24</v>
      </c>
      <c r="Z53" s="363"/>
      <c r="AA53" s="363"/>
      <c r="AB53" s="363">
        <f t="shared" ref="AB53:AB56" si="3">SUM(Y53:AA53)</f>
        <v>-24</v>
      </c>
      <c r="AC53" s="355"/>
      <c r="AD53" s="334"/>
    </row>
    <row r="54" spans="1:30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-14.501999999999999</v>
      </c>
      <c r="V54" s="362"/>
      <c r="W54" s="362"/>
      <c r="X54" s="362"/>
      <c r="Y54" s="363">
        <v>-14.501999999999999</v>
      </c>
      <c r="Z54" s="363"/>
      <c r="AA54" s="363"/>
      <c r="AB54" s="363">
        <f t="shared" si="3"/>
        <v>-14.501999999999999</v>
      </c>
      <c r="AC54" s="355"/>
      <c r="AD54" s="334"/>
    </row>
    <row r="55" spans="1:30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-1.4396</v>
      </c>
      <c r="V55" s="362"/>
      <c r="W55" s="362"/>
      <c r="X55" s="362"/>
      <c r="Y55" s="363">
        <v>-1.4396</v>
      </c>
      <c r="Z55" s="363"/>
      <c r="AA55" s="363"/>
      <c r="AB55" s="363">
        <f t="shared" si="3"/>
        <v>-1.4396</v>
      </c>
      <c r="AC55" s="355"/>
      <c r="AD55" s="334" t="s">
        <v>134</v>
      </c>
    </row>
    <row r="56" spans="1:30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>
        <v>14.426625895325438</v>
      </c>
      <c r="AA56" s="363">
        <v>1.544715447154472</v>
      </c>
      <c r="AB56" s="363">
        <f t="shared" si="3"/>
        <v>15.97134134247991</v>
      </c>
      <c r="AC56" s="355"/>
      <c r="AD56" s="334"/>
    </row>
    <row r="57" spans="1:30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>
        <v>0</v>
      </c>
      <c r="AC57" s="355"/>
      <c r="AD57" s="334"/>
    </row>
    <row r="58" spans="1:30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-139.94360000000003</v>
      </c>
      <c r="V58" s="354">
        <v>0</v>
      </c>
      <c r="W58" s="354">
        <v>0</v>
      </c>
      <c r="X58" s="354"/>
      <c r="Y58" s="357">
        <f>SUM(Y52:Y57)</f>
        <v>-139.94360000000003</v>
      </c>
      <c r="Z58" s="357">
        <f>SUM(Z52:Z57)</f>
        <v>14.426625895325438</v>
      </c>
      <c r="AA58" s="357">
        <f>SUM(AA52:AA57)</f>
        <v>1.544715447154472</v>
      </c>
      <c r="AB58" s="357">
        <f>SUM(AB52:AB57)</f>
        <v>-123.97225865752011</v>
      </c>
      <c r="AC58" s="355"/>
      <c r="AD58" s="334"/>
    </row>
    <row r="59" spans="1:30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-5.6895099999999994</v>
      </c>
      <c r="V62" s="351">
        <v>-12.726199999999999</v>
      </c>
      <c r="W62" s="351"/>
      <c r="X62" s="351"/>
      <c r="Y62" s="363">
        <v>-18.415709999999997</v>
      </c>
      <c r="Z62" s="363"/>
      <c r="AA62" s="363"/>
      <c r="AB62" s="363">
        <f>SUM(Y62:AA62)</f>
        <v>-18.415709999999997</v>
      </c>
      <c r="AC62" s="355"/>
      <c r="AD62" s="334"/>
    </row>
    <row r="63" spans="1:30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-72.922300000000007</v>
      </c>
      <c r="W63" s="351"/>
      <c r="X63" s="351"/>
      <c r="Y63" s="363">
        <v>-72.922300000000007</v>
      </c>
      <c r="Z63" s="363"/>
      <c r="AA63" s="363"/>
      <c r="AB63" s="363">
        <f t="shared" ref="AB63:AB70" si="4">SUM(Y63:AA63)</f>
        <v>-72.922300000000007</v>
      </c>
      <c r="AC63" s="355"/>
      <c r="AD63" s="334"/>
    </row>
    <row r="64" spans="1:30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-5.8019999999999996</v>
      </c>
      <c r="V64" s="351"/>
      <c r="W64" s="351"/>
      <c r="X64" s="351"/>
      <c r="Y64" s="363">
        <v>-5.8019999999999996</v>
      </c>
      <c r="Z64" s="363"/>
      <c r="AA64" s="363"/>
      <c r="AB64" s="363">
        <f t="shared" si="4"/>
        <v>-5.8019999999999996</v>
      </c>
      <c r="AC64" s="355"/>
      <c r="AD64" s="334"/>
    </row>
    <row r="65" spans="1:30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-1.1520000000000001</v>
      </c>
      <c r="V65" s="351"/>
      <c r="W65" s="351"/>
      <c r="X65" s="351"/>
      <c r="Y65" s="363">
        <v>-1.1520000000000001</v>
      </c>
      <c r="Z65" s="363"/>
      <c r="AA65" s="363"/>
      <c r="AB65" s="363">
        <f t="shared" si="4"/>
        <v>-1.1520000000000001</v>
      </c>
      <c r="AC65" s="355"/>
      <c r="AD65" s="334"/>
    </row>
    <row r="66" spans="1:30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>
        <f t="shared" si="4"/>
        <v>0</v>
      </c>
      <c r="AC66" s="355"/>
      <c r="AD66" s="334"/>
    </row>
    <row r="67" spans="1:30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-2.3849999999999998</v>
      </c>
      <c r="V67" s="351"/>
      <c r="W67" s="351"/>
      <c r="X67" s="351"/>
      <c r="Y67" s="363">
        <v>-2.3849999999999998</v>
      </c>
      <c r="Z67" s="363"/>
      <c r="AA67" s="363"/>
      <c r="AB67" s="363">
        <f t="shared" si="4"/>
        <v>-2.3849999999999998</v>
      </c>
      <c r="AC67" s="355"/>
      <c r="AD67" s="334"/>
    </row>
    <row r="68" spans="1:30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-3.4517600000000002</v>
      </c>
      <c r="V68" s="351"/>
      <c r="W68" s="351"/>
      <c r="X68" s="351"/>
      <c r="Y68" s="363">
        <v>-3.4517600000000002</v>
      </c>
      <c r="Z68" s="363"/>
      <c r="AA68" s="363"/>
      <c r="AB68" s="363">
        <f t="shared" si="4"/>
        <v>-3.4517600000000002</v>
      </c>
      <c r="AC68" s="355"/>
      <c r="AD68" s="334"/>
    </row>
    <row r="69" spans="1:30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-1.04298</v>
      </c>
      <c r="V69" s="351"/>
      <c r="W69" s="351"/>
      <c r="X69" s="351"/>
      <c r="Y69" s="363">
        <v>-1.04298</v>
      </c>
      <c r="Z69" s="363"/>
      <c r="AA69" s="363"/>
      <c r="AB69" s="363">
        <f t="shared" si="4"/>
        <v>-1.04298</v>
      </c>
      <c r="AC69" s="355"/>
      <c r="AD69" s="334"/>
    </row>
    <row r="70" spans="1:30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-6.75</v>
      </c>
      <c r="V70" s="351"/>
      <c r="W70" s="351"/>
      <c r="X70" s="351"/>
      <c r="Y70" s="363">
        <v>-6.75</v>
      </c>
      <c r="Z70" s="363"/>
      <c r="AA70" s="363"/>
      <c r="AB70" s="363">
        <f t="shared" si="4"/>
        <v>-6.75</v>
      </c>
      <c r="AC70" s="355"/>
      <c r="AD70" s="334"/>
    </row>
    <row r="71" spans="1:30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-26.273249999999997</v>
      </c>
      <c r="V72" s="393">
        <f t="shared" ref="V72:AB72" si="5">SUM(V62:V71)</f>
        <v>-85.648500000000013</v>
      </c>
      <c r="W72" s="393">
        <f t="shared" si="5"/>
        <v>0</v>
      </c>
      <c r="X72" s="393">
        <f t="shared" si="5"/>
        <v>0</v>
      </c>
      <c r="Y72" s="395">
        <f t="shared" si="5"/>
        <v>-111.92175</v>
      </c>
      <c r="Z72" s="395">
        <f t="shared" si="5"/>
        <v>0</v>
      </c>
      <c r="AA72" s="395">
        <f t="shared" si="5"/>
        <v>0</v>
      </c>
      <c r="AB72" s="395">
        <f t="shared" si="5"/>
        <v>-111.92175</v>
      </c>
      <c r="AC72" s="394"/>
      <c r="AD72" s="334"/>
    </row>
    <row r="73" spans="1:30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-10.57321</v>
      </c>
      <c r="V75" s="351"/>
      <c r="W75" s="351"/>
      <c r="X75" s="351"/>
      <c r="Y75" s="363">
        <v>-10.57321</v>
      </c>
      <c r="Z75" s="363"/>
      <c r="AA75" s="363"/>
      <c r="AB75" s="363">
        <f>SUM(Y75:AA75)</f>
        <v>-10.57321</v>
      </c>
      <c r="AC75" s="355" t="s">
        <v>134</v>
      </c>
      <c r="AD75" s="334"/>
    </row>
    <row r="76" spans="1:30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-5.9239100000000002</v>
      </c>
      <c r="V76" s="351"/>
      <c r="W76" s="351"/>
      <c r="X76" s="351"/>
      <c r="Y76" s="363">
        <v>-5.9239100000000002</v>
      </c>
      <c r="Z76" s="363"/>
      <c r="AA76" s="363"/>
      <c r="AB76" s="363">
        <f t="shared" ref="AB76:AB78" si="6">SUM(Y76:AA76)</f>
        <v>-5.9239100000000002</v>
      </c>
      <c r="AC76" s="355"/>
      <c r="AD76" s="334"/>
    </row>
    <row r="77" spans="1:30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-4.6884700000000006</v>
      </c>
      <c r="V77" s="351"/>
      <c r="W77" s="351"/>
      <c r="X77" s="351"/>
      <c r="Y77" s="363">
        <v>-4.6884700000000006</v>
      </c>
      <c r="Z77" s="363"/>
      <c r="AA77" s="363"/>
      <c r="AB77" s="363">
        <f t="shared" si="6"/>
        <v>-4.6884700000000006</v>
      </c>
      <c r="AC77" s="355"/>
      <c r="AD77" s="334"/>
    </row>
    <row r="78" spans="1:30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-3.3668499999999999</v>
      </c>
      <c r="V78" s="351"/>
      <c r="W78" s="351"/>
      <c r="X78" s="351">
        <v>0</v>
      </c>
      <c r="Y78" s="363">
        <v>-3.3668499999999999</v>
      </c>
      <c r="Z78" s="363"/>
      <c r="AA78" s="363"/>
      <c r="AB78" s="363">
        <f t="shared" si="6"/>
        <v>-3.3668499999999999</v>
      </c>
      <c r="AC78" s="355"/>
      <c r="AD78" s="334"/>
    </row>
    <row r="79" spans="1:30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-24.552439999999997</v>
      </c>
      <c r="V79" s="393">
        <f t="shared" ref="V79:AB79" si="7">SUM(V75:V78)</f>
        <v>0</v>
      </c>
      <c r="W79" s="393">
        <f t="shared" si="7"/>
        <v>0</v>
      </c>
      <c r="X79" s="393">
        <f t="shared" si="7"/>
        <v>0</v>
      </c>
      <c r="Y79" s="393">
        <f t="shared" si="7"/>
        <v>-24.552439999999997</v>
      </c>
      <c r="Z79" s="393">
        <f t="shared" si="7"/>
        <v>0</v>
      </c>
      <c r="AA79" s="393">
        <f t="shared" si="7"/>
        <v>0</v>
      </c>
      <c r="AB79" s="393">
        <f t="shared" si="7"/>
        <v>-24.552439999999997</v>
      </c>
      <c r="AC79" s="394"/>
      <c r="AD79" s="334"/>
    </row>
    <row r="80" spans="1:30" s="387" customFormat="1" x14ac:dyDescent="0.2">
      <c r="A80" s="320"/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387" customFormat="1" x14ac:dyDescent="0.2">
      <c r="A81" s="320"/>
      <c r="B81" s="387" t="s">
        <v>747</v>
      </c>
      <c r="C81" s="392"/>
      <c r="E81" s="39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349"/>
      <c r="T81" s="346"/>
      <c r="U81" s="397"/>
      <c r="V81" s="397"/>
      <c r="W81" s="397"/>
      <c r="X81" s="397"/>
      <c r="Y81" s="397"/>
      <c r="Z81" s="397">
        <v>13.009227975110701</v>
      </c>
      <c r="AA81" s="397"/>
      <c r="AB81" s="397">
        <f>Z81</f>
        <v>13.009227975110701</v>
      </c>
      <c r="AC81" s="394"/>
      <c r="AD81" s="334"/>
    </row>
    <row r="82" spans="1:30" x14ac:dyDescent="0.2">
      <c r="A82" s="320" t="str">
        <f>IFERROR(VLOOKUP(B82,mapping_one_neo!A:B,2,FALSE),"")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-50.825689999999994</v>
      </c>
      <c r="V83" s="354">
        <f t="shared" ref="V83:AA83" si="8">V72+V79</f>
        <v>-85.648500000000013</v>
      </c>
      <c r="W83" s="354">
        <f t="shared" si="8"/>
        <v>0</v>
      </c>
      <c r="X83" s="354">
        <f t="shared" si="8"/>
        <v>0</v>
      </c>
      <c r="Y83" s="354">
        <f t="shared" si="8"/>
        <v>-136.47418999999999</v>
      </c>
      <c r="Z83" s="354">
        <f>Z81</f>
        <v>13.009227975110701</v>
      </c>
      <c r="AA83" s="354">
        <f t="shared" si="8"/>
        <v>0</v>
      </c>
      <c r="AB83" s="354">
        <f>AB72+AB79+AB81</f>
        <v>-123.46496202488929</v>
      </c>
      <c r="AC83" s="350"/>
    </row>
    <row r="84" spans="1:30" x14ac:dyDescent="0.2">
      <c r="A84" s="320" t="str">
        <f>IFERROR(VLOOKUP(B84,mapping_one_neo!A:B,2,FALSE),"")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/>
      <c r="V87" s="351"/>
      <c r="W87" s="351"/>
      <c r="X87" s="351"/>
      <c r="Y87" s="363"/>
      <c r="Z87" s="363"/>
      <c r="AA87" s="363"/>
      <c r="AB87" s="363"/>
      <c r="AC87" s="355"/>
      <c r="AD87" s="334"/>
    </row>
    <row r="88" spans="1:30" s="352" customFormat="1" x14ac:dyDescent="0.2">
      <c r="A88" s="320" t="str">
        <f>IFERROR(VLOOKUP(B88,mapping_one_neo!A:B,2,FALSE),"")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/>
      <c r="V88" s="351"/>
      <c r="W88" s="351"/>
      <c r="X88" s="351"/>
      <c r="Y88" s="363"/>
      <c r="Z88" s="363"/>
      <c r="AA88" s="363"/>
      <c r="AB88" s="363"/>
      <c r="AC88" s="355"/>
      <c r="AD88" s="334"/>
    </row>
    <row r="89" spans="1:30" s="352" customFormat="1" x14ac:dyDescent="0.2">
      <c r="A89" s="320" t="str">
        <f>IFERROR(VLOOKUP(B89,mapping_one_neo!A:B,2,FALSE),"")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-1.0334300000000001</v>
      </c>
      <c r="V89" s="351"/>
      <c r="W89" s="351"/>
      <c r="X89" s="351"/>
      <c r="Y89" s="363">
        <v>-1.0334300000000001</v>
      </c>
      <c r="Z89" s="363"/>
      <c r="AA89" s="363"/>
      <c r="AB89" s="363">
        <f>SUM(Y89:AA89)</f>
        <v>-1.0334300000000001</v>
      </c>
      <c r="AC89" s="355"/>
      <c r="AD89" s="334"/>
    </row>
    <row r="90" spans="1:30" s="387" customFormat="1" x14ac:dyDescent="0.2">
      <c r="A90" s="320">
        <f>IFERROR(VLOOKUP(B90,mapping_one_neo!A:B,2,FALSE),"")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SUM(U88:U89)</f>
        <v>-1.0334300000000001</v>
      </c>
      <c r="V90" s="393">
        <f t="shared" ref="V90:AB90" si="9">SUM(V88:V89)</f>
        <v>0</v>
      </c>
      <c r="W90" s="393">
        <f t="shared" si="9"/>
        <v>0</v>
      </c>
      <c r="X90" s="393">
        <f t="shared" si="9"/>
        <v>0</v>
      </c>
      <c r="Y90" s="395">
        <f t="shared" si="9"/>
        <v>-1.0334300000000001</v>
      </c>
      <c r="Z90" s="395">
        <f t="shared" si="9"/>
        <v>0</v>
      </c>
      <c r="AA90" s="395">
        <f t="shared" si="9"/>
        <v>0</v>
      </c>
      <c r="AB90" s="395">
        <f t="shared" si="9"/>
        <v>-1.0334300000000001</v>
      </c>
      <c r="AC90" s="394"/>
      <c r="AD90" s="334"/>
    </row>
    <row r="91" spans="1:30" x14ac:dyDescent="0.2">
      <c r="A91" s="320" t="str">
        <f>IFERROR(VLOOKUP(B91,mapping_one_neo!A:B,2,FALSE),"")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v>-1.7381199999999999</v>
      </c>
      <c r="V93" s="351"/>
      <c r="W93" s="351"/>
      <c r="X93" s="351">
        <v>0</v>
      </c>
      <c r="Y93" s="363">
        <v>-1.7381199999999999</v>
      </c>
      <c r="Z93" s="363"/>
      <c r="AA93" s="363"/>
      <c r="AB93" s="363">
        <v>-1.7381199999999999</v>
      </c>
      <c r="AC93" s="355"/>
    </row>
    <row r="94" spans="1:30" s="352" customFormat="1" x14ac:dyDescent="0.2">
      <c r="A94" s="320" t="str">
        <f>IFERROR(VLOOKUP(B94,mapping_one_neo!A:B,2,FALSE),"")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/>
      <c r="Y94" s="363">
        <v>0.90203999999999995</v>
      </c>
      <c r="Z94" s="363"/>
      <c r="AA94" s="363"/>
      <c r="AB94" s="363">
        <v>0.90203999999999995</v>
      </c>
      <c r="AC94" s="355"/>
      <c r="AD94" s="334"/>
    </row>
    <row r="95" spans="1:30" s="387" customFormat="1" x14ac:dyDescent="0.2">
      <c r="A95" s="320">
        <f>IFERROR(VLOOKUP(B95,mapping_one_neo!A:B,2,FALSE),"")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-0.83607999999999993</v>
      </c>
      <c r="V95" s="393">
        <f t="shared" ref="V95:AB95" si="10">SUM(V93:V94)</f>
        <v>0</v>
      </c>
      <c r="W95" s="393">
        <f t="shared" si="10"/>
        <v>0</v>
      </c>
      <c r="X95" s="393">
        <f t="shared" si="10"/>
        <v>0</v>
      </c>
      <c r="Y95" s="393">
        <f t="shared" si="10"/>
        <v>-0.83607999999999993</v>
      </c>
      <c r="Z95" s="393">
        <f t="shared" si="10"/>
        <v>0</v>
      </c>
      <c r="AA95" s="393">
        <f t="shared" si="10"/>
        <v>0</v>
      </c>
      <c r="AB95" s="393">
        <f t="shared" si="10"/>
        <v>-0.83607999999999993</v>
      </c>
      <c r="AC95" s="394"/>
      <c r="AD95" s="334"/>
    </row>
    <row r="96" spans="1:30" x14ac:dyDescent="0.2">
      <c r="A96" s="320" t="str">
        <f>IFERROR(VLOOKUP(B96,mapping_one_neo!A:B,2,FALSE),"")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v>-138.16399999999999</v>
      </c>
      <c r="V98" s="362"/>
      <c r="W98" s="362"/>
      <c r="X98" s="351"/>
      <c r="Y98" s="363">
        <v>-138.16399999999999</v>
      </c>
      <c r="Z98" s="363"/>
      <c r="AA98" s="363"/>
      <c r="AB98" s="363">
        <f>SUM(Y98:AA98)</f>
        <v>-138.16399999999999</v>
      </c>
      <c r="AC98" s="355"/>
      <c r="AD98" s="334"/>
    </row>
    <row r="99" spans="1:30" s="352" customFormat="1" x14ac:dyDescent="0.2">
      <c r="A99" s="320" t="str">
        <f>IFERROR(VLOOKUP(B99,mapping_one_neo!A:B,2,FALSE),"")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-31.001999999999999</v>
      </c>
      <c r="V99" s="362"/>
      <c r="W99" s="362"/>
      <c r="X99" s="362"/>
      <c r="Y99" s="363">
        <v>-31.001999999999999</v>
      </c>
      <c r="Z99" s="363"/>
      <c r="AA99" s="363"/>
      <c r="AB99" s="363">
        <f>SUM(Y99:AA99)</f>
        <v>-31.001999999999999</v>
      </c>
      <c r="AC99" s="355"/>
      <c r="AD99" s="334"/>
    </row>
    <row r="100" spans="1:30" s="387" customFormat="1" x14ac:dyDescent="0.2">
      <c r="A100" s="320">
        <f>IFERROR(VLOOKUP(B100,mapping_one_neo!A:B,2,FALSE),"")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-169.166</v>
      </c>
      <c r="V100" s="393">
        <f t="shared" ref="V100:AB100" si="11">SUM(V98:V99)</f>
        <v>0</v>
      </c>
      <c r="W100" s="393">
        <f t="shared" si="11"/>
        <v>0</v>
      </c>
      <c r="X100" s="393">
        <f t="shared" si="11"/>
        <v>0</v>
      </c>
      <c r="Y100" s="393">
        <f t="shared" si="11"/>
        <v>-169.166</v>
      </c>
      <c r="Z100" s="393">
        <f t="shared" si="11"/>
        <v>0</v>
      </c>
      <c r="AA100" s="393">
        <f t="shared" si="11"/>
        <v>0</v>
      </c>
      <c r="AB100" s="393">
        <f t="shared" si="11"/>
        <v>-169.166</v>
      </c>
      <c r="AC100" s="394"/>
      <c r="AD100" s="334"/>
    </row>
    <row r="101" spans="1:30" x14ac:dyDescent="0.2">
      <c r="A101" s="320" t="str">
        <f>IFERROR(VLOOKUP(B101,mapping_one_neo!A:B,2,FALSE),"")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x14ac:dyDescent="0.2">
      <c r="A102" s="320">
        <f>IFERROR(VLOOKUP(B102,mapping_one_neo!A:B,2,FALSE),"")</f>
        <v>0</v>
      </c>
      <c r="B102" s="334" t="s">
        <v>70</v>
      </c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349"/>
      <c r="T102" s="346"/>
      <c r="U102" s="351"/>
      <c r="V102" s="351"/>
      <c r="W102" s="351"/>
      <c r="X102" s="351"/>
      <c r="Y102" s="358"/>
      <c r="Z102" s="358">
        <v>23.812654459635603</v>
      </c>
      <c r="AA102" s="358"/>
      <c r="AB102" s="363">
        <v>23.812654459635603</v>
      </c>
      <c r="AC102" s="350"/>
    </row>
    <row r="103" spans="1:30" x14ac:dyDescent="0.2">
      <c r="A103" s="320" t="str">
        <f>IFERROR(VLOOKUP(B103,mapping_one_neo!A:B,2,FALSE),"")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-171.03551000000002</v>
      </c>
      <c r="V104" s="354">
        <f t="shared" ref="V104:AA104" si="12">V95+V100</f>
        <v>0</v>
      </c>
      <c r="W104" s="354">
        <f t="shared" si="12"/>
        <v>0</v>
      </c>
      <c r="X104" s="354">
        <f>X95+X100+X90</f>
        <v>0</v>
      </c>
      <c r="Y104" s="354">
        <f>Y95+Y100+Y90</f>
        <v>-171.03551000000002</v>
      </c>
      <c r="Z104" s="354">
        <f>Z95+Z100+Z102</f>
        <v>23.812654459635603</v>
      </c>
      <c r="AA104" s="354">
        <f t="shared" si="12"/>
        <v>0</v>
      </c>
      <c r="AB104" s="354">
        <f>AB95+AB100+AB90+AB102</f>
        <v>-147.22285554036441</v>
      </c>
      <c r="AC104" s="350"/>
    </row>
    <row r="105" spans="1:30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-0.76568999999999998</v>
      </c>
      <c r="V109" s="351"/>
      <c r="W109" s="351"/>
      <c r="X109" s="351">
        <v>0</v>
      </c>
      <c r="Y109" s="363">
        <v>-0.76568999999999998</v>
      </c>
      <c r="Z109" s="363"/>
      <c r="AA109" s="363"/>
      <c r="AB109" s="363">
        <f>SUM(Y109:AA109)</f>
        <v>-0.76568999999999998</v>
      </c>
      <c r="AC109" s="355"/>
      <c r="AD109" s="334"/>
    </row>
    <row r="110" spans="1:30" s="352" customFormat="1" x14ac:dyDescent="0.2">
      <c r="A110" s="320" t="str">
        <f>IFERROR(VLOOKUP(B110,mapping_one_neo!A:B,2,FALSE),"")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-1.002</v>
      </c>
      <c r="V110" s="351"/>
      <c r="W110" s="351"/>
      <c r="X110" s="351">
        <v>0</v>
      </c>
      <c r="Y110" s="363">
        <v>-1.002</v>
      </c>
      <c r="Z110" s="363"/>
      <c r="AA110" s="363">
        <v>5.1350448211882997E-2</v>
      </c>
      <c r="AB110" s="363">
        <f t="shared" ref="AB110:AB111" si="13">SUM(Y110:AA110)</f>
        <v>-0.95064955178811705</v>
      </c>
      <c r="AC110" s="355"/>
      <c r="AD110" s="334"/>
    </row>
    <row r="111" spans="1:30" s="352" customFormat="1" x14ac:dyDescent="0.2">
      <c r="A111" s="320" t="str">
        <f>IFERROR(VLOOKUP(B111,mapping_one_neo!A:B,2,FALSE),"")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v>1.173</v>
      </c>
      <c r="Z111" s="363"/>
      <c r="AA111" s="363">
        <v>1.829268292682926E-2</v>
      </c>
      <c r="AB111" s="363">
        <f t="shared" si="13"/>
        <v>1.1912926829268293</v>
      </c>
      <c r="AC111" s="355"/>
      <c r="AD111" s="334"/>
    </row>
    <row r="112" spans="1:30" s="387" customFormat="1" x14ac:dyDescent="0.2">
      <c r="A112" s="320">
        <f>IFERROR(VLOOKUP(B112,mapping_one_neo!A:B,2,FALSE),"")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-0.59468999999999994</v>
      </c>
      <c r="V112" s="393">
        <f t="shared" ref="V112:AB112" si="14">SUM(V109:V111)</f>
        <v>0</v>
      </c>
      <c r="W112" s="393">
        <f t="shared" si="14"/>
        <v>0</v>
      </c>
      <c r="X112" s="393">
        <f t="shared" si="14"/>
        <v>0</v>
      </c>
      <c r="Y112" s="393">
        <f t="shared" si="14"/>
        <v>-0.59468999999999994</v>
      </c>
      <c r="Z112" s="393">
        <f t="shared" si="14"/>
        <v>0</v>
      </c>
      <c r="AA112" s="393">
        <f t="shared" si="14"/>
        <v>6.9643131138712261E-2</v>
      </c>
      <c r="AB112" s="393">
        <f t="shared" si="14"/>
        <v>-0.52504686886128771</v>
      </c>
      <c r="AC112" s="394"/>
      <c r="AD112" s="334"/>
    </row>
    <row r="113" spans="1:30" s="387" customFormat="1" x14ac:dyDescent="0.2">
      <c r="A113" s="320" t="str">
        <f>IFERROR(VLOOKUP(B113,mapping_one_neo!A:B,2,FALSE),"")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0.37391999999999997</v>
      </c>
      <c r="V115" s="351"/>
      <c r="W115" s="351"/>
      <c r="X115" s="351"/>
      <c r="Y115" s="363">
        <v>0.37391999999999997</v>
      </c>
      <c r="Z115" s="363"/>
      <c r="AA115" s="363"/>
      <c r="AB115" s="363">
        <v>0.37391999999999997</v>
      </c>
      <c r="AC115" s="355"/>
      <c r="AD115" s="334"/>
    </row>
    <row r="116" spans="1:30" s="352" customFormat="1" x14ac:dyDescent="0.2">
      <c r="A116" s="320" t="str">
        <f>IFERROR(VLOOKUP(B116,mapping_one_neo!A:B,2,FALSE),"")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-0.11457000000000001</v>
      </c>
      <c r="V116" s="351"/>
      <c r="W116" s="351"/>
      <c r="X116" s="351"/>
      <c r="Y116" s="363">
        <v>-0.11457000000000001</v>
      </c>
      <c r="Z116" s="363"/>
      <c r="AA116" s="363"/>
      <c r="AB116" s="363">
        <v>-0.11457000000000001</v>
      </c>
      <c r="AC116" s="355"/>
      <c r="AD116" s="334"/>
    </row>
    <row r="117" spans="1:30" s="387" customFormat="1" x14ac:dyDescent="0.2">
      <c r="A117" s="320">
        <f>IFERROR(VLOOKUP(B117,mapping_one_neo!A:B,2,FALSE),"")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0.25934999999999997</v>
      </c>
      <c r="V117" s="424">
        <f t="shared" ref="V117:AA117" si="15">SUM(V116)</f>
        <v>0</v>
      </c>
      <c r="W117" s="424">
        <f t="shared" si="15"/>
        <v>0</v>
      </c>
      <c r="X117" s="424">
        <f>SUM(X115:X116)</f>
        <v>0</v>
      </c>
      <c r="Y117" s="424">
        <f>SUM(Y115:Y116)</f>
        <v>0.25934999999999997</v>
      </c>
      <c r="Z117" s="424">
        <f t="shared" si="15"/>
        <v>0</v>
      </c>
      <c r="AA117" s="424">
        <f t="shared" si="15"/>
        <v>0</v>
      </c>
      <c r="AB117" s="424">
        <f>SUM(AB115:AB116)</f>
        <v>0.25934999999999997</v>
      </c>
      <c r="AC117" s="394"/>
      <c r="AD117" s="334"/>
    </row>
    <row r="118" spans="1:30" s="387" customFormat="1" x14ac:dyDescent="0.2">
      <c r="A118" s="320" t="str">
        <f>IFERROR(VLOOKUP(B118,mapping_one_neo!A:B,2,FALSE),"")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B122" si="16">SUM(V120:V121)</f>
        <v>0</v>
      </c>
      <c r="W122" s="393">
        <f t="shared" si="16"/>
        <v>0</v>
      </c>
      <c r="X122" s="393">
        <f t="shared" si="16"/>
        <v>0</v>
      </c>
      <c r="Y122" s="393">
        <f t="shared" si="16"/>
        <v>-1.173</v>
      </c>
      <c r="Z122" s="393">
        <f t="shared" si="16"/>
        <v>0</v>
      </c>
      <c r="AA122" s="393">
        <f t="shared" si="16"/>
        <v>0</v>
      </c>
      <c r="AB122" s="393">
        <f t="shared" si="16"/>
        <v>-1.173</v>
      </c>
      <c r="AC122" s="394"/>
      <c r="AD122" s="334"/>
    </row>
    <row r="123" spans="1:30" s="387" customFormat="1" x14ac:dyDescent="0.2">
      <c r="A123" s="320" t="str">
        <f>IFERROR(VLOOKUP(B123,mapping_one_neo!A:B,2,FALSE),"")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-1.57315</v>
      </c>
      <c r="V125" s="351"/>
      <c r="W125" s="351"/>
      <c r="X125" s="351"/>
      <c r="Y125" s="363">
        <v>-1.57315</v>
      </c>
      <c r="Z125" s="363"/>
      <c r="AA125" s="363"/>
      <c r="AB125" s="363">
        <f>SUM(Y125:AA125)</f>
        <v>-1.57315</v>
      </c>
      <c r="AC125" s="355"/>
      <c r="AD125" s="334" t="s">
        <v>134</v>
      </c>
    </row>
    <row r="126" spans="1:30" s="352" customFormat="1" x14ac:dyDescent="0.2">
      <c r="A126" s="320" t="str">
        <f>IFERROR(VLOOKUP(B126,mapping_one_neo!A:B,2,FALSE),"")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-55.002000000000002</v>
      </c>
      <c r="V126" s="351">
        <v>0</v>
      </c>
      <c r="W126" s="351"/>
      <c r="X126" s="351"/>
      <c r="Y126" s="363">
        <v>-55.002000000000002</v>
      </c>
      <c r="Z126" s="363"/>
      <c r="AA126" s="363"/>
      <c r="AB126" s="363">
        <f t="shared" ref="AB126:AB132" si="17">SUM(Y126:AA126)</f>
        <v>-55.002000000000002</v>
      </c>
      <c r="AC126" s="355"/>
      <c r="AD126" s="334"/>
    </row>
    <row r="127" spans="1:30" s="352" customFormat="1" ht="14.25" customHeight="1" x14ac:dyDescent="0.2">
      <c r="A127" s="320" t="str">
        <f>IFERROR(VLOOKUP(B127,mapping_one_neo!A:B,2,FALSE),"")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-2.6520000000000001</v>
      </c>
      <c r="V127" s="351"/>
      <c r="W127" s="351"/>
      <c r="X127" s="351"/>
      <c r="Y127" s="363">
        <v>-2.6520000000000001</v>
      </c>
      <c r="Z127" s="363"/>
      <c r="AA127" s="363"/>
      <c r="AB127" s="363">
        <f t="shared" si="17"/>
        <v>-2.6520000000000001</v>
      </c>
      <c r="AC127" s="355"/>
      <c r="AD127" s="334"/>
    </row>
    <row r="128" spans="1:30" s="352" customFormat="1" ht="14.25" customHeight="1" x14ac:dyDescent="0.2">
      <c r="A128" s="320" t="str">
        <f>IFERROR(VLOOKUP(B128,mapping_one_neo!A:B,2,FALSE),"")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-0.26900000000000002</v>
      </c>
      <c r="V128" s="351"/>
      <c r="W128" s="351"/>
      <c r="X128" s="351"/>
      <c r="Y128" s="363">
        <v>-0.26900000000000002</v>
      </c>
      <c r="Z128" s="363"/>
      <c r="AA128" s="363"/>
      <c r="AB128" s="363">
        <f t="shared" si="17"/>
        <v>-0.26900000000000002</v>
      </c>
      <c r="AC128" s="355"/>
      <c r="AD128" s="334"/>
    </row>
    <row r="129" spans="1:30" s="352" customFormat="1" x14ac:dyDescent="0.2">
      <c r="A129" s="320" t="str">
        <f>IFERROR(VLOOKUP(B129,mapping_one_neo!A:B,2,FALSE),"")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f t="shared" si="17"/>
        <v>0</v>
      </c>
      <c r="AC129" s="355"/>
      <c r="AD129" s="334"/>
    </row>
    <row r="130" spans="1:30" s="352" customFormat="1" x14ac:dyDescent="0.2">
      <c r="A130" s="320" t="str">
        <f>IFERROR(VLOOKUP(B130,mapping_one_neo!A:B,2,FALSE),"")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-1.998</v>
      </c>
      <c r="V130" s="351"/>
      <c r="W130" s="351"/>
      <c r="X130" s="351"/>
      <c r="Y130" s="363">
        <v>-1.998</v>
      </c>
      <c r="Z130" s="363"/>
      <c r="AA130" s="363"/>
      <c r="AB130" s="363">
        <f t="shared" si="17"/>
        <v>-1.998</v>
      </c>
      <c r="AC130" s="355"/>
      <c r="AD130" s="334"/>
    </row>
    <row r="131" spans="1:30" s="352" customFormat="1" x14ac:dyDescent="0.2">
      <c r="A131" s="320" t="str">
        <f>IFERROR(VLOOKUP(B131,mapping_one_neo!A:B,2,FALSE),"")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-6.6899999999999998E-3</v>
      </c>
      <c r="V131" s="351"/>
      <c r="W131" s="351"/>
      <c r="X131" s="351"/>
      <c r="Y131" s="363">
        <v>-6.6899999999999998E-3</v>
      </c>
      <c r="Z131" s="363"/>
      <c r="AA131" s="363"/>
      <c r="AB131" s="363">
        <f t="shared" si="17"/>
        <v>-6.6899999999999998E-3</v>
      </c>
      <c r="AC131" s="355"/>
      <c r="AD131" s="334"/>
    </row>
    <row r="132" spans="1:30" s="352" customFormat="1" x14ac:dyDescent="0.2">
      <c r="A132" s="320" t="str">
        <f>IFERROR(VLOOKUP(B132,mapping_one_neo!A:B,2,FALSE),"")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-1.69211</v>
      </c>
      <c r="V132" s="351"/>
      <c r="W132" s="351"/>
      <c r="X132" s="351"/>
      <c r="Y132" s="363">
        <v>-1.69211</v>
      </c>
      <c r="Z132" s="363"/>
      <c r="AA132" s="363"/>
      <c r="AB132" s="363">
        <f t="shared" si="17"/>
        <v>-1.69211</v>
      </c>
      <c r="AC132" s="355"/>
      <c r="AD132" s="334"/>
    </row>
    <row r="133" spans="1:30" s="352" customFormat="1" x14ac:dyDescent="0.2">
      <c r="A133" s="320" t="str">
        <f>IFERROR(VLOOKUP(B133,mapping_one_neo!A:B,2,FALSE),"")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-63.192949999999996</v>
      </c>
      <c r="V135" s="393">
        <f t="shared" ref="V135:AB135" si="18">SUM(V125:V134)</f>
        <v>0</v>
      </c>
      <c r="W135" s="393">
        <f t="shared" si="18"/>
        <v>0</v>
      </c>
      <c r="X135" s="393">
        <f t="shared" si="18"/>
        <v>0</v>
      </c>
      <c r="Y135" s="393">
        <f t="shared" si="18"/>
        <v>-63.192949999999996</v>
      </c>
      <c r="Z135" s="393">
        <f t="shared" si="18"/>
        <v>0</v>
      </c>
      <c r="AA135" s="393">
        <f t="shared" si="18"/>
        <v>0</v>
      </c>
      <c r="AB135" s="393">
        <f t="shared" si="18"/>
        <v>-63.192949999999996</v>
      </c>
      <c r="AC135" s="394"/>
      <c r="AD135" s="334"/>
    </row>
    <row r="136" spans="1:30" s="387" customFormat="1" x14ac:dyDescent="0.2">
      <c r="A136" s="320"/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387" customFormat="1" x14ac:dyDescent="0.2">
      <c r="A137" s="320"/>
      <c r="B137" s="387" t="s">
        <v>811</v>
      </c>
      <c r="C137" s="392"/>
      <c r="E137" s="39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349"/>
      <c r="T137" s="346"/>
      <c r="U137" s="397"/>
      <c r="V137" s="397"/>
      <c r="W137" s="397"/>
      <c r="X137" s="397"/>
      <c r="Y137" s="397"/>
      <c r="Z137" s="397">
        <v>6.6588199999707269</v>
      </c>
      <c r="AA137" s="397"/>
      <c r="AB137" s="397">
        <v>6.6588199999707269</v>
      </c>
      <c r="AC137" s="394"/>
      <c r="AD137" s="334"/>
    </row>
    <row r="138" spans="1:30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-64.70129</v>
      </c>
      <c r="V139" s="354">
        <f t="shared" ref="V139:AA139" si="19">V135+V122+V117+V112</f>
        <v>0</v>
      </c>
      <c r="W139" s="354">
        <f t="shared" si="19"/>
        <v>0</v>
      </c>
      <c r="X139" s="354">
        <f t="shared" si="19"/>
        <v>0</v>
      </c>
      <c r="Y139" s="354">
        <f t="shared" si="19"/>
        <v>-64.70129</v>
      </c>
      <c r="Z139" s="354">
        <f>Z135+Z122+Z117+Z112+Z137</f>
        <v>6.6588199999707269</v>
      </c>
      <c r="AA139" s="354">
        <f t="shared" si="19"/>
        <v>6.9643131138712261E-2</v>
      </c>
      <c r="AB139" s="354">
        <f>AB135+AB122+AB117+AB112+AB137</f>
        <v>-57.972826868890557</v>
      </c>
      <c r="AC139" s="350"/>
    </row>
    <row r="140" spans="1:30" x14ac:dyDescent="0.2">
      <c r="A140" s="320" t="str">
        <f>IFERROR(VLOOKUP(B140,mapping_one_neo!A:B,2,FALSE),"")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f>-2.71976-0.7</f>
        <v>-3.4197600000000001</v>
      </c>
      <c r="V141" s="351"/>
      <c r="W141" s="351"/>
      <c r="X141" s="351"/>
      <c r="Y141" s="363">
        <v>-3.4197600000000001</v>
      </c>
      <c r="Z141" s="363"/>
      <c r="AA141" s="363"/>
      <c r="AB141" s="363">
        <f>SUM(Y141:AA141)</f>
        <v>-3.4197600000000001</v>
      </c>
      <c r="AC141" s="355"/>
      <c r="AD141" s="334"/>
    </row>
    <row r="142" spans="1:30" s="352" customFormat="1" x14ac:dyDescent="0.2">
      <c r="A142" s="320" t="str">
        <f>IFERROR(VLOOKUP(B142,mapping_one_neo!A:B,2,FALSE),"")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-3.2520000000000002</v>
      </c>
      <c r="V142" s="351"/>
      <c r="W142" s="351"/>
      <c r="X142" s="351"/>
      <c r="Y142" s="363">
        <v>-3.2520000000000002</v>
      </c>
      <c r="Z142" s="363"/>
      <c r="AA142" s="443">
        <v>2.2439313694066799E-2</v>
      </c>
      <c r="AB142" s="363">
        <f t="shared" ref="AB142:AB157" si="20">SUM(Y142:AA142)</f>
        <v>-3.2295606863059336</v>
      </c>
      <c r="AC142" s="355"/>
      <c r="AD142" s="334"/>
    </row>
    <row r="143" spans="1:30" x14ac:dyDescent="0.2">
      <c r="A143" s="320" t="str">
        <f>IFERROR(VLOOKUP(B143,mapping_one_neo!A:B,2,FALSE),"")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si="20"/>
        <v>0</v>
      </c>
      <c r="AC143" s="350"/>
    </row>
    <row r="144" spans="1:30" s="352" customFormat="1" x14ac:dyDescent="0.2">
      <c r="A144" s="320" t="str">
        <f>IFERROR(VLOOKUP(B144,mapping_one_neo!A:B,2,FALSE),"")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20"/>
        <v>0</v>
      </c>
      <c r="AC144" s="355"/>
      <c r="AD144" s="334"/>
    </row>
    <row r="145" spans="1:30" s="352" customFormat="1" x14ac:dyDescent="0.2">
      <c r="A145" s="320" t="str">
        <f>IFERROR(VLOOKUP(B145,mapping_one_neo!A:B,2,FALSE),"")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-0.498</v>
      </c>
      <c r="V145" s="351"/>
      <c r="W145" s="351"/>
      <c r="X145" s="351"/>
      <c r="Y145" s="363">
        <v>-0.498</v>
      </c>
      <c r="Z145" s="363"/>
      <c r="AA145" s="363"/>
      <c r="AB145" s="363">
        <f t="shared" si="20"/>
        <v>-0.498</v>
      </c>
      <c r="AC145" s="355"/>
      <c r="AD145" s="334"/>
    </row>
    <row r="146" spans="1:30" x14ac:dyDescent="0.2">
      <c r="A146" s="320" t="str">
        <f>IFERROR(VLOOKUP(B146,mapping_one_neo!A:B,2,FALSE),"")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20"/>
        <v>0</v>
      </c>
      <c r="AC146" s="350"/>
    </row>
    <row r="147" spans="1:30" x14ac:dyDescent="0.2">
      <c r="A147" s="320">
        <f>IFERROR(VLOOKUP(B147,mapping_one_neo!A:B,2,FALSE),"")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20"/>
        <v>0</v>
      </c>
      <c r="AC147" s="350"/>
    </row>
    <row r="148" spans="1:30" s="352" customFormat="1" x14ac:dyDescent="0.2">
      <c r="A148" s="320" t="str">
        <f>IFERROR(VLOOKUP(B148,mapping_one_neo!A:B,2,FALSE),"")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>
        <f t="shared" si="20"/>
        <v>0</v>
      </c>
      <c r="AC148" s="355"/>
      <c r="AD148" s="334"/>
    </row>
    <row r="149" spans="1:30" s="352" customFormat="1" x14ac:dyDescent="0.2">
      <c r="A149" s="320" t="str">
        <f>IFERROR(VLOOKUP(B149,mapping_one_neo!A:B,2,FALSE),"")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-10.5</v>
      </c>
      <c r="V149" s="351"/>
      <c r="W149" s="351"/>
      <c r="X149" s="351"/>
      <c r="Y149" s="363">
        <v>-10.5</v>
      </c>
      <c r="Z149" s="363"/>
      <c r="AA149" s="363"/>
      <c r="AB149" s="363">
        <f t="shared" si="20"/>
        <v>-10.5</v>
      </c>
      <c r="AC149" s="355"/>
      <c r="AD149" s="334"/>
    </row>
    <row r="150" spans="1:30" s="352" customFormat="1" x14ac:dyDescent="0.2">
      <c r="A150" s="320" t="str">
        <f>IFERROR(VLOOKUP(B150,mapping_one_neo!A:B,2,FALSE),"")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-0.34800000000000003</v>
      </c>
      <c r="V150" s="351"/>
      <c r="W150" s="351"/>
      <c r="X150" s="351"/>
      <c r="Y150" s="363">
        <v>-0.34800000000000003</v>
      </c>
      <c r="Z150" s="363"/>
      <c r="AA150" s="363"/>
      <c r="AB150" s="363">
        <f t="shared" si="20"/>
        <v>-0.34800000000000003</v>
      </c>
      <c r="AC150" s="355"/>
      <c r="AD150" s="334"/>
    </row>
    <row r="151" spans="1:30" s="352" customFormat="1" x14ac:dyDescent="0.2">
      <c r="A151" s="320" t="str">
        <f>IFERROR(VLOOKUP(B151,mapping_one_neo!A:B,2,FALSE),"")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-3.5045699999999993</v>
      </c>
      <c r="V151" s="351"/>
      <c r="W151" s="351"/>
      <c r="X151" s="351"/>
      <c r="Y151" s="363">
        <v>-3.5045699999999993</v>
      </c>
      <c r="Z151" s="363"/>
      <c r="AA151" s="363"/>
      <c r="AB151" s="363">
        <f t="shared" si="20"/>
        <v>-3.5045699999999993</v>
      </c>
      <c r="AC151" s="355"/>
      <c r="AD151" s="334"/>
    </row>
    <row r="152" spans="1:30" s="352" customFormat="1" x14ac:dyDescent="0.2">
      <c r="A152" s="320" t="str">
        <f>IFERROR(VLOOKUP(B152,mapping_one_neo!A:B,2,FALSE),"")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-15</v>
      </c>
      <c r="V152" s="351"/>
      <c r="W152" s="351"/>
      <c r="X152" s="351"/>
      <c r="Y152" s="363">
        <v>-15</v>
      </c>
      <c r="Z152" s="363"/>
      <c r="AA152" s="363"/>
      <c r="AB152" s="363">
        <f t="shared" si="20"/>
        <v>-15</v>
      </c>
      <c r="AC152" s="355"/>
      <c r="AD152" s="334"/>
    </row>
    <row r="153" spans="1:30" s="352" customFormat="1" x14ac:dyDescent="0.2">
      <c r="A153" s="320" t="str">
        <f>IFERROR(VLOOKUP(B153,mapping_one_neo!A:B,2,FALSE),"")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-3.1500000000000004</v>
      </c>
      <c r="V153" s="351"/>
      <c r="W153" s="351"/>
      <c r="X153" s="351"/>
      <c r="Y153" s="363">
        <v>-3.1500000000000004</v>
      </c>
      <c r="Z153" s="363"/>
      <c r="AA153" s="363"/>
      <c r="AB153" s="363">
        <f t="shared" si="20"/>
        <v>-3.1500000000000004</v>
      </c>
      <c r="AC153" s="355"/>
      <c r="AD153" s="334" t="s">
        <v>134</v>
      </c>
    </row>
    <row r="154" spans="1:30" s="352" customFormat="1" x14ac:dyDescent="0.2">
      <c r="A154" s="320" t="str">
        <f>IFERROR(VLOOKUP(B154,mapping_one_neo!A:B,2,FALSE),"")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363"/>
      <c r="Z154" s="363"/>
      <c r="AA154" s="363"/>
      <c r="AB154" s="363">
        <f t="shared" si="20"/>
        <v>0</v>
      </c>
      <c r="AC154" s="355"/>
      <c r="AD154" s="334"/>
    </row>
    <row r="155" spans="1:30" s="352" customFormat="1" x14ac:dyDescent="0.2">
      <c r="A155" s="320" t="str">
        <f>IFERROR(VLOOKUP(B155,mapping_one_neo!A:B,2,FALSE),"")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363">
        <v>0</v>
      </c>
      <c r="Z155" s="363"/>
      <c r="AA155" s="363"/>
      <c r="AB155" s="363">
        <f t="shared" si="20"/>
        <v>0</v>
      </c>
      <c r="AC155" s="355"/>
      <c r="AD155" s="334"/>
    </row>
    <row r="156" spans="1:30" s="352" customFormat="1" x14ac:dyDescent="0.2">
      <c r="A156" s="320" t="str">
        <f>IFERROR(VLOOKUP(B156,mapping_one_neo!A:B,2,FALSE),"")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-2.25</v>
      </c>
      <c r="W156" s="351"/>
      <c r="X156" s="351"/>
      <c r="Y156" s="363">
        <v>-2.25</v>
      </c>
      <c r="Z156" s="363"/>
      <c r="AA156" s="363"/>
      <c r="AB156" s="363">
        <f t="shared" si="20"/>
        <v>-2.25</v>
      </c>
      <c r="AC156" s="355"/>
      <c r="AD156" s="334"/>
    </row>
    <row r="157" spans="1:30" s="352" customFormat="1" x14ac:dyDescent="0.2">
      <c r="A157" s="320" t="str">
        <f>IFERROR(VLOOKUP(B157,mapping_one_neo!A:B,2,FALSE),"")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351">
        <v>-11.500000000000021</v>
      </c>
      <c r="Y157" s="363">
        <v>-11.500000000000021</v>
      </c>
      <c r="Z157" s="363"/>
      <c r="AA157" s="363"/>
      <c r="AB157" s="363">
        <f t="shared" si="20"/>
        <v>-11.500000000000021</v>
      </c>
      <c r="AC157" s="355"/>
      <c r="AD157" s="334"/>
    </row>
    <row r="158" spans="1:30" s="387" customFormat="1" x14ac:dyDescent="0.2">
      <c r="A158" s="320">
        <f>IFERROR(VLOOKUP(B158,mapping_one_neo!A:B,2,FALSE),"")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-32.502569999999999</v>
      </c>
      <c r="V158" s="393">
        <f t="shared" ref="V158:AB158" si="21">SUM(V148:V157)</f>
        <v>-2.25</v>
      </c>
      <c r="W158" s="393">
        <f t="shared" si="21"/>
        <v>0</v>
      </c>
      <c r="X158" s="393">
        <f t="shared" si="21"/>
        <v>-11.500000000000021</v>
      </c>
      <c r="Y158" s="393">
        <f t="shared" si="21"/>
        <v>-46.25257000000002</v>
      </c>
      <c r="Z158" s="393">
        <f t="shared" si="21"/>
        <v>0</v>
      </c>
      <c r="AA158" s="393">
        <f t="shared" si="21"/>
        <v>0</v>
      </c>
      <c r="AB158" s="393">
        <f t="shared" si="21"/>
        <v>-46.25257000000002</v>
      </c>
      <c r="AC158" s="394"/>
      <c r="AD158" s="334"/>
    </row>
    <row r="159" spans="1:30" s="387" customFormat="1" x14ac:dyDescent="0.2">
      <c r="A159" s="320" t="str">
        <f>IFERROR(VLOOKUP(B159,mapping_one_neo!A:B,2,FALSE),"")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-0.60000000000000009</v>
      </c>
      <c r="V160" s="351"/>
      <c r="W160" s="351"/>
      <c r="X160" s="351"/>
      <c r="Y160" s="363">
        <v>-0.60000000000000009</v>
      </c>
      <c r="Z160" s="363"/>
      <c r="AA160" s="363">
        <v>1.6829476633612197E-2</v>
      </c>
      <c r="AB160" s="363">
        <f>SUM(Y160:AA160)</f>
        <v>-0.58317052336638786</v>
      </c>
      <c r="AC160" s="355"/>
      <c r="AD160" s="334"/>
    </row>
    <row r="161" spans="1:30" s="352" customFormat="1" x14ac:dyDescent="0.2">
      <c r="A161" s="320" t="str">
        <f>IFERROR(VLOOKUP(B161,mapping_one_neo!A:B,2,FALSE),"")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/>
      <c r="V161" s="351"/>
      <c r="W161" s="351"/>
      <c r="X161" s="351"/>
      <c r="Y161" s="363">
        <v>0</v>
      </c>
      <c r="Z161" s="363"/>
      <c r="AA161" s="363"/>
      <c r="AB161" s="363">
        <f t="shared" ref="AB161:AB164" si="22">SUM(Y161:AA161)</f>
        <v>0</v>
      </c>
      <c r="AC161" s="355"/>
      <c r="AD161" s="334" t="s">
        <v>792</v>
      </c>
    </row>
    <row r="162" spans="1:30" s="352" customFormat="1" x14ac:dyDescent="0.2">
      <c r="A162" s="320" t="str">
        <f>IFERROR(VLOOKUP(B162,mapping_one_neo!A:B,2,FALSE),"")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-3.798</v>
      </c>
      <c r="V162" s="351"/>
      <c r="W162" s="351"/>
      <c r="X162" s="351"/>
      <c r="Y162" s="363">
        <v>-3.798</v>
      </c>
      <c r="Z162" s="363"/>
      <c r="AA162" s="363"/>
      <c r="AB162" s="363">
        <f t="shared" si="22"/>
        <v>-3.798</v>
      </c>
      <c r="AC162" s="355"/>
      <c r="AD162" s="334"/>
    </row>
    <row r="163" spans="1:30" s="352" customFormat="1" x14ac:dyDescent="0.2">
      <c r="A163" s="320" t="str">
        <f>IFERROR(VLOOKUP(B163,mapping_one_neo!A:B,2,FALSE),"")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-1.5</v>
      </c>
      <c r="V163" s="351"/>
      <c r="W163" s="351"/>
      <c r="X163" s="351"/>
      <c r="Y163" s="363">
        <v>-1.5</v>
      </c>
      <c r="Z163" s="363"/>
      <c r="AA163" s="363"/>
      <c r="AB163" s="363">
        <f t="shared" si="22"/>
        <v>-1.5</v>
      </c>
      <c r="AC163" s="355"/>
      <c r="AD163" s="334"/>
    </row>
    <row r="164" spans="1:30" s="352" customFormat="1" x14ac:dyDescent="0.2">
      <c r="A164" s="320" t="str">
        <f>IFERROR(VLOOKUP(B164,mapping_one_neo!A:B,2,FALSE),"")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-5.0053200000000002</v>
      </c>
      <c r="V164" s="351"/>
      <c r="W164" s="351"/>
      <c r="X164" s="351"/>
      <c r="Y164" s="363">
        <v>-5.0053200000000002</v>
      </c>
      <c r="Z164" s="363"/>
      <c r="AA164" s="363"/>
      <c r="AB164" s="363">
        <f t="shared" si="22"/>
        <v>-5.0053200000000002</v>
      </c>
      <c r="AC164" s="355"/>
      <c r="AD164" s="334"/>
    </row>
    <row r="165" spans="1:30" s="387" customFormat="1" x14ac:dyDescent="0.2">
      <c r="A165" s="320">
        <f>IFERROR(VLOOKUP(B165,mapping_one_neo!A:B,2,FALSE),"")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-10.903320000000001</v>
      </c>
      <c r="V165" s="393">
        <f>SUM(V160:V164)</f>
        <v>0</v>
      </c>
      <c r="W165" s="393">
        <f t="shared" ref="W165:AB165" si="23">SUM(W160:W164)</f>
        <v>0</v>
      </c>
      <c r="X165" s="393">
        <f t="shared" si="23"/>
        <v>0</v>
      </c>
      <c r="Y165" s="393">
        <f t="shared" si="23"/>
        <v>-10.903320000000001</v>
      </c>
      <c r="Z165" s="393">
        <f t="shared" si="23"/>
        <v>0</v>
      </c>
      <c r="AA165" s="393">
        <f t="shared" si="23"/>
        <v>1.6829476633612197E-2</v>
      </c>
      <c r="AB165" s="393">
        <f t="shared" si="23"/>
        <v>-10.886490523366387</v>
      </c>
      <c r="AC165" s="355"/>
      <c r="AD165" s="334"/>
    </row>
    <row r="166" spans="1:30" s="387" customFormat="1" x14ac:dyDescent="0.2">
      <c r="A166" s="320" t="str">
        <f>IFERROR(VLOOKUP(B166,mapping_one_neo!A:B,2,FALSE),"")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387" customFormat="1" x14ac:dyDescent="0.2">
      <c r="A167" s="320" t="str">
        <f>IFERROR(VLOOKUP(B167,mapping_one_neo!A:B,2,FALSE),"")</f>
        <v/>
      </c>
      <c r="C167" s="392"/>
      <c r="E167" s="39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349"/>
      <c r="T167" s="346"/>
      <c r="U167" s="397"/>
      <c r="V167" s="397"/>
      <c r="W167" s="397">
        <v>-9.3499999999999801</v>
      </c>
      <c r="X167" s="397"/>
      <c r="Y167" s="397">
        <v>-9.3499999999999801</v>
      </c>
      <c r="Z167" s="397">
        <v>6.3615181533495484</v>
      </c>
      <c r="AA167" s="397"/>
      <c r="AB167" s="397">
        <f>SUM(Y167:AA167)</f>
        <v>-2.9884818466504317</v>
      </c>
      <c r="AC167" s="394"/>
      <c r="AD167" s="334"/>
    </row>
    <row r="168" spans="1:30" s="400" customFormat="1" x14ac:dyDescent="0.2">
      <c r="A168" s="320" t="str">
        <f>IFERROR(VLOOKUP(B168,mapping_one_neo!A:B,2,FALSE),"")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V170" si="24">U165+U158+U145+U142+U141+U167</f>
        <v>-50.575649999999996</v>
      </c>
      <c r="V170" s="354">
        <f t="shared" si="24"/>
        <v>-2.25</v>
      </c>
      <c r="W170" s="354">
        <f>W165+W158+W145+W142+W141+W167</f>
        <v>-9.3499999999999801</v>
      </c>
      <c r="X170" s="354">
        <f t="shared" ref="X170:AB170" si="25">X165+X158+X145+X142+X141+X167</f>
        <v>-11.500000000000021</v>
      </c>
      <c r="Y170" s="357">
        <f t="shared" si="25"/>
        <v>-73.675650000000005</v>
      </c>
      <c r="Z170" s="357">
        <f t="shared" si="25"/>
        <v>6.3615181533495484</v>
      </c>
      <c r="AA170" s="357">
        <f t="shared" si="25"/>
        <v>3.9268790327678993E-2</v>
      </c>
      <c r="AB170" s="357">
        <f t="shared" si="25"/>
        <v>-67.274863056322772</v>
      </c>
      <c r="AC170" s="403"/>
    </row>
    <row r="171" spans="1:30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-2.25</v>
      </c>
      <c r="V174" s="362"/>
      <c r="W174" s="362"/>
      <c r="X174" s="362"/>
      <c r="Y174" s="363">
        <v>-2.25</v>
      </c>
      <c r="Z174" s="363"/>
      <c r="AA174" s="363"/>
      <c r="AB174" s="363">
        <f>SUM(Y174:AA174)</f>
        <v>-2.25</v>
      </c>
      <c r="AC174" s="355"/>
      <c r="AD174" s="334"/>
    </row>
    <row r="175" spans="1:30" s="352" customFormat="1" x14ac:dyDescent="0.2">
      <c r="A175" s="320" t="str">
        <f>IFERROR(VLOOKUP(B175,mapping_one_neo!A:B,2,FALSE),"")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v>-0.26600000000000001</v>
      </c>
      <c r="Z175" s="363"/>
      <c r="AA175" s="363"/>
      <c r="AB175" s="363">
        <f t="shared" ref="AB175:AB182" si="26">SUM(Y175:AA175)</f>
        <v>-0.26600000000000001</v>
      </c>
      <c r="AC175" s="355"/>
      <c r="AD175" s="334"/>
    </row>
    <row r="176" spans="1:30" s="352" customFormat="1" x14ac:dyDescent="0.2">
      <c r="A176" s="320" t="str">
        <f>IFERROR(VLOOKUP(B176,mapping_one_neo!A:B,2,FALSE),"")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v>-1.9999999999999978</v>
      </c>
      <c r="W176" s="351"/>
      <c r="X176" s="351"/>
      <c r="Y176" s="363">
        <v>-1.9999999999999978</v>
      </c>
      <c r="Z176" s="363"/>
      <c r="AA176" s="363"/>
      <c r="AB176" s="363">
        <f t="shared" si="26"/>
        <v>-1.9999999999999978</v>
      </c>
      <c r="AC176" s="355"/>
      <c r="AD176" s="334"/>
    </row>
    <row r="177" spans="1:30" s="352" customFormat="1" x14ac:dyDescent="0.2">
      <c r="A177" s="320" t="str">
        <f>IFERROR(VLOOKUP(B177,mapping_one_neo!A:B,2,FALSE),"")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-3.70879</v>
      </c>
      <c r="V177" s="351"/>
      <c r="W177" s="351"/>
      <c r="X177" s="351"/>
      <c r="Y177" s="363">
        <v>-3.70879</v>
      </c>
      <c r="Z177" s="363"/>
      <c r="AA177" s="363"/>
      <c r="AB177" s="363">
        <f t="shared" si="26"/>
        <v>-3.70879</v>
      </c>
      <c r="AC177" s="355"/>
      <c r="AD177" s="334"/>
    </row>
    <row r="178" spans="1:30" s="352" customFormat="1" x14ac:dyDescent="0.2">
      <c r="A178" s="320" t="str">
        <f>IFERROR(VLOOKUP(B178,mapping_one_neo!A:B,2,FALSE),"")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-1.4681</v>
      </c>
      <c r="V178" s="351"/>
      <c r="W178" s="351"/>
      <c r="X178" s="351"/>
      <c r="Y178" s="363">
        <v>-1.4681</v>
      </c>
      <c r="Z178" s="363"/>
      <c r="AA178" s="363"/>
      <c r="AB178" s="363">
        <f t="shared" si="26"/>
        <v>-1.4681</v>
      </c>
      <c r="AC178" s="355"/>
      <c r="AD178" s="334"/>
    </row>
    <row r="179" spans="1:30" s="352" customFormat="1" x14ac:dyDescent="0.2">
      <c r="A179" s="320" t="str">
        <f>IFERROR(VLOOKUP(B179,mapping_one_neo!A:B,2,FALSE),"")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>
        <v>-3.4000000000000002E-2</v>
      </c>
      <c r="V179" s="351"/>
      <c r="W179" s="351"/>
      <c r="X179" s="351"/>
      <c r="Y179" s="363">
        <v>-3.4000000000000002E-2</v>
      </c>
      <c r="Z179" s="363"/>
      <c r="AA179" s="363"/>
      <c r="AB179" s="363">
        <f t="shared" si="26"/>
        <v>-3.4000000000000002E-2</v>
      </c>
      <c r="AC179" s="355"/>
      <c r="AD179" s="334"/>
    </row>
    <row r="180" spans="1:30" s="352" customFormat="1" x14ac:dyDescent="0.2">
      <c r="A180" s="320" t="str">
        <f>IFERROR(VLOOKUP(B180,mapping_one_neo!A:B,2,FALSE),"")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/>
      <c r="Y180" s="363">
        <v>-0.3</v>
      </c>
      <c r="Z180" s="363"/>
      <c r="AA180" s="363"/>
      <c r="AB180" s="363">
        <f t="shared" si="26"/>
        <v>-0.3</v>
      </c>
      <c r="AC180" s="355"/>
      <c r="AD180" s="334"/>
    </row>
    <row r="181" spans="1:30" s="352" customFormat="1" x14ac:dyDescent="0.2">
      <c r="A181" s="320" t="str">
        <f>IFERROR(VLOOKUP(B181,mapping_one_neo!A:B,2,FALSE),"")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/>
      <c r="V181" s="351"/>
      <c r="W181" s="351"/>
      <c r="X181" s="351"/>
      <c r="Y181" s="363"/>
      <c r="Z181" s="363"/>
      <c r="AA181" s="363"/>
      <c r="AB181" s="363">
        <f t="shared" si="26"/>
        <v>0</v>
      </c>
      <c r="AC181" s="355"/>
      <c r="AD181" s="334"/>
    </row>
    <row r="182" spans="1:30" s="352" customFormat="1" x14ac:dyDescent="0.2">
      <c r="A182" s="320">
        <f>IFERROR(VLOOKUP(B182,mapping_one_neo!A:B,2,FALSE),"")</f>
        <v>0</v>
      </c>
      <c r="B182" s="352" t="s">
        <v>127</v>
      </c>
      <c r="C182" s="353"/>
      <c r="E182" s="356">
        <v>0</v>
      </c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345"/>
      <c r="T182" s="361"/>
      <c r="U182" s="351"/>
      <c r="V182" s="351"/>
      <c r="W182" s="351"/>
      <c r="X182" s="351"/>
      <c r="Y182" s="363"/>
      <c r="Z182" s="363">
        <v>1.3317511003193081</v>
      </c>
      <c r="AA182" s="363"/>
      <c r="AB182" s="363">
        <f t="shared" si="26"/>
        <v>1.3317511003193081</v>
      </c>
      <c r="AC182" s="355"/>
      <c r="AD182" s="334"/>
    </row>
    <row r="183" spans="1:30" x14ac:dyDescent="0.2">
      <c r="A183" s="320">
        <f>IFERROR(VLOOKUP(B183,mapping_one_neo!A:B,2,FALSE),"")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SUM(U174:U180)</f>
        <v>-8.0268899999999999</v>
      </c>
      <c r="V183" s="354">
        <f t="shared" ref="V183:AA183" si="27">SUM(V174:V180)</f>
        <v>-1.9999999999999978</v>
      </c>
      <c r="W183" s="354">
        <f t="shared" si="27"/>
        <v>0</v>
      </c>
      <c r="X183" s="354">
        <f t="shared" si="27"/>
        <v>0</v>
      </c>
      <c r="Y183" s="354">
        <f t="shared" si="27"/>
        <v>-10.02689</v>
      </c>
      <c r="Z183" s="354">
        <f t="shared" si="27"/>
        <v>0</v>
      </c>
      <c r="AA183" s="354">
        <f t="shared" si="27"/>
        <v>0</v>
      </c>
      <c r="AB183" s="354">
        <f>SUM(AB174:AB182)</f>
        <v>-8.6951388996806926</v>
      </c>
      <c r="AC183" s="350"/>
    </row>
    <row r="184" spans="1:30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-485.10862999999995</v>
      </c>
      <c r="V185" s="354">
        <f t="shared" ref="V185:AB185" si="28">V58+V83+V104+V139+V170+V183</f>
        <v>-89.898500000000013</v>
      </c>
      <c r="W185" s="354">
        <f t="shared" si="28"/>
        <v>-9.3499999999999801</v>
      </c>
      <c r="X185" s="354">
        <f t="shared" si="28"/>
        <v>-11.500000000000021</v>
      </c>
      <c r="Y185" s="357">
        <f t="shared" si="28"/>
        <v>-595.85712999999998</v>
      </c>
      <c r="Z185" s="357">
        <f t="shared" si="28"/>
        <v>64.268846483392011</v>
      </c>
      <c r="AA185" s="357">
        <f t="shared" si="28"/>
        <v>1.6536273686208631</v>
      </c>
      <c r="AB185" s="357">
        <f t="shared" si="28"/>
        <v>-528.60290504766783</v>
      </c>
      <c r="AC185" s="355"/>
      <c r="AD185" s="334"/>
    </row>
    <row r="186" spans="1:30" x14ac:dyDescent="0.2">
      <c r="A186" s="320" t="str">
        <f>IFERROR(VLOOKUP(B186,mapping_one_neo!A:B,2,FALSE),"")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-23.501999999999999</v>
      </c>
      <c r="V187" s="351">
        <v>0</v>
      </c>
      <c r="W187" s="351">
        <v>-240.048</v>
      </c>
      <c r="X187" s="351">
        <v>0</v>
      </c>
      <c r="Y187" s="358">
        <v>-263.55</v>
      </c>
      <c r="Z187" s="358"/>
      <c r="AA187" s="358"/>
      <c r="AB187" s="363">
        <v>-263.55</v>
      </c>
      <c r="AC187" s="350"/>
    </row>
    <row r="188" spans="1:30" x14ac:dyDescent="0.2">
      <c r="A188" s="320" t="str">
        <f>IFERROR(VLOOKUP(B188,mapping_one_neo!A:B,2,FALSE),"")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-117.88288666666908</v>
      </c>
      <c r="V189" s="406">
        <f t="shared" ref="V189:AB189" si="29">V6+V49+V185+V187</f>
        <v>-46.837510000000009</v>
      </c>
      <c r="W189" s="406">
        <f t="shared" si="29"/>
        <v>-249.39799999999997</v>
      </c>
      <c r="X189" s="406">
        <f t="shared" si="29"/>
        <v>12.02999999999998</v>
      </c>
      <c r="Y189" s="411">
        <f t="shared" si="29"/>
        <v>-403.09539666666927</v>
      </c>
      <c r="Z189" s="411">
        <f t="shared" si="29"/>
        <v>249.68298840365173</v>
      </c>
      <c r="AA189" s="411">
        <f t="shared" si="29"/>
        <v>1.675985092198099</v>
      </c>
      <c r="AB189" s="411">
        <f t="shared" si="29"/>
        <v>-150.38231434692301</v>
      </c>
      <c r="AC189" s="355"/>
      <c r="AD189" s="334"/>
    </row>
    <row r="190" spans="1:30" s="408" customFormat="1" ht="13.5" thickTop="1" x14ac:dyDescent="0.2">
      <c r="A190" s="320" t="str">
        <f>IFERROR(VLOOKUP(B190,mapping_one_neo!A:B,2,FALSE),"")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IFERROR(VLOOKUP(B192,mapping_one_neo!A:B,2,FALSE),"")</f>
        <v>I/G exchange gains/(losses)</v>
      </c>
      <c r="B192" s="352" t="s">
        <v>126</v>
      </c>
      <c r="S192" s="349"/>
      <c r="T192" s="346"/>
      <c r="U192" s="428">
        <v>1.4506999999999999</v>
      </c>
      <c r="V192" s="412">
        <v>0</v>
      </c>
      <c r="W192" s="412">
        <v>0</v>
      </c>
      <c r="X192" s="412">
        <v>0</v>
      </c>
      <c r="Y192" s="401">
        <v>1.4506999999999999</v>
      </c>
      <c r="Z192" s="401"/>
      <c r="AA192" s="401"/>
      <c r="AB192" s="429">
        <v>1.4506999999999999</v>
      </c>
      <c r="AC192" s="350"/>
    </row>
    <row r="193" spans="1:30" x14ac:dyDescent="0.2">
      <c r="A193" s="320" t="str">
        <f>IFERROR(VLOOKUP(B193,mapping_one_neo!A:B,2,FALSE),"")</f>
        <v>I/G exchange gains/(losses)</v>
      </c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0.42043999999999998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A194" s="320">
        <f>IFERROR(VLOOKUP(B194,mapping_one_neo!A:B,2,FALSE),"")</f>
        <v>0</v>
      </c>
      <c r="B194" s="334" t="s">
        <v>127</v>
      </c>
      <c r="C194" s="337">
        <v>758000</v>
      </c>
      <c r="S194" s="349"/>
      <c r="T194" s="346"/>
      <c r="U194" s="432">
        <v>1.03026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IFERROR(VLOOKUP(B196,mapping_one_neo!A:B,2,FALSE),"")</f>
        <v>I/G exchange gains/(losses)</v>
      </c>
      <c r="B196" s="352" t="s">
        <v>128</v>
      </c>
      <c r="S196" s="349"/>
      <c r="T196" s="346"/>
      <c r="U196" s="428">
        <v>-0.70079000000000002</v>
      </c>
      <c r="V196" s="412">
        <v>0</v>
      </c>
      <c r="W196" s="412">
        <v>0</v>
      </c>
      <c r="X196" s="412">
        <v>0</v>
      </c>
      <c r="Y196" s="401">
        <v>-0.70079000000000002</v>
      </c>
      <c r="Z196" s="401"/>
      <c r="AA196" s="401"/>
      <c r="AB196" s="429">
        <v>-0.70079000000000002</v>
      </c>
      <c r="AC196" s="350"/>
    </row>
    <row r="197" spans="1:30" x14ac:dyDescent="0.2">
      <c r="A197" s="320" t="str">
        <f>IFERROR(VLOOKUP(B197,mapping_one_neo!A:B,2,FALSE),"")</f>
        <v>I/G exchange gains/(losses)</v>
      </c>
      <c r="B197" s="334" t="s">
        <v>129</v>
      </c>
      <c r="C197" s="337">
        <v>666000</v>
      </c>
      <c r="S197" s="349"/>
      <c r="T197" s="346"/>
      <c r="U197" s="430">
        <v>-0.70145000000000002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6.6E-4</v>
      </c>
      <c r="V198" s="441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IFERROR(VLOOKUP(B200,mapping_one_neo!A:B,2,FALSE),"")</f>
        <v>0</v>
      </c>
      <c r="B200" s="352" t="s">
        <v>130</v>
      </c>
      <c r="S200" s="349"/>
      <c r="T200" s="346"/>
      <c r="U200" s="415">
        <v>226.59363333333073</v>
      </c>
      <c r="V200" s="415">
        <v>-46.837510000000009</v>
      </c>
      <c r="W200" s="415">
        <v>-249.39799999999997</v>
      </c>
      <c r="X200" s="415">
        <v>-72.816030000000026</v>
      </c>
      <c r="Y200" s="435">
        <v>-142.45790666666932</v>
      </c>
      <c r="Z200" s="435">
        <v>251.01473950397107</v>
      </c>
      <c r="AA200" s="435">
        <v>0</v>
      </c>
      <c r="AB200" s="435">
        <v>106.53096498666706</v>
      </c>
      <c r="AC200" s="350"/>
    </row>
    <row r="201" spans="1:30" x14ac:dyDescent="0.2">
      <c r="A201" s="320" t="str">
        <f>IFERROR(VLOOKUP(B201,mapping_one_neo!A:B,2,FALSE),"")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226.59363333333073</v>
      </c>
      <c r="V202" s="354"/>
      <c r="W202" s="354"/>
      <c r="X202" s="415">
        <v>-72.816030000000026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IFERROR(VLOOKUP(B204,mapping_one_neo!A:B,2,FALSE),"")</f>
        <v/>
      </c>
    </row>
    <row r="205" spans="1:30" s="352" customFormat="1" x14ac:dyDescent="0.2">
      <c r="A205" s="320">
        <f>IFERROR(VLOOKUP(B205,mapping_one_neo!A:B,2,FALSE),"")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AB6+AB49+AB58+AB83+AB104+AB139+AB170+AB183+U187+U192+U196-AB167</f>
        <v>93.404077499727407</v>
      </c>
      <c r="AD205" s="352" t="s">
        <v>136</v>
      </c>
    </row>
    <row r="206" spans="1:30" x14ac:dyDescent="0.2">
      <c r="A206" s="320" t="str">
        <f>IFERROR(VLOOKUP(B206,mapping_one_neo!A:B,2,FALSE),"")</f>
        <v/>
      </c>
    </row>
    <row r="207" spans="1:30" s="352" customFormat="1" x14ac:dyDescent="0.2">
      <c r="A207" s="320">
        <f>IFERROR(VLOOKUP(B207,mapping_one_neo!A:B,2,FALSE),"")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0.39997558519241921"/>
    <pageSetUpPr fitToPage="1"/>
  </sheetPr>
  <dimension ref="A1:N75"/>
  <sheetViews>
    <sheetView showGridLines="0" topLeftCell="A12" workbookViewId="0">
      <selection activeCell="D32" sqref="D32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42887</v>
      </c>
      <c r="E13" s="324" t="e">
        <f ca="1">JuinNTENANT()</f>
        <v>#NAME?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SUMIF(Juin!$A:$A,'p&amp;l Juin'!D16,Juin!$AB:$AB)</f>
        <v>2312.54201333333</v>
      </c>
      <c r="F16" s="289">
        <f>SUMIF(Fev!$A:$A,'p&amp;l Juin'!D16,Fev!$X:$X)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SUMIF(Juin!$A:$A,'p&amp;l Juin'!D19,Juin!$AB:$AB)</f>
        <v>-1173.2170899999994</v>
      </c>
      <c r="F19" s="316">
        <f>SUMIF(Fev!$A:$A,'p&amp;l Juin'!D19,Fev!$X:$X)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SUMIF(Juin!$A:$A,'p&amp;l Juin'!D20,Juin!$AB:$AB)</f>
        <v>-523.73900000000003</v>
      </c>
      <c r="F20" s="316">
        <f>SUMIF(Fev!$A:$A,'p&amp;l Juin'!D20,Fev!$X:$X)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SUMIF(Juin!$A:$A,'p&amp;l Juin'!D21,Juin!$AB:$AB)</f>
        <v>-119.56937000000001</v>
      </c>
      <c r="F21" s="316">
        <f>SUMIF(Fev!$A:$A,'p&amp;l Juin'!D21,Fev!$X:$X)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SUMIF(Juin!$A:$A,'p&amp;l Juin'!D22,Juin!$AB:$AB)</f>
        <v>0</v>
      </c>
      <c r="F22" s="316">
        <f>SUMIF(Fev!$A:$A,'p&amp;l Juin'!D22,Fev!$X:$X)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SUMIF(Juin!$A:$A,'p&amp;l Juin'!D23,Juin!$AB:$AB)</f>
        <v>0</v>
      </c>
      <c r="F23" s="316">
        <f>SUMIF(Fev!$A:$A,'p&amp;l Juin'!D23,Fev!$X:$X)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SUMIF(Juin!$A:$A,'p&amp;l Juin'!D24,Juin!$AB:$AB)</f>
        <v>0.74000000000000021</v>
      </c>
      <c r="F24" s="316">
        <f>SUMIF(Fev!$A:$A,'p&amp;l Juin'!D24,Fev!$X:$X)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SUMIF(Juin!$A:$A,'p&amp;l Juin'!D25,Juin!$AB:$AB)</f>
        <v>-8.9700000000000006</v>
      </c>
      <c r="F25" s="316">
        <f>SUMIF(Fev!$A:$A,'p&amp;l Juin'!D25,Fev!$X:$X)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SUMIF(Juin!$A:$A,'p&amp;l Juin'!D26,Juin!$AB:$AB)</f>
        <v>-20.978819999999999</v>
      </c>
      <c r="F26" s="316">
        <f>SUMIF(Fev!$A:$A,'p&amp;l Juin'!D26,Fev!$X:$X)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SUMIF(Juin!$A:$A,'p&amp;l Juin'!D27,Juin!$AB:$AB)</f>
        <v>-6.12</v>
      </c>
      <c r="F27" s="316">
        <f>SUMIF(Fev!$A:$A,'p&amp;l Juin'!D27,Fev!$X:$X)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SUMIF(Juin!$A:$A,'p&amp;l Juin'!D28,Juin!$AB:$AB)</f>
        <v>-4.3760000000000137</v>
      </c>
      <c r="F28" s="316">
        <f>SUMIF(Fev!$A:$A,'p&amp;l Juin'!D28,Fev!$X:$X)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-1856.2302799999993</v>
      </c>
      <c r="F29" s="317">
        <f>SUMIF(Fev!$A:$A,'p&amp;l Juin'!D29,Fev!$X:$X)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SUMIF(Juin!$A:$A,'p&amp;l Juin'!D31,Juin!$AB:$AB)</f>
        <v>-138.50400000000002</v>
      </c>
      <c r="F31" s="316">
        <f>SUMIF(Fev!$A:$A,'p&amp;l Juin'!D31,Fev!$X:$X)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SUMIF(Juin!$A:$A,'p&amp;l Juin'!D32,Juin!$AB:$AB)</f>
        <v>14.53174134247991</v>
      </c>
      <c r="F32" s="316">
        <f>SUMIF(Fev!$A:$A,'p&amp;l Juin'!D32,Fev!$X:$X)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-123.97225865752011</v>
      </c>
      <c r="F33" s="317">
        <f>SUMIF(Fev!$A:$A,'p&amp;l Juin'!D33,Fev!$X:$X)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SUMIF(Juin!$A:$A,'p&amp;l Juin'!D34,Juin!$AB:$AB)</f>
        <v>-18.415709999999997</v>
      </c>
      <c r="F34" s="316">
        <f>SUMIF(Fev!$A:$A,'p&amp;l Juin'!D34,Fev!$X:$X)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SUMIF(Juin!$A:$A,'p&amp;l Juin'!D35,Juin!$AB:$AB)</f>
        <v>-93.506040000000013</v>
      </c>
      <c r="F35" s="316">
        <f>SUMIF(Fev!$A:$A,'p&amp;l Juin'!D35,Fev!$X:$X)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SUMIF(Juin!$A:$A,'p&amp;l Juin'!D36,Juin!$AB:$AB)</f>
        <v>-13.979230000000001</v>
      </c>
      <c r="F36" s="316">
        <f>SUMIF(Fev!$A:$A,'p&amp;l Juin'!D36,Fev!$X:$X)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SUMIF(Juin!$A:$A,'p&amp;l Juin'!D37,Juin!$AB:$AB)</f>
        <v>-10.57321</v>
      </c>
      <c r="F37" s="316">
        <f>SUMIF(Fev!$A:$A,'p&amp;l Juin'!D37,Fev!$X:$X)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-136.47418999999999</v>
      </c>
      <c r="F38" s="317">
        <f>SUMIF(Fev!$A:$A,'p&amp;l Juin'!D38,Fev!$X:$X)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SUMIF(Juin!$A:$A,'p&amp;l Juin'!D40,Juin!$AB:$AB)</f>
        <v>-1.0334300000000001</v>
      </c>
      <c r="F40" s="316">
        <f>SUMIF(Fev!$A:$A,'p&amp;l Juin'!D40,Fev!$X:$X)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SUMIF(Juin!$A:$A,'p&amp;l Juin'!D41,Juin!$AB:$AB)</f>
        <v>-0.83607999999999993</v>
      </c>
      <c r="F41" s="316">
        <f>SUMIF(Fev!$A:$A,'p&amp;l Juin'!D41,Fev!$X:$X)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SUMIF(Juin!$A:$A,'p&amp;l Juin'!D42,Juin!$AB:$AB)</f>
        <v>-138.16399999999999</v>
      </c>
      <c r="F42" s="316">
        <f>SUMIF(Fev!$A:$A,'p&amp;l Juin'!D42,Fev!$X:$X)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SUMIF(Juin!$A:$A,'p&amp;l Juin'!D43,Juin!$AB:$AB)</f>
        <v>-31.001999999999999</v>
      </c>
      <c r="F43" s="316">
        <f>SUMIF(Fev!$A:$A,'p&amp;l Juin'!D43,Fev!$X:$X)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-171.03550999999999</v>
      </c>
      <c r="F44" s="317">
        <f>SUMIF(Fev!$A:$A,'p&amp;l Juin'!D44,Fev!$X:$X)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SUMIF(Juin!$A:$A,'p&amp;l Juin'!D46,Juin!$AB:$AB)</f>
        <v>-4.9062173922276759</v>
      </c>
      <c r="F46" s="316">
        <f>SUMIF(Fev!$A:$A,'p&amp;l Juin'!D46,Fev!$X:$X)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SUMIF(Juin!$A:$A,'p&amp;l Juin'!D47,Juin!$AB:$AB)</f>
        <v>0.25934999999999997</v>
      </c>
      <c r="F47" s="316">
        <f>SUMIF(Fev!$A:$A,'p&amp;l Juin'!D47,Fev!$X:$X)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SUMIF(Juin!$A:$A,'p&amp;l Juin'!D48,Juin!$AB:$AB)</f>
        <v>-70.871269999999996</v>
      </c>
      <c r="F48" s="316">
        <f>SUMIF(Fev!$A:$A,'p&amp;l Juin'!D48,Fev!$X:$X)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SUMIF(Juin!$A:$A,'p&amp;l Juin'!D49,Juin!$AB:$AB)</f>
        <v>-6.6493206863059342</v>
      </c>
      <c r="F49" s="316">
        <f>SUMIF(Fev!$A:$A,'p&amp;l Juin'!D49,Fev!$X:$X)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SUMIF(Juin!$A:$A,'p&amp;l Juin'!D50,Juin!$AB:$AB)</f>
        <v>-0.498</v>
      </c>
      <c r="F50" s="316">
        <f>SUMIF(Fev!$A:$A,'p&amp;l Juin'!D50,Fev!$X:$X)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SUMIF(Juin!$A:$A,'p&amp;l Juin'!D51,Juin!$AB:$AB)</f>
        <v>-31.247999999999998</v>
      </c>
      <c r="F51" s="316">
        <f>SUMIF(Fev!$A:$A,'p&amp;l Juin'!D51,Fev!$X:$X)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812</v>
      </c>
      <c r="E52" s="327">
        <f>SUMIF(Juin!$A:$A,'p&amp;l Juin'!D52,Juin!$AB:$AB)</f>
        <v>0</v>
      </c>
      <c r="F52" s="316">
        <f>SUMIF(Fev!$A:$A,'p&amp;l Juin'!D52,Fev!$X:$X)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SUMIF(Juin!$A:$A,'p&amp;l Juin'!D53,Juin!$AB:$AB)</f>
        <v>0</v>
      </c>
      <c r="F53" s="316">
        <f>SUMIF(Fev!$A:$A,'p&amp;l Juin'!D53,Fev!$X:$X)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SUMIF(Juin!$A:$A,'p&amp;l Juin'!D54,Juin!$AB:$AB)</f>
        <v>-11.500000000000021</v>
      </c>
      <c r="F54" s="316">
        <f>SUMIF(Fev!$A:$A,'p&amp;l Juin'!D54,Fev!$X:$X)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-125.41345807853364</v>
      </c>
      <c r="F55" s="317">
        <f>SUMIF(Fev!$A:$A,'p&amp;l Juin'!D55,Fev!$X:$X)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SUMIF(Juin!$A:$A,'p&amp;l Juin'!D57,Juin!$AB:$AB)</f>
        <v>-2.516</v>
      </c>
      <c r="F57" s="316">
        <f>SUMIF(Fev!$A:$A,'p&amp;l Juin'!D57,Fev!$X:$X)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SUMIF(Juin!$A:$A,'p&amp;l Juin'!D58,Juin!$AB:$AB)</f>
        <v>-1.9999999999999978</v>
      </c>
      <c r="F58" s="316">
        <f>SUMIF(Fev!$A:$A,'p&amp;l Juin'!D58,Fev!$X:$X)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SUMIF(Juin!$A:$A,'p&amp;l Juin'!D59,Juin!$AB:$AB)</f>
        <v>-4.0427900000000001</v>
      </c>
      <c r="F59" s="316">
        <f>SUMIF(Fev!$A:$A,'p&amp;l Juin'!D59,Fev!$X:$X)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SUMIF(Juin!$A:$A,'p&amp;l Juin'!D60,Juin!$AB:$AB)</f>
        <v>-1.4681</v>
      </c>
      <c r="F60" s="316">
        <f>SUMIF(Fev!$A:$A,'p&amp;l Juin'!D60,Fev!$X:$X)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SUMIF(Juin!$A:$A,'p&amp;l Juin'!D61,Juin!$AB:$AB)</f>
        <v>0</v>
      </c>
      <c r="F61" s="316">
        <f>SUMIF(Fev!$A:$A,'p&amp;l Juin'!D61,Fev!$X:$X)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-10.026889999999998</v>
      </c>
      <c r="F62" s="317">
        <f>SUMIF(Fev!$A:$A,'p&amp;l Juin'!D62,Fev!$X:$X)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SUMIF(Juin!$A:$U,'p&amp;l Juin'!D64,Juin!$U:$U)</f>
        <v>-23.501999999999999</v>
      </c>
      <c r="F64" s="316">
        <f>SUMIF(Fev!$A:$A,'p&amp;l Juin'!D64,Fev!$X:$X)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-23.501999999999999</v>
      </c>
      <c r="F65" s="317">
        <f>SUMIF(Fev!$A:$A,'p&amp;l Juin'!D65,Fev!$X:$X)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SUMIF(Juin!$A:$A,'p&amp;l Juin'!D67,Juin!$AB:$AB)</f>
        <v>0.74990999999999985</v>
      </c>
      <c r="F67" s="316">
        <f>SUMIF(Fev!$A:$A,'p&amp;l Juin'!D67,Fev!$X:$X)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0.74990999999999985</v>
      </c>
      <c r="F68" s="317">
        <f>SUMIF(Fev!$A:$A,'p&amp;l Juin'!D68,Fev!$X:$X)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-2445.9046767360533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-133.36266340272323</v>
      </c>
    </row>
    <row r="74" spans="1:8" x14ac:dyDescent="0.25">
      <c r="D74" t="s">
        <v>762</v>
      </c>
      <c r="E74" s="331">
        <f>Juin!AB205</f>
        <v>93.404077499727407</v>
      </c>
    </row>
    <row r="75" spans="1:8" x14ac:dyDescent="0.25">
      <c r="D75" s="315" t="s">
        <v>763</v>
      </c>
      <c r="E75" s="319">
        <f ca="1">E73-E74</f>
        <v>-226.76674090245064</v>
      </c>
    </row>
  </sheetData>
  <dataValidations disablePrompts="1"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D219"/>
  <sheetViews>
    <sheetView showGridLines="0" topLeftCell="B1" workbookViewId="0">
      <selection activeCell="AB6" sqref="AB6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814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2598608.01333333/1000</f>
        <v>2598.6080133333298</v>
      </c>
      <c r="V6" s="440"/>
      <c r="W6" s="440"/>
      <c r="X6" s="440"/>
      <c r="Y6" s="440">
        <f>2598608.01333333/1000</f>
        <v>2598.6080133333298</v>
      </c>
      <c r="Z6" s="440"/>
      <c r="AA6" s="440"/>
      <c r="AB6" s="440">
        <f>2598608.01333333/1000</f>
        <v>2598.6080133333298</v>
      </c>
      <c r="AC6" s="355"/>
      <c r="AD6" s="334"/>
    </row>
    <row r="7" spans="1:30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-1382.9716799999994</v>
      </c>
      <c r="V9" s="362">
        <v>3.7820600000000004</v>
      </c>
      <c r="W9" s="362"/>
      <c r="X9" s="351">
        <v>-1.7420000000000002</v>
      </c>
      <c r="Y9" s="363">
        <v>-1380.9316199999994</v>
      </c>
      <c r="Z9" s="363"/>
      <c r="AA9" s="363"/>
      <c r="AB9" s="363">
        <v>-1380.9316199999994</v>
      </c>
      <c r="AC9" s="355"/>
      <c r="AD9" s="485"/>
    </row>
    <row r="10" spans="1:30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-590.61392999999987</v>
      </c>
      <c r="V10" s="362">
        <v>1.78914</v>
      </c>
      <c r="W10" s="362"/>
      <c r="X10" s="351">
        <v>-0.78390000000000015</v>
      </c>
      <c r="Y10" s="363">
        <v>-589.60868999999991</v>
      </c>
      <c r="Z10" s="363"/>
      <c r="AA10" s="363"/>
      <c r="AB10" s="363">
        <v>-589.60868999999991</v>
      </c>
      <c r="AC10" s="355"/>
      <c r="AD10" s="485"/>
    </row>
    <row r="11" spans="1:30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21.875</v>
      </c>
      <c r="W11" s="362"/>
      <c r="X11" s="351"/>
      <c r="Y11" s="363">
        <v>21.875</v>
      </c>
      <c r="Z11" s="363"/>
      <c r="AA11" s="363"/>
      <c r="AB11" s="363">
        <v>21.875</v>
      </c>
      <c r="AC11" s="355"/>
      <c r="AD11" s="366" t="s">
        <v>783</v>
      </c>
    </row>
    <row r="12" spans="1:30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9.84375</v>
      </c>
      <c r="W12" s="362"/>
      <c r="X12" s="351"/>
      <c r="Y12" s="363">
        <v>9.84375</v>
      </c>
      <c r="Z12" s="363"/>
      <c r="AA12" s="363"/>
      <c r="AB12" s="363">
        <v>9.84375</v>
      </c>
      <c r="AC12" s="355"/>
      <c r="AD12" s="366" t="s">
        <v>783</v>
      </c>
    </row>
    <row r="13" spans="1:30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 t="shared" ref="AB13:AB46" si="0">SUM(Y13:AA13)</f>
        <v>0</v>
      </c>
      <c r="AC13" s="355"/>
      <c r="AD13" s="334"/>
    </row>
    <row r="14" spans="1:30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 t="shared" si="0"/>
        <v>0</v>
      </c>
      <c r="AC14" s="355"/>
      <c r="AD14" s="334"/>
    </row>
    <row r="15" spans="1:30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f t="shared" si="0"/>
        <v>6.2080000000000002</v>
      </c>
      <c r="AC15" s="355"/>
      <c r="AD15" s="334"/>
    </row>
    <row r="16" spans="1:30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f t="shared" si="0"/>
        <v>2.9798399999999998</v>
      </c>
      <c r="AC16" s="355"/>
      <c r="AD16" s="334"/>
    </row>
    <row r="17" spans="1:30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f t="shared" si="0"/>
        <v>1.762</v>
      </c>
      <c r="AC17" s="355"/>
      <c r="AD17" s="334"/>
    </row>
    <row r="18" spans="1:30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v>0.79290000000000005</v>
      </c>
      <c r="AC18" s="355"/>
      <c r="AD18" s="334"/>
    </row>
    <row r="19" spans="1:30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-1.6170000000000009</v>
      </c>
      <c r="V19" s="362"/>
      <c r="W19" s="362"/>
      <c r="X19" s="362"/>
      <c r="Y19" s="363">
        <v>-1.6170000000000009</v>
      </c>
      <c r="Z19" s="363"/>
      <c r="AA19" s="363"/>
      <c r="AB19" s="363">
        <v>-1.6170000000000009</v>
      </c>
      <c r="AC19" s="355"/>
      <c r="AD19" s="334"/>
    </row>
    <row r="20" spans="1:30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>
        <v>-0.48299999999999998</v>
      </c>
      <c r="V20" s="362"/>
      <c r="W20" s="362"/>
      <c r="X20" s="362"/>
      <c r="Y20" s="363">
        <v>-0.48299999999999998</v>
      </c>
      <c r="Z20" s="363"/>
      <c r="AA20" s="363"/>
      <c r="AB20" s="363">
        <v>-0.48299999999999998</v>
      </c>
      <c r="AC20" s="355"/>
      <c r="AD20" s="334" t="s">
        <v>134</v>
      </c>
    </row>
    <row r="21" spans="1:30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 t="shared" si="0"/>
        <v>0</v>
      </c>
      <c r="AC21" s="355"/>
      <c r="AD21" s="334"/>
    </row>
    <row r="22" spans="1:30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 t="shared" si="0"/>
        <v>-8.75</v>
      </c>
      <c r="AC22" s="355"/>
      <c r="AD22" s="334"/>
    </row>
    <row r="23" spans="1:30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 t="shared" si="0"/>
        <v>0</v>
      </c>
      <c r="AC23" s="355"/>
      <c r="AD23" s="334"/>
    </row>
    <row r="24" spans="1:30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-42.753999999999998</v>
      </c>
      <c r="V24" s="362"/>
      <c r="W24" s="362"/>
      <c r="X24" s="362"/>
      <c r="Y24" s="363">
        <v>-42.753999999999998</v>
      </c>
      <c r="Z24" s="363"/>
      <c r="AA24" s="363"/>
      <c r="AB24" s="363">
        <v>-42.753999999999998</v>
      </c>
      <c r="AC24" s="355"/>
      <c r="AD24" s="369"/>
    </row>
    <row r="25" spans="1:30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-8.7680000000000007</v>
      </c>
      <c r="V25" s="362"/>
      <c r="W25" s="362"/>
      <c r="X25" s="362"/>
      <c r="Y25" s="363">
        <v>-8.7680000000000007</v>
      </c>
      <c r="Z25" s="363"/>
      <c r="AA25" s="363"/>
      <c r="AB25" s="363">
        <v>-8.7680000000000007</v>
      </c>
      <c r="AC25" s="355"/>
      <c r="AD25" s="334"/>
    </row>
    <row r="26" spans="1:30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-23.157</v>
      </c>
      <c r="V26" s="362"/>
      <c r="W26" s="362"/>
      <c r="X26" s="362">
        <v>0</v>
      </c>
      <c r="Y26" s="363">
        <v>-23.157</v>
      </c>
      <c r="Z26" s="363"/>
      <c r="AA26" s="363"/>
      <c r="AB26" s="363">
        <v>-23.157</v>
      </c>
      <c r="AC26" s="355"/>
      <c r="AD26" s="334"/>
    </row>
    <row r="27" spans="1:30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-4.3979999999999997</v>
      </c>
      <c r="V27" s="362"/>
      <c r="W27" s="362"/>
      <c r="X27" s="362"/>
      <c r="Y27" s="363">
        <v>-4.3979999999999997</v>
      </c>
      <c r="Z27" s="363"/>
      <c r="AA27" s="363"/>
      <c r="AB27" s="363">
        <v>-4.3979999999999997</v>
      </c>
      <c r="AC27" s="355"/>
      <c r="AD27" s="334"/>
    </row>
    <row r="28" spans="1:30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/>
      <c r="Y28" s="363">
        <f t="shared" ref="Y28" si="1">SUM(U28:X28)</f>
        <v>0</v>
      </c>
      <c r="Z28" s="363"/>
      <c r="AA28" s="363"/>
      <c r="AB28" s="363">
        <f t="shared" si="0"/>
        <v>0</v>
      </c>
      <c r="AC28" s="355"/>
      <c r="AD28" s="334"/>
    </row>
    <row r="29" spans="1:30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0.74000000000000021</v>
      </c>
      <c r="V29" s="362"/>
      <c r="W29" s="362"/>
      <c r="X29" s="362"/>
      <c r="Y29" s="363">
        <v>0.74000000000000021</v>
      </c>
      <c r="Z29" s="363"/>
      <c r="AA29" s="363"/>
      <c r="AB29" s="363">
        <v>0.74000000000000021</v>
      </c>
      <c r="AC29" s="355"/>
      <c r="AD29" s="334"/>
    </row>
    <row r="30" spans="1:30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-26.14087</v>
      </c>
      <c r="V30" s="362"/>
      <c r="W30" s="362"/>
      <c r="X30" s="363"/>
      <c r="Y30" s="363">
        <v>-26.14087</v>
      </c>
      <c r="Z30" s="363"/>
      <c r="AA30" s="363"/>
      <c r="AB30" s="363">
        <v>-26.14087</v>
      </c>
      <c r="AC30" s="355"/>
      <c r="AD30" s="334"/>
    </row>
    <row r="31" spans="1:30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-56.573000000000008</v>
      </c>
      <c r="V31" s="362"/>
      <c r="W31" s="362"/>
      <c r="X31" s="362"/>
      <c r="Y31" s="363">
        <v>-56.573000000000008</v>
      </c>
      <c r="Z31" s="363"/>
      <c r="AA31" s="363"/>
      <c r="AB31" s="363">
        <v>-56.573000000000008</v>
      </c>
      <c r="AC31" s="355"/>
      <c r="AD31" s="334"/>
    </row>
    <row r="32" spans="1:30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 t="shared" si="0"/>
        <v>0</v>
      </c>
      <c r="AC32" s="355"/>
      <c r="AD32" s="334"/>
    </row>
    <row r="33" spans="1:30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 t="shared" si="0"/>
        <v>0</v>
      </c>
      <c r="AC33" s="355"/>
      <c r="AD33" s="334"/>
    </row>
    <row r="34" spans="1:30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>
        <v>-8.9700000000000006</v>
      </c>
      <c r="V34" s="362"/>
      <c r="W34" s="362"/>
      <c r="X34" s="362">
        <v>-4.4850000000000003</v>
      </c>
      <c r="Y34" s="363">
        <v>-13.455000000000002</v>
      </c>
      <c r="Z34" s="363"/>
      <c r="AA34" s="363"/>
      <c r="AB34" s="363">
        <v>-13.455000000000002</v>
      </c>
      <c r="AC34" s="355"/>
      <c r="AD34" s="334"/>
    </row>
    <row r="35" spans="1:30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 t="shared" si="0"/>
        <v>0</v>
      </c>
      <c r="AC35" s="355"/>
      <c r="AD35" s="334"/>
    </row>
    <row r="36" spans="1:30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 t="shared" si="0"/>
        <v>0</v>
      </c>
      <c r="AC36" s="355"/>
      <c r="AD36" s="334"/>
    </row>
    <row r="37" spans="1:30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-25.006180000000004</v>
      </c>
      <c r="V37" s="351"/>
      <c r="W37" s="351"/>
      <c r="X37" s="351">
        <v>0</v>
      </c>
      <c r="Y37" s="363">
        <v>-25.006180000000004</v>
      </c>
      <c r="Z37" s="363"/>
      <c r="AA37" s="363"/>
      <c r="AB37" s="363">
        <v>-25.006180000000004</v>
      </c>
      <c r="AC37" s="355"/>
      <c r="AD37" s="334"/>
    </row>
    <row r="38" spans="1:30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-18.74034</v>
      </c>
      <c r="V38" s="351"/>
      <c r="W38" s="351"/>
      <c r="X38" s="351">
        <v>0</v>
      </c>
      <c r="Y38" s="363"/>
      <c r="Z38" s="363"/>
      <c r="AA38" s="363"/>
      <c r="AB38" s="363">
        <f t="shared" si="0"/>
        <v>0</v>
      </c>
      <c r="AC38" s="350"/>
    </row>
    <row r="39" spans="1:30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-2.54481</v>
      </c>
      <c r="V39" s="351"/>
      <c r="W39" s="351"/>
      <c r="X39" s="351">
        <v>0</v>
      </c>
      <c r="Y39" s="363"/>
      <c r="Z39" s="363"/>
      <c r="AA39" s="363"/>
      <c r="AB39" s="363">
        <f t="shared" si="0"/>
        <v>0</v>
      </c>
      <c r="AC39" s="350"/>
    </row>
    <row r="40" spans="1:30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-1.8104100000000001</v>
      </c>
      <c r="V40" s="362"/>
      <c r="W40" s="351"/>
      <c r="X40" s="351">
        <v>0</v>
      </c>
      <c r="Y40" s="363"/>
      <c r="Z40" s="363"/>
      <c r="AA40" s="363"/>
      <c r="AB40" s="363">
        <f t="shared" si="0"/>
        <v>0</v>
      </c>
      <c r="AC40" s="350"/>
      <c r="AD40" s="334" t="s">
        <v>134</v>
      </c>
    </row>
    <row r="41" spans="1:30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-1.91062</v>
      </c>
      <c r="V41" s="362"/>
      <c r="W41" s="362"/>
      <c r="X41" s="351"/>
      <c r="Y41" s="363"/>
      <c r="Z41" s="363"/>
      <c r="AA41" s="363"/>
      <c r="AB41" s="363">
        <f t="shared" si="0"/>
        <v>0</v>
      </c>
      <c r="AC41" s="350"/>
    </row>
    <row r="42" spans="1:30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-7.1400000000000006</v>
      </c>
      <c r="V42" s="362"/>
      <c r="W42" s="362"/>
      <c r="X42" s="351">
        <v>0</v>
      </c>
      <c r="Y42" s="363">
        <v>-7.1400000000000006</v>
      </c>
      <c r="Z42" s="363"/>
      <c r="AA42" s="363"/>
      <c r="AB42" s="363">
        <v>-7.1400000000000006</v>
      </c>
      <c r="AC42" s="355"/>
      <c r="AD42" s="334"/>
    </row>
    <row r="43" spans="1:30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f t="shared" si="0"/>
        <v>0</v>
      </c>
      <c r="AC43" s="355"/>
      <c r="AD43" s="334"/>
    </row>
    <row r="44" spans="1:30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-3.3689999999999998</v>
      </c>
      <c r="V44" s="351"/>
      <c r="W44" s="351"/>
      <c r="X44" s="351"/>
      <c r="Y44" s="363">
        <v>-3.3689999999999998</v>
      </c>
      <c r="Z44" s="363"/>
      <c r="AA44" s="363"/>
      <c r="AB44" s="363">
        <v>-3.3689999999999998</v>
      </c>
      <c r="AC44" s="350"/>
    </row>
    <row r="45" spans="1:30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>
        <v>-1.0069999999999999</v>
      </c>
      <c r="V45" s="351"/>
      <c r="W45" s="351"/>
      <c r="X45" s="351"/>
      <c r="Y45" s="363">
        <v>-1.0069999999999999</v>
      </c>
      <c r="Z45" s="363"/>
      <c r="AA45" s="363"/>
      <c r="AB45" s="363">
        <v>-1.0069999999999999</v>
      </c>
      <c r="AC45" s="350"/>
      <c r="AD45" s="334" t="s">
        <v>134</v>
      </c>
    </row>
    <row r="46" spans="1:30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 t="shared" si="0"/>
        <v>0</v>
      </c>
      <c r="AC46" s="377"/>
      <c r="AD46" s="334"/>
    </row>
    <row r="47" spans="1:30" s="342" customFormat="1" x14ac:dyDescent="0.2">
      <c r="A47" s="321">
        <f>IFERROR(VLOOKUP(B47,mapping_one_neo!A:B,2,FALSE),"")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>
        <v>271.3010841966825</v>
      </c>
      <c r="AA47" s="363">
        <v>6.7073170731707404E-2</v>
      </c>
      <c r="AB47" s="363">
        <v>271.3681573674142</v>
      </c>
      <c r="AC47" s="377"/>
      <c r="AD47" s="334"/>
    </row>
    <row r="48" spans="1:30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SUM(U9:U37,U42,U44:U45)</f>
        <v>-2190.1857599999994</v>
      </c>
      <c r="V49" s="383">
        <f>SUM(V8:V20)</f>
        <v>48.239790000000006</v>
      </c>
      <c r="W49" s="383">
        <v>0</v>
      </c>
      <c r="X49" s="383">
        <f>SUM(X8:X47)</f>
        <v>-7.0109000000000012</v>
      </c>
      <c r="Y49" s="383">
        <f>SUM(Y8:Y47)</f>
        <v>-2148.9568699999991</v>
      </c>
      <c r="Z49" s="383">
        <f ca="1">SUM(Z47:Z49)</f>
        <v>16820938.521270212</v>
      </c>
      <c r="AA49" s="383">
        <f ca="1">SUM(AA47:AA49)</f>
        <v>4429.837669565637</v>
      </c>
      <c r="AB49" s="444">
        <f>SUM(AB9:AB37,AB42,AB44:AB47)</f>
        <v>-1877.5887126325849</v>
      </c>
      <c r="AC49" s="377"/>
      <c r="AD49" s="382" t="s">
        <v>134</v>
      </c>
    </row>
    <row r="50" spans="1:30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-116.66900000000001</v>
      </c>
      <c r="V52" s="362"/>
      <c r="W52" s="362"/>
      <c r="X52" s="362"/>
      <c r="Y52" s="363">
        <v>-116.66900000000001</v>
      </c>
      <c r="Z52" s="363"/>
      <c r="AA52" s="363"/>
      <c r="AB52" s="363">
        <v>-116.66900000000001</v>
      </c>
      <c r="AC52" s="355"/>
      <c r="AD52" s="334"/>
    </row>
    <row r="53" spans="1:30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-28</v>
      </c>
      <c r="V53" s="362"/>
      <c r="W53" s="362"/>
      <c r="X53" s="362"/>
      <c r="Y53" s="363">
        <v>-28</v>
      </c>
      <c r="Z53" s="363"/>
      <c r="AA53" s="363"/>
      <c r="AB53" s="363">
        <v>-28</v>
      </c>
      <c r="AC53" s="355"/>
      <c r="AD53" s="334"/>
    </row>
    <row r="54" spans="1:30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-16.918999999999997</v>
      </c>
      <c r="V54" s="362"/>
      <c r="W54" s="362"/>
      <c r="X54" s="362"/>
      <c r="Y54" s="363">
        <v>-16.918999999999997</v>
      </c>
      <c r="Z54" s="363"/>
      <c r="AA54" s="363"/>
      <c r="AB54" s="363">
        <v>-16.918999999999997</v>
      </c>
      <c r="AC54" s="355"/>
      <c r="AD54" s="334"/>
    </row>
    <row r="55" spans="1:30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-1.59053</v>
      </c>
      <c r="V55" s="362"/>
      <c r="W55" s="362"/>
      <c r="X55" s="362"/>
      <c r="Y55" s="363">
        <v>-1.59053</v>
      </c>
      <c r="Z55" s="363"/>
      <c r="AA55" s="363"/>
      <c r="AB55" s="363">
        <v>-1.59053</v>
      </c>
      <c r="AC55" s="355"/>
      <c r="AD55" s="334" t="s">
        <v>134</v>
      </c>
    </row>
    <row r="56" spans="1:30" s="352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>
        <v>23.110341342479909</v>
      </c>
      <c r="AA56" s="363">
        <v>2.317073170731708</v>
      </c>
      <c r="AB56" s="363">
        <f t="shared" ref="AB56" si="2">SUM(Y56:AA56)</f>
        <v>25.427414513211616</v>
      </c>
      <c r="AC56" s="355"/>
      <c r="AD56" s="334"/>
    </row>
    <row r="57" spans="1:30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>
        <v>0</v>
      </c>
      <c r="AC57" s="355"/>
      <c r="AD57" s="334"/>
    </row>
    <row r="58" spans="1:30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-163.17853000000002</v>
      </c>
      <c r="V58" s="354">
        <v>0</v>
      </c>
      <c r="W58" s="354">
        <v>0</v>
      </c>
      <c r="X58" s="354"/>
      <c r="Y58" s="357">
        <f>SUM(Y52:Y57)</f>
        <v>-163.17853000000002</v>
      </c>
      <c r="Z58" s="357">
        <f>SUM(Z52:Z57)</f>
        <v>23.110341342479909</v>
      </c>
      <c r="AA58" s="357">
        <f>SUM(AA52:AA57)</f>
        <v>2.317073170731708</v>
      </c>
      <c r="AB58" s="357">
        <f>SUM(AB52:AB57)</f>
        <v>-137.75111548678842</v>
      </c>
      <c r="AC58" s="355"/>
      <c r="AD58" s="334"/>
    </row>
    <row r="59" spans="1:30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-8.13551</v>
      </c>
      <c r="V62" s="351">
        <v>-14.62819</v>
      </c>
      <c r="W62" s="351"/>
      <c r="X62" s="351">
        <v>1.4670000000000001</v>
      </c>
      <c r="Y62" s="363">
        <v>-21.296700000000001</v>
      </c>
      <c r="Z62" s="363"/>
      <c r="AA62" s="363"/>
      <c r="AB62" s="363">
        <v>-21.296700000000001</v>
      </c>
      <c r="AC62" s="355"/>
      <c r="AD62" s="334"/>
    </row>
    <row r="63" spans="1:30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-84.513949999999994</v>
      </c>
      <c r="W63" s="351"/>
      <c r="X63" s="351"/>
      <c r="Y63" s="363">
        <v>-84.513949999999994</v>
      </c>
      <c r="Z63" s="363"/>
      <c r="AA63" s="363"/>
      <c r="AB63" s="363">
        <v>-84.513949999999994</v>
      </c>
      <c r="AC63" s="355"/>
      <c r="AD63" s="334"/>
    </row>
    <row r="64" spans="1:30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-6.7690000000000001</v>
      </c>
      <c r="V64" s="351"/>
      <c r="W64" s="351"/>
      <c r="X64" s="351">
        <v>0</v>
      </c>
      <c r="Y64" s="363">
        <v>-6.7690000000000001</v>
      </c>
      <c r="Z64" s="363"/>
      <c r="AA64" s="363"/>
      <c r="AB64" s="363">
        <v>-6.7690000000000001</v>
      </c>
      <c r="AC64" s="355"/>
      <c r="AD64" s="334"/>
    </row>
    <row r="65" spans="1:30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-1.3440000000000001</v>
      </c>
      <c r="V65" s="351"/>
      <c r="W65" s="351"/>
      <c r="X65" s="351">
        <v>0</v>
      </c>
      <c r="Y65" s="363">
        <v>-1.3440000000000001</v>
      </c>
      <c r="Z65" s="363"/>
      <c r="AA65" s="363"/>
      <c r="AB65" s="363">
        <v>-1.3440000000000001</v>
      </c>
      <c r="AC65" s="355"/>
      <c r="AD65" s="334"/>
    </row>
    <row r="66" spans="1:30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>
        <v>0</v>
      </c>
      <c r="AC66" s="355"/>
      <c r="AD66" s="334"/>
    </row>
    <row r="67" spans="1:30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-2.79575</v>
      </c>
      <c r="V67" s="351"/>
      <c r="W67" s="351"/>
      <c r="X67" s="351">
        <v>0</v>
      </c>
      <c r="Y67" s="363">
        <v>-2.79575</v>
      </c>
      <c r="Z67" s="363"/>
      <c r="AA67" s="363"/>
      <c r="AB67" s="363">
        <v>-2.79575</v>
      </c>
      <c r="AC67" s="355"/>
      <c r="AD67" s="334"/>
    </row>
    <row r="68" spans="1:30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-4.2867600000000001</v>
      </c>
      <c r="V68" s="351"/>
      <c r="W68" s="351"/>
      <c r="X68" s="351">
        <v>0.8</v>
      </c>
      <c r="Y68" s="363">
        <v>-3.4867600000000003</v>
      </c>
      <c r="Z68" s="363"/>
      <c r="AA68" s="363"/>
      <c r="AB68" s="363">
        <v>-3.4867600000000003</v>
      </c>
      <c r="AC68" s="355"/>
      <c r="AD68" s="334"/>
    </row>
    <row r="69" spans="1:30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-1.2550199999999991</v>
      </c>
      <c r="V69" s="351"/>
      <c r="W69" s="351"/>
      <c r="X69" s="351"/>
      <c r="Y69" s="363">
        <v>-1.2550199999999991</v>
      </c>
      <c r="Z69" s="363"/>
      <c r="AA69" s="363"/>
      <c r="AB69" s="363">
        <v>-1.2550199999999991</v>
      </c>
      <c r="AC69" s="355"/>
      <c r="AD69" s="334"/>
    </row>
    <row r="70" spans="1:30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-7.875</v>
      </c>
      <c r="V70" s="351"/>
      <c r="W70" s="351"/>
      <c r="X70" s="351"/>
      <c r="Y70" s="363">
        <v>-7.875</v>
      </c>
      <c r="Z70" s="363"/>
      <c r="AA70" s="363"/>
      <c r="AB70" s="363">
        <v>-7.875</v>
      </c>
      <c r="AC70" s="355"/>
      <c r="AD70" s="334"/>
    </row>
    <row r="71" spans="1:30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-32.461039999999997</v>
      </c>
      <c r="V72" s="393">
        <f t="shared" ref="V72:AB72" si="3">SUM(V62:V71)</f>
        <v>-99.142139999999998</v>
      </c>
      <c r="W72" s="393">
        <f t="shared" si="3"/>
        <v>0</v>
      </c>
      <c r="X72" s="393">
        <f t="shared" si="3"/>
        <v>2.2670000000000003</v>
      </c>
      <c r="Y72" s="395">
        <f t="shared" si="3"/>
        <v>-129.33618000000001</v>
      </c>
      <c r="Z72" s="395">
        <f t="shared" si="3"/>
        <v>0</v>
      </c>
      <c r="AA72" s="395">
        <f t="shared" si="3"/>
        <v>0</v>
      </c>
      <c r="AB72" s="395">
        <f t="shared" si="3"/>
        <v>-129.33618000000001</v>
      </c>
      <c r="AC72" s="394"/>
      <c r="AD72" s="334"/>
    </row>
    <row r="73" spans="1:30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-12.564169999999999</v>
      </c>
      <c r="V75" s="351"/>
      <c r="W75" s="351"/>
      <c r="X75" s="351"/>
      <c r="Y75" s="363">
        <v>-12.564169999999999</v>
      </c>
      <c r="Z75" s="363"/>
      <c r="AA75" s="363"/>
      <c r="AB75" s="363">
        <f>SUM(Y75:AA75)</f>
        <v>-12.564169999999999</v>
      </c>
      <c r="AC75" s="355" t="s">
        <v>134</v>
      </c>
      <c r="AD75" s="334"/>
    </row>
    <row r="76" spans="1:30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-6.7467499999999996</v>
      </c>
      <c r="V76" s="351"/>
      <c r="W76" s="351"/>
      <c r="X76" s="351"/>
      <c r="Y76" s="363">
        <v>-6.7467499999999996</v>
      </c>
      <c r="Z76" s="363"/>
      <c r="AA76" s="363"/>
      <c r="AB76" s="363">
        <f t="shared" ref="AB76:AB78" si="4">SUM(Y76:AA76)</f>
        <v>-6.7467499999999996</v>
      </c>
      <c r="AC76" s="355"/>
      <c r="AD76" s="334"/>
    </row>
    <row r="77" spans="1:30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-5.6593200000000001</v>
      </c>
      <c r="V77" s="351"/>
      <c r="W77" s="351"/>
      <c r="X77" s="351"/>
      <c r="Y77" s="363">
        <v>-5.6593200000000001</v>
      </c>
      <c r="Z77" s="363"/>
      <c r="AA77" s="363"/>
      <c r="AB77" s="363">
        <f t="shared" si="4"/>
        <v>-5.6593200000000001</v>
      </c>
      <c r="AC77" s="355"/>
      <c r="AD77" s="334"/>
    </row>
    <row r="78" spans="1:30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-4.3679399999999999</v>
      </c>
      <c r="V78" s="351"/>
      <c r="W78" s="351"/>
      <c r="X78" s="351">
        <v>0</v>
      </c>
      <c r="Y78" s="363">
        <v>-4.3679399999999999</v>
      </c>
      <c r="Z78" s="363"/>
      <c r="AA78" s="363"/>
      <c r="AB78" s="363">
        <f t="shared" si="4"/>
        <v>-4.3679399999999999</v>
      </c>
      <c r="AC78" s="355"/>
      <c r="AD78" s="334"/>
    </row>
    <row r="79" spans="1:30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-29.338180000000001</v>
      </c>
      <c r="V79" s="393">
        <f t="shared" ref="V79:AB79" si="5">SUM(V75:V78)</f>
        <v>0</v>
      </c>
      <c r="W79" s="393">
        <f t="shared" si="5"/>
        <v>0</v>
      </c>
      <c r="X79" s="393">
        <f t="shared" si="5"/>
        <v>0</v>
      </c>
      <c r="Y79" s="393">
        <f t="shared" si="5"/>
        <v>-29.338180000000001</v>
      </c>
      <c r="Z79" s="393">
        <f t="shared" si="5"/>
        <v>0</v>
      </c>
      <c r="AA79" s="393">
        <f t="shared" si="5"/>
        <v>0</v>
      </c>
      <c r="AB79" s="393">
        <f t="shared" si="5"/>
        <v>-29.338180000000001</v>
      </c>
      <c r="AC79" s="394"/>
      <c r="AD79" s="334"/>
    </row>
    <row r="80" spans="1:30" s="387" customFormat="1" x14ac:dyDescent="0.2">
      <c r="A80" s="320"/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387" customFormat="1" x14ac:dyDescent="0.2">
      <c r="A81" s="320"/>
      <c r="B81" s="387" t="s">
        <v>747</v>
      </c>
      <c r="C81" s="392"/>
      <c r="E81" s="39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349"/>
      <c r="T81" s="346"/>
      <c r="U81" s="397"/>
      <c r="V81" s="397"/>
      <c r="W81" s="397"/>
      <c r="X81" s="397"/>
      <c r="Y81" s="397"/>
      <c r="Z81" s="397">
        <v>18.7932279751107</v>
      </c>
      <c r="AA81" s="397"/>
      <c r="AB81" s="397">
        <f>Z81</f>
        <v>18.7932279751107</v>
      </c>
      <c r="AC81" s="394"/>
      <c r="AD81" s="334"/>
    </row>
    <row r="82" spans="1:30" x14ac:dyDescent="0.2">
      <c r="A82" s="320" t="str">
        <f>IFERROR(VLOOKUP(B82,mapping_one_neo!A:B,2,FALSE),"")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-61.799219999999998</v>
      </c>
      <c r="V83" s="354">
        <f t="shared" ref="V83:AA83" si="6">V72+V79</f>
        <v>-99.142139999999998</v>
      </c>
      <c r="W83" s="354">
        <f t="shared" si="6"/>
        <v>0</v>
      </c>
      <c r="X83" s="354">
        <f t="shared" si="6"/>
        <v>2.2670000000000003</v>
      </c>
      <c r="Y83" s="354">
        <f t="shared" si="6"/>
        <v>-158.67436000000001</v>
      </c>
      <c r="Z83" s="354">
        <f>Z81</f>
        <v>18.7932279751107</v>
      </c>
      <c r="AA83" s="354">
        <f t="shared" si="6"/>
        <v>0</v>
      </c>
      <c r="AB83" s="354">
        <f>AB72+AB79+AB81</f>
        <v>-139.8811320248893</v>
      </c>
      <c r="AC83" s="350"/>
    </row>
    <row r="84" spans="1:30" x14ac:dyDescent="0.2">
      <c r="A84" s="320" t="str">
        <f>IFERROR(VLOOKUP(B84,mapping_one_neo!A:B,2,FALSE),"")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/>
      <c r="V87" s="351"/>
      <c r="W87" s="351"/>
      <c r="X87" s="351"/>
      <c r="Y87" s="363"/>
      <c r="Z87" s="363"/>
      <c r="AA87" s="363"/>
      <c r="AB87" s="363"/>
      <c r="AC87" s="355"/>
      <c r="AD87" s="334"/>
    </row>
    <row r="88" spans="1:30" s="352" customFormat="1" x14ac:dyDescent="0.2">
      <c r="A88" s="320" t="str">
        <f>IFERROR(VLOOKUP(B88,mapping_one_neo!A:B,2,FALSE),"")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/>
      <c r="V88" s="351"/>
      <c r="W88" s="351"/>
      <c r="X88" s="351"/>
      <c r="Y88" s="363"/>
      <c r="Z88" s="363"/>
      <c r="AA88" s="363"/>
      <c r="AB88" s="363"/>
      <c r="AC88" s="355"/>
      <c r="AD88" s="334"/>
    </row>
    <row r="89" spans="1:30" s="352" customFormat="1" x14ac:dyDescent="0.2">
      <c r="A89" s="320" t="str">
        <f>IFERROR(VLOOKUP(B89,mapping_one_neo!A:B,2,FALSE),"")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-1.6259600000000001</v>
      </c>
      <c r="V89" s="351"/>
      <c r="W89" s="351"/>
      <c r="X89" s="351"/>
      <c r="Y89" s="363">
        <v>-1.6259600000000001</v>
      </c>
      <c r="Z89" s="363"/>
      <c r="AA89" s="363"/>
      <c r="AB89" s="363">
        <f>SUM(Y89:AA89)</f>
        <v>-1.6259600000000001</v>
      </c>
      <c r="AC89" s="355"/>
      <c r="AD89" s="334"/>
    </row>
    <row r="90" spans="1:30" s="387" customFormat="1" x14ac:dyDescent="0.2">
      <c r="A90" s="320">
        <f>IFERROR(VLOOKUP(B90,mapping_one_neo!A:B,2,FALSE),"")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SUM(U88:U89)</f>
        <v>-1.6259600000000001</v>
      </c>
      <c r="V90" s="393">
        <f t="shared" ref="V90:AB90" si="7">SUM(V88:V89)</f>
        <v>0</v>
      </c>
      <c r="W90" s="393">
        <f t="shared" si="7"/>
        <v>0</v>
      </c>
      <c r="X90" s="393">
        <f t="shared" si="7"/>
        <v>0</v>
      </c>
      <c r="Y90" s="395">
        <f t="shared" si="7"/>
        <v>-1.6259600000000001</v>
      </c>
      <c r="Z90" s="395">
        <f t="shared" si="7"/>
        <v>0</v>
      </c>
      <c r="AA90" s="395">
        <f t="shared" si="7"/>
        <v>0</v>
      </c>
      <c r="AB90" s="395">
        <f t="shared" si="7"/>
        <v>-1.6259600000000001</v>
      </c>
      <c r="AC90" s="394"/>
      <c r="AD90" s="334"/>
    </row>
    <row r="91" spans="1:30" x14ac:dyDescent="0.2">
      <c r="A91" s="320" t="str">
        <f>IFERROR(VLOOKUP(B91,mapping_one_neo!A:B,2,FALSE),"")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v>-1.7381199999999999</v>
      </c>
      <c r="V93" s="351"/>
      <c r="W93" s="351"/>
      <c r="X93" s="351">
        <v>0</v>
      </c>
      <c r="Y93" s="363">
        <v>-1.7381199999999999</v>
      </c>
      <c r="Z93" s="363"/>
      <c r="AA93" s="363"/>
      <c r="AB93" s="363">
        <v>-1.7381199999999999</v>
      </c>
      <c r="AC93" s="355"/>
    </row>
    <row r="94" spans="1:30" s="352" customFormat="1" x14ac:dyDescent="0.2">
      <c r="A94" s="320" t="str">
        <f>IFERROR(VLOOKUP(B94,mapping_one_neo!A:B,2,FALSE),"")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/>
      <c r="Y94" s="363">
        <v>0.90203999999999995</v>
      </c>
      <c r="Z94" s="363"/>
      <c r="AA94" s="363"/>
      <c r="AB94" s="363">
        <v>0.90203999999999995</v>
      </c>
      <c r="AC94" s="355"/>
      <c r="AD94" s="334"/>
    </row>
    <row r="95" spans="1:30" s="387" customFormat="1" x14ac:dyDescent="0.2">
      <c r="A95" s="320">
        <f>IFERROR(VLOOKUP(B95,mapping_one_neo!A:B,2,FALSE),"")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-0.83607999999999993</v>
      </c>
      <c r="V95" s="393">
        <f t="shared" ref="V95:AB95" si="8">SUM(V93:V94)</f>
        <v>0</v>
      </c>
      <c r="W95" s="393">
        <f t="shared" si="8"/>
        <v>0</v>
      </c>
      <c r="X95" s="393">
        <f t="shared" si="8"/>
        <v>0</v>
      </c>
      <c r="Y95" s="393">
        <f t="shared" si="8"/>
        <v>-0.83607999999999993</v>
      </c>
      <c r="Z95" s="393">
        <f t="shared" si="8"/>
        <v>0</v>
      </c>
      <c r="AA95" s="393">
        <f t="shared" si="8"/>
        <v>0</v>
      </c>
      <c r="AB95" s="393">
        <f t="shared" si="8"/>
        <v>-0.83607999999999993</v>
      </c>
      <c r="AC95" s="394"/>
      <c r="AD95" s="334"/>
    </row>
    <row r="96" spans="1:30" x14ac:dyDescent="0.2">
      <c r="A96" s="320" t="str">
        <f>IFERROR(VLOOKUP(B96,mapping_one_neo!A:B,2,FALSE),"")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v>-111.63002</v>
      </c>
      <c r="V98" s="362"/>
      <c r="W98" s="362"/>
      <c r="X98" s="351">
        <v>-49.616999999999997</v>
      </c>
      <c r="Y98" s="363">
        <v>-161.24701999999999</v>
      </c>
      <c r="Z98" s="363"/>
      <c r="AA98" s="363"/>
      <c r="AB98" s="363">
        <f>SUM(Y98:AA98)</f>
        <v>-161.24701999999999</v>
      </c>
      <c r="AC98" s="355"/>
      <c r="AD98" s="334"/>
    </row>
    <row r="99" spans="1:30" s="352" customFormat="1" x14ac:dyDescent="0.2">
      <c r="A99" s="320" t="str">
        <f>IFERROR(VLOOKUP(B99,mapping_one_neo!A:B,2,FALSE),"")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-36.168999999999997</v>
      </c>
      <c r="V99" s="362"/>
      <c r="W99" s="362"/>
      <c r="X99" s="362"/>
      <c r="Y99" s="363">
        <v>-36.168999999999997</v>
      </c>
      <c r="Z99" s="363"/>
      <c r="AA99" s="363"/>
      <c r="AB99" s="363">
        <f>SUM(Y99:AA99)</f>
        <v>-36.168999999999997</v>
      </c>
      <c r="AC99" s="355"/>
      <c r="AD99" s="334"/>
    </row>
    <row r="100" spans="1:30" s="387" customFormat="1" x14ac:dyDescent="0.2">
      <c r="A100" s="320">
        <f>IFERROR(VLOOKUP(B100,mapping_one_neo!A:B,2,FALSE),"")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-147.79901999999998</v>
      </c>
      <c r="V100" s="393">
        <f t="shared" ref="V100:AB100" si="9">SUM(V98:V99)</f>
        <v>0</v>
      </c>
      <c r="W100" s="393">
        <f t="shared" si="9"/>
        <v>0</v>
      </c>
      <c r="X100" s="393">
        <f t="shared" si="9"/>
        <v>-49.616999999999997</v>
      </c>
      <c r="Y100" s="393">
        <f t="shared" si="9"/>
        <v>-197.41602</v>
      </c>
      <c r="Z100" s="393">
        <f t="shared" si="9"/>
        <v>0</v>
      </c>
      <c r="AA100" s="393">
        <f t="shared" si="9"/>
        <v>0</v>
      </c>
      <c r="AB100" s="393">
        <f t="shared" si="9"/>
        <v>-197.41602</v>
      </c>
      <c r="AC100" s="394"/>
      <c r="AD100" s="334"/>
    </row>
    <row r="101" spans="1:30" x14ac:dyDescent="0.2">
      <c r="A101" s="320" t="str">
        <f>IFERROR(VLOOKUP(B101,mapping_one_neo!A:B,2,FALSE),"")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x14ac:dyDescent="0.2">
      <c r="A102" s="320">
        <f>IFERROR(VLOOKUP(B102,mapping_one_neo!A:B,2,FALSE),"")</f>
        <v>0</v>
      </c>
      <c r="B102" s="334" t="s">
        <v>70</v>
      </c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349"/>
      <c r="T102" s="346"/>
      <c r="U102" s="351"/>
      <c r="V102" s="351"/>
      <c r="W102" s="351"/>
      <c r="X102" s="351"/>
      <c r="Y102" s="358"/>
      <c r="Z102" s="358">
        <v>35.330654459635603</v>
      </c>
      <c r="AA102" s="358"/>
      <c r="AB102" s="363">
        <v>35.330654459635603</v>
      </c>
      <c r="AC102" s="350"/>
    </row>
    <row r="103" spans="1:30" x14ac:dyDescent="0.2">
      <c r="A103" s="320" t="str">
        <f>IFERROR(VLOOKUP(B103,mapping_one_neo!A:B,2,FALSE),"")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-150.26105999999999</v>
      </c>
      <c r="V104" s="354">
        <f t="shared" ref="V104:AA104" si="10">V95+V100</f>
        <v>0</v>
      </c>
      <c r="W104" s="354">
        <f t="shared" si="10"/>
        <v>0</v>
      </c>
      <c r="X104" s="354">
        <f>X95+X100+X90</f>
        <v>-49.616999999999997</v>
      </c>
      <c r="Y104" s="354">
        <f>Y95+Y100+Y90</f>
        <v>-199.87806</v>
      </c>
      <c r="Z104" s="354">
        <f>Z95+Z100+Z102</f>
        <v>35.330654459635603</v>
      </c>
      <c r="AA104" s="354">
        <f t="shared" si="10"/>
        <v>0</v>
      </c>
      <c r="AB104" s="354">
        <f>AB95+AB100+AB90+AB102</f>
        <v>-164.54740554036439</v>
      </c>
      <c r="AC104" s="350"/>
    </row>
    <row r="105" spans="1:30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-0.76568999999999998</v>
      </c>
      <c r="V109" s="351"/>
      <c r="W109" s="351"/>
      <c r="X109" s="351">
        <v>0</v>
      </c>
      <c r="Y109" s="363">
        <v>-0.76568999999999998</v>
      </c>
      <c r="Z109" s="363"/>
      <c r="AA109" s="363"/>
      <c r="AB109" s="363">
        <f>SUM(Y109:AA109)</f>
        <v>-0.76568999999999998</v>
      </c>
      <c r="AC109" s="355"/>
      <c r="AD109" s="334"/>
    </row>
    <row r="110" spans="1:30" s="352" customFormat="1" x14ac:dyDescent="0.2">
      <c r="A110" s="320" t="str">
        <f>IFERROR(VLOOKUP(B110,mapping_one_neo!A:B,2,FALSE),"")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-1.169</v>
      </c>
      <c r="V110" s="351"/>
      <c r="W110" s="351"/>
      <c r="X110" s="351">
        <v>0</v>
      </c>
      <c r="Y110" s="363">
        <v>-1.169</v>
      </c>
      <c r="Z110" s="363"/>
      <c r="AA110" s="363">
        <v>7.7025672317824492E-2</v>
      </c>
      <c r="AB110" s="363">
        <f t="shared" ref="AB110:AB111" si="11">SUM(Y110:AA110)</f>
        <v>-1.0919743276821756</v>
      </c>
      <c r="AC110" s="355"/>
      <c r="AD110" s="334"/>
    </row>
    <row r="111" spans="1:30" s="352" customFormat="1" x14ac:dyDescent="0.2">
      <c r="A111" s="320" t="str">
        <f>IFERROR(VLOOKUP(B111,mapping_one_neo!A:B,2,FALSE),"")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v>1.173</v>
      </c>
      <c r="Z111" s="363"/>
      <c r="AA111" s="363">
        <v>2.7439024390243892E-2</v>
      </c>
      <c r="AB111" s="363">
        <f t="shared" si="11"/>
        <v>1.2004390243902439</v>
      </c>
      <c r="AC111" s="355"/>
      <c r="AD111" s="334"/>
    </row>
    <row r="112" spans="1:30" s="387" customFormat="1" x14ac:dyDescent="0.2">
      <c r="A112" s="320">
        <f>IFERROR(VLOOKUP(B112,mapping_one_neo!A:B,2,FALSE),"")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-0.76168999999999998</v>
      </c>
      <c r="V112" s="393">
        <f t="shared" ref="V112:AB112" si="12">SUM(V109:V111)</f>
        <v>0</v>
      </c>
      <c r="W112" s="393">
        <f t="shared" si="12"/>
        <v>0</v>
      </c>
      <c r="X112" s="393">
        <f t="shared" si="12"/>
        <v>0</v>
      </c>
      <c r="Y112" s="393">
        <f t="shared" si="12"/>
        <v>-0.76168999999999998</v>
      </c>
      <c r="Z112" s="393">
        <f t="shared" si="12"/>
        <v>0</v>
      </c>
      <c r="AA112" s="393">
        <f t="shared" si="12"/>
        <v>0.10446469670806838</v>
      </c>
      <c r="AB112" s="393">
        <f t="shared" si="12"/>
        <v>-0.65722530329193174</v>
      </c>
      <c r="AC112" s="394"/>
      <c r="AD112" s="334"/>
    </row>
    <row r="113" spans="1:30" s="387" customFormat="1" x14ac:dyDescent="0.2">
      <c r="A113" s="320" t="str">
        <f>IFERROR(VLOOKUP(B113,mapping_one_neo!A:B,2,FALSE),"")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0.37391999999999997</v>
      </c>
      <c r="V115" s="351"/>
      <c r="W115" s="351"/>
      <c r="X115" s="351"/>
      <c r="Y115" s="363">
        <v>0.37391999999999997</v>
      </c>
      <c r="Z115" s="363"/>
      <c r="AA115" s="363"/>
      <c r="AB115" s="363">
        <v>0.37391999999999997</v>
      </c>
      <c r="AC115" s="355"/>
      <c r="AD115" s="334"/>
    </row>
    <row r="116" spans="1:30" s="352" customFormat="1" x14ac:dyDescent="0.2">
      <c r="A116" s="320" t="str">
        <f>IFERROR(VLOOKUP(B116,mapping_one_neo!A:B,2,FALSE),"")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-0.24457000000000001</v>
      </c>
      <c r="V116" s="351"/>
      <c r="W116" s="351"/>
      <c r="X116" s="351"/>
      <c r="Y116" s="363">
        <v>-0.24457000000000001</v>
      </c>
      <c r="Z116" s="363"/>
      <c r="AA116" s="363"/>
      <c r="AB116" s="363">
        <v>-0.24457000000000001</v>
      </c>
      <c r="AC116" s="355"/>
      <c r="AD116" s="334"/>
    </row>
    <row r="117" spans="1:30" s="387" customFormat="1" x14ac:dyDescent="0.2">
      <c r="A117" s="320">
        <f>IFERROR(VLOOKUP(B117,mapping_one_neo!A:B,2,FALSE),"")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0.12934999999999997</v>
      </c>
      <c r="V117" s="424">
        <f t="shared" ref="V117:AA117" si="13">SUM(V116)</f>
        <v>0</v>
      </c>
      <c r="W117" s="424">
        <f t="shared" si="13"/>
        <v>0</v>
      </c>
      <c r="X117" s="424">
        <f>SUM(X115:X116)</f>
        <v>0</v>
      </c>
      <c r="Y117" s="424">
        <f>SUM(Y115:Y116)</f>
        <v>0.12934999999999997</v>
      </c>
      <c r="Z117" s="424">
        <f t="shared" si="13"/>
        <v>0</v>
      </c>
      <c r="AA117" s="424">
        <f t="shared" si="13"/>
        <v>0</v>
      </c>
      <c r="AB117" s="424">
        <f>SUM(AB115:AB116)</f>
        <v>0.12934999999999997</v>
      </c>
      <c r="AC117" s="394"/>
      <c r="AD117" s="334"/>
    </row>
    <row r="118" spans="1:30" s="387" customFormat="1" x14ac:dyDescent="0.2">
      <c r="A118" s="320" t="str">
        <f>IFERROR(VLOOKUP(B118,mapping_one_neo!A:B,2,FALSE),"")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B122" si="14">SUM(V120:V121)</f>
        <v>0</v>
      </c>
      <c r="W122" s="393">
        <f t="shared" si="14"/>
        <v>0</v>
      </c>
      <c r="X122" s="393">
        <f t="shared" si="14"/>
        <v>0</v>
      </c>
      <c r="Y122" s="393">
        <f t="shared" si="14"/>
        <v>-1.173</v>
      </c>
      <c r="Z122" s="393">
        <f t="shared" si="14"/>
        <v>0</v>
      </c>
      <c r="AA122" s="393">
        <f t="shared" si="14"/>
        <v>0</v>
      </c>
      <c r="AB122" s="393">
        <f t="shared" si="14"/>
        <v>-1.173</v>
      </c>
      <c r="AC122" s="394"/>
      <c r="AD122" s="334"/>
    </row>
    <row r="123" spans="1:30" s="387" customFormat="1" x14ac:dyDescent="0.2">
      <c r="A123" s="320" t="str">
        <f>IFERROR(VLOOKUP(B123,mapping_one_neo!A:B,2,FALSE),"")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-1.8091600000000001</v>
      </c>
      <c r="V125" s="351"/>
      <c r="W125" s="351"/>
      <c r="X125" s="351"/>
      <c r="Y125" s="363">
        <v>-1.8091600000000001</v>
      </c>
      <c r="Z125" s="363"/>
      <c r="AA125" s="363"/>
      <c r="AB125" s="363">
        <f>SUM(Y125:AA125)</f>
        <v>-1.8091600000000001</v>
      </c>
      <c r="AC125" s="355"/>
      <c r="AD125" s="334" t="s">
        <v>134</v>
      </c>
    </row>
    <row r="126" spans="1:30" s="352" customFormat="1" x14ac:dyDescent="0.2">
      <c r="A126" s="320" t="str">
        <f>IFERROR(VLOOKUP(B126,mapping_one_neo!A:B,2,FALSE),"")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-64.168999999999997</v>
      </c>
      <c r="V126" s="351">
        <v>0</v>
      </c>
      <c r="W126" s="351"/>
      <c r="X126" s="351"/>
      <c r="Y126" s="363">
        <v>-64.168999999999997</v>
      </c>
      <c r="Z126" s="363"/>
      <c r="AA126" s="363"/>
      <c r="AB126" s="363">
        <f t="shared" ref="AB126:AB132" si="15">SUM(Y126:AA126)</f>
        <v>-64.168999999999997</v>
      </c>
      <c r="AC126" s="355"/>
      <c r="AD126" s="334"/>
    </row>
    <row r="127" spans="1:30" s="352" customFormat="1" ht="14.25" customHeight="1" x14ac:dyDescent="0.2">
      <c r="A127" s="320" t="str">
        <f>IFERROR(VLOOKUP(B127,mapping_one_neo!A:B,2,FALSE),"")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-3.0939999999999999</v>
      </c>
      <c r="V127" s="351"/>
      <c r="W127" s="351"/>
      <c r="X127" s="351"/>
      <c r="Y127" s="363">
        <v>-3.0939999999999999</v>
      </c>
      <c r="Z127" s="363"/>
      <c r="AA127" s="363"/>
      <c r="AB127" s="363">
        <f t="shared" si="15"/>
        <v>-3.0939999999999999</v>
      </c>
      <c r="AC127" s="355"/>
      <c r="AD127" s="334"/>
    </row>
    <row r="128" spans="1:30" s="352" customFormat="1" ht="14.25" customHeight="1" x14ac:dyDescent="0.2">
      <c r="A128" s="320" t="str">
        <f>IFERROR(VLOOKUP(B128,mapping_one_neo!A:B,2,FALSE),"")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-0.11899999999999999</v>
      </c>
      <c r="V128" s="351"/>
      <c r="W128" s="351"/>
      <c r="X128" s="351"/>
      <c r="Y128" s="363">
        <v>-0.11899999999999999</v>
      </c>
      <c r="Z128" s="363"/>
      <c r="AA128" s="363"/>
      <c r="AB128" s="363">
        <f t="shared" si="15"/>
        <v>-0.11899999999999999</v>
      </c>
      <c r="AC128" s="355"/>
      <c r="AD128" s="334"/>
    </row>
    <row r="129" spans="1:30" s="352" customFormat="1" x14ac:dyDescent="0.2">
      <c r="A129" s="320" t="str">
        <f>IFERROR(VLOOKUP(B129,mapping_one_neo!A:B,2,FALSE),"")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f t="shared" si="15"/>
        <v>0</v>
      </c>
      <c r="AC129" s="355"/>
      <c r="AD129" s="334"/>
    </row>
    <row r="130" spans="1:30" s="352" customFormat="1" x14ac:dyDescent="0.2">
      <c r="A130" s="320" t="str">
        <f>IFERROR(VLOOKUP(B130,mapping_one_neo!A:B,2,FALSE),"")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-2.3310000000000004</v>
      </c>
      <c r="V130" s="351"/>
      <c r="W130" s="351"/>
      <c r="X130" s="351"/>
      <c r="Y130" s="363">
        <v>-2.3310000000000004</v>
      </c>
      <c r="Z130" s="363"/>
      <c r="AA130" s="363"/>
      <c r="AB130" s="363">
        <f t="shared" si="15"/>
        <v>-2.3310000000000004</v>
      </c>
      <c r="AC130" s="355"/>
      <c r="AD130" s="334"/>
    </row>
    <row r="131" spans="1:30" s="352" customFormat="1" x14ac:dyDescent="0.2">
      <c r="A131" s="320" t="str">
        <f>IFERROR(VLOOKUP(B131,mapping_one_neo!A:B,2,FALSE),"")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-6.6899999999999998E-3</v>
      </c>
      <c r="V131" s="351"/>
      <c r="W131" s="351"/>
      <c r="X131" s="351"/>
      <c r="Y131" s="363">
        <v>-6.6899999999999998E-3</v>
      </c>
      <c r="Z131" s="363"/>
      <c r="AA131" s="363"/>
      <c r="AB131" s="363">
        <f t="shared" si="15"/>
        <v>-6.6899999999999998E-3</v>
      </c>
      <c r="AC131" s="355"/>
      <c r="AD131" s="334"/>
    </row>
    <row r="132" spans="1:30" s="352" customFormat="1" x14ac:dyDescent="0.2">
      <c r="A132" s="320" t="str">
        <f>IFERROR(VLOOKUP(B132,mapping_one_neo!A:B,2,FALSE),"")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-1.9819100000000001</v>
      </c>
      <c r="V132" s="351"/>
      <c r="W132" s="351"/>
      <c r="X132" s="351"/>
      <c r="Y132" s="363">
        <v>-1.9819100000000001</v>
      </c>
      <c r="Z132" s="363"/>
      <c r="AA132" s="363"/>
      <c r="AB132" s="363">
        <f t="shared" si="15"/>
        <v>-1.9819100000000001</v>
      </c>
      <c r="AC132" s="355"/>
      <c r="AD132" s="334"/>
    </row>
    <row r="133" spans="1:30" s="352" customFormat="1" x14ac:dyDescent="0.2">
      <c r="A133" s="320" t="str">
        <f>IFERROR(VLOOKUP(B133,mapping_one_neo!A:B,2,FALSE),"")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-73.510760000000005</v>
      </c>
      <c r="V135" s="393">
        <f t="shared" ref="V135:AB135" si="16">SUM(V125:V134)</f>
        <v>0</v>
      </c>
      <c r="W135" s="393">
        <f t="shared" si="16"/>
        <v>0</v>
      </c>
      <c r="X135" s="393">
        <f t="shared" si="16"/>
        <v>0</v>
      </c>
      <c r="Y135" s="393">
        <f t="shared" si="16"/>
        <v>-73.510760000000005</v>
      </c>
      <c r="Z135" s="393">
        <f t="shared" si="16"/>
        <v>0</v>
      </c>
      <c r="AA135" s="393">
        <f t="shared" si="16"/>
        <v>0</v>
      </c>
      <c r="AB135" s="393">
        <f t="shared" si="16"/>
        <v>-73.510760000000005</v>
      </c>
      <c r="AC135" s="394"/>
      <c r="AD135" s="334"/>
    </row>
    <row r="136" spans="1:30" s="387" customFormat="1" x14ac:dyDescent="0.2">
      <c r="A136" s="320"/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387" customFormat="1" x14ac:dyDescent="0.2">
      <c r="A137" s="320"/>
      <c r="B137" s="387" t="s">
        <v>811</v>
      </c>
      <c r="C137" s="392"/>
      <c r="E137" s="39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349"/>
      <c r="T137" s="346"/>
      <c r="U137" s="397"/>
      <c r="V137" s="397"/>
      <c r="W137" s="397"/>
      <c r="X137" s="397"/>
      <c r="Y137" s="397"/>
      <c r="Z137" s="397">
        <v>9.9904631311094398</v>
      </c>
      <c r="AA137" s="397"/>
      <c r="AB137" s="397">
        <v>9.9904631311094398</v>
      </c>
      <c r="AC137" s="394"/>
      <c r="AD137" s="334"/>
    </row>
    <row r="138" spans="1:30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-75.316100000000006</v>
      </c>
      <c r="V139" s="354">
        <f t="shared" ref="V139:AA139" si="17">V135+V122+V117+V112</f>
        <v>0</v>
      </c>
      <c r="W139" s="354">
        <f t="shared" si="17"/>
        <v>0</v>
      </c>
      <c r="X139" s="354">
        <f t="shared" si="17"/>
        <v>0</v>
      </c>
      <c r="Y139" s="354">
        <f t="shared" si="17"/>
        <v>-75.316100000000006</v>
      </c>
      <c r="Z139" s="354">
        <f>Z135+Z122+Z117+Z112+Z137</f>
        <v>9.9904631311094398</v>
      </c>
      <c r="AA139" s="354">
        <f t="shared" si="17"/>
        <v>0.10446469670806838</v>
      </c>
      <c r="AB139" s="354">
        <f>AB135+AB122+AB117+AB112+AB137</f>
        <v>-65.221172172182506</v>
      </c>
      <c r="AC139" s="350"/>
    </row>
    <row r="140" spans="1:30" x14ac:dyDescent="0.2">
      <c r="A140" s="320" t="str">
        <f>IFERROR(VLOOKUP(B140,mapping_one_neo!A:B,2,FALSE),"")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v>-3.2419999999999991</v>
      </c>
      <c r="V141" s="351"/>
      <c r="W141" s="351"/>
      <c r="X141" s="351">
        <v>-0.7</v>
      </c>
      <c r="Y141" s="363">
        <v>-3.9419999999999993</v>
      </c>
      <c r="Z141" s="363"/>
      <c r="AA141" s="363"/>
      <c r="AB141" s="363">
        <f>SUM(Y141:AA141)</f>
        <v>-3.9419999999999993</v>
      </c>
      <c r="AC141" s="355"/>
      <c r="AD141" s="334"/>
    </row>
    <row r="142" spans="1:30" s="352" customFormat="1" x14ac:dyDescent="0.2">
      <c r="A142" s="320" t="str">
        <f>IFERROR(VLOOKUP(B142,mapping_one_neo!A:B,2,FALSE),"")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-3.7940000000000005</v>
      </c>
      <c r="V142" s="351"/>
      <c r="W142" s="351"/>
      <c r="X142" s="351"/>
      <c r="Y142" s="363">
        <v>-3.7940000000000005</v>
      </c>
      <c r="Z142" s="363"/>
      <c r="AA142" s="443">
        <v>3.3658970541100203E-2</v>
      </c>
      <c r="AB142" s="363">
        <f t="shared" ref="AB142:AB157" si="18">SUM(Y142:AA142)</f>
        <v>-3.7603410294589001</v>
      </c>
      <c r="AC142" s="355"/>
      <c r="AD142" s="334"/>
    </row>
    <row r="143" spans="1:30" x14ac:dyDescent="0.2">
      <c r="A143" s="320" t="str">
        <f>IFERROR(VLOOKUP(B143,mapping_one_neo!A:B,2,FALSE),"")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si="18"/>
        <v>0</v>
      </c>
      <c r="AC143" s="350"/>
    </row>
    <row r="144" spans="1:30" s="352" customFormat="1" x14ac:dyDescent="0.2">
      <c r="A144" s="320" t="str">
        <f>IFERROR(VLOOKUP(B144,mapping_one_neo!A:B,2,FALSE),"")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18"/>
        <v>0</v>
      </c>
      <c r="AC144" s="355"/>
      <c r="AD144" s="334"/>
    </row>
    <row r="145" spans="1:30" s="352" customFormat="1" x14ac:dyDescent="0.2">
      <c r="A145" s="320" t="str">
        <f>IFERROR(VLOOKUP(B145,mapping_one_neo!A:B,2,FALSE),"")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-0.58100000000000007</v>
      </c>
      <c r="V145" s="351"/>
      <c r="W145" s="351"/>
      <c r="X145" s="351"/>
      <c r="Y145" s="363">
        <v>-0.58100000000000007</v>
      </c>
      <c r="Z145" s="363"/>
      <c r="AA145" s="363"/>
      <c r="AB145" s="363">
        <f t="shared" si="18"/>
        <v>-0.58100000000000007</v>
      </c>
      <c r="AC145" s="355"/>
      <c r="AD145" s="334"/>
    </row>
    <row r="146" spans="1:30" x14ac:dyDescent="0.2">
      <c r="A146" s="320" t="str">
        <f>IFERROR(VLOOKUP(B146,mapping_one_neo!A:B,2,FALSE),"")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18"/>
        <v>0</v>
      </c>
      <c r="AC146" s="350"/>
    </row>
    <row r="147" spans="1:30" x14ac:dyDescent="0.2">
      <c r="A147" s="320">
        <f>IFERROR(VLOOKUP(B147,mapping_one_neo!A:B,2,FALSE),"")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18"/>
        <v>0</v>
      </c>
      <c r="AC147" s="350"/>
    </row>
    <row r="148" spans="1:30" s="352" customFormat="1" x14ac:dyDescent="0.2">
      <c r="A148" s="320" t="str">
        <f>IFERROR(VLOOKUP(B148,mapping_one_neo!A:B,2,FALSE),"")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>
        <f t="shared" si="18"/>
        <v>0</v>
      </c>
      <c r="AC148" s="355"/>
      <c r="AD148" s="334"/>
    </row>
    <row r="149" spans="1:30" s="352" customFormat="1" x14ac:dyDescent="0.2">
      <c r="A149" s="320" t="str">
        <f>IFERROR(VLOOKUP(B149,mapping_one_neo!A:B,2,FALSE),"")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-12.25</v>
      </c>
      <c r="V149" s="351"/>
      <c r="W149" s="351"/>
      <c r="X149" s="351"/>
      <c r="Y149" s="363">
        <v>-12.25</v>
      </c>
      <c r="Z149" s="363"/>
      <c r="AA149" s="363"/>
      <c r="AB149" s="363">
        <f t="shared" si="18"/>
        <v>-12.25</v>
      </c>
      <c r="AC149" s="355"/>
      <c r="AD149" s="334"/>
    </row>
    <row r="150" spans="1:30" s="352" customFormat="1" x14ac:dyDescent="0.2">
      <c r="A150" s="320" t="str">
        <f>IFERROR(VLOOKUP(B150,mapping_one_neo!A:B,2,FALSE),"")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-0.40600000000000003</v>
      </c>
      <c r="V150" s="351"/>
      <c r="W150" s="351"/>
      <c r="X150" s="351"/>
      <c r="Y150" s="363">
        <v>-0.40600000000000003</v>
      </c>
      <c r="Z150" s="363"/>
      <c r="AA150" s="363"/>
      <c r="AB150" s="363">
        <f t="shared" si="18"/>
        <v>-0.40600000000000003</v>
      </c>
      <c r="AC150" s="355"/>
      <c r="AD150" s="334"/>
    </row>
    <row r="151" spans="1:30" s="352" customFormat="1" x14ac:dyDescent="0.2">
      <c r="A151" s="320" t="str">
        <f>IFERROR(VLOOKUP(B151,mapping_one_neo!A:B,2,FALSE),"")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-4.0660699999999999</v>
      </c>
      <c r="V151" s="351"/>
      <c r="W151" s="351"/>
      <c r="X151" s="351"/>
      <c r="Y151" s="363">
        <v>-4.0660699999999999</v>
      </c>
      <c r="Z151" s="363"/>
      <c r="AA151" s="363"/>
      <c r="AB151" s="363">
        <f t="shared" si="18"/>
        <v>-4.0660699999999999</v>
      </c>
      <c r="AC151" s="355"/>
      <c r="AD151" s="334"/>
    </row>
    <row r="152" spans="1:30" s="352" customFormat="1" x14ac:dyDescent="0.2">
      <c r="A152" s="320" t="str">
        <f>IFERROR(VLOOKUP(B152,mapping_one_neo!A:B,2,FALSE),"")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-17.5</v>
      </c>
      <c r="V152" s="351"/>
      <c r="W152" s="351"/>
      <c r="X152" s="351"/>
      <c r="Y152" s="363">
        <v>-17.5</v>
      </c>
      <c r="Z152" s="363"/>
      <c r="AA152" s="363"/>
      <c r="AB152" s="363">
        <f t="shared" si="18"/>
        <v>-17.5</v>
      </c>
      <c r="AC152" s="355"/>
      <c r="AD152" s="334"/>
    </row>
    <row r="153" spans="1:30" s="352" customFormat="1" x14ac:dyDescent="0.2">
      <c r="A153" s="320" t="str">
        <f>IFERROR(VLOOKUP(B153,mapping_one_neo!A:B,2,FALSE),"")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-3.6750000000000003</v>
      </c>
      <c r="V153" s="351"/>
      <c r="W153" s="351"/>
      <c r="X153" s="351"/>
      <c r="Y153" s="363">
        <v>-3.6750000000000003</v>
      </c>
      <c r="Z153" s="363"/>
      <c r="AA153" s="363"/>
      <c r="AB153" s="363">
        <f t="shared" si="18"/>
        <v>-3.6750000000000003</v>
      </c>
      <c r="AC153" s="355"/>
      <c r="AD153" s="334" t="s">
        <v>134</v>
      </c>
    </row>
    <row r="154" spans="1:30" s="352" customFormat="1" x14ac:dyDescent="0.2">
      <c r="A154" s="320" t="str">
        <f>IFERROR(VLOOKUP(B154,mapping_one_neo!A:B,2,FALSE),"")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363"/>
      <c r="Z154" s="363"/>
      <c r="AA154" s="363"/>
      <c r="AB154" s="363">
        <f t="shared" si="18"/>
        <v>0</v>
      </c>
      <c r="AC154" s="355"/>
      <c r="AD154" s="334"/>
    </row>
    <row r="155" spans="1:30" s="352" customFormat="1" x14ac:dyDescent="0.2">
      <c r="A155" s="320" t="str">
        <f>IFERROR(VLOOKUP(B155,mapping_one_neo!A:B,2,FALSE),"")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363">
        <v>0</v>
      </c>
      <c r="Z155" s="363"/>
      <c r="AA155" s="363"/>
      <c r="AB155" s="363">
        <f t="shared" si="18"/>
        <v>0</v>
      </c>
      <c r="AC155" s="355"/>
      <c r="AD155" s="334"/>
    </row>
    <row r="156" spans="1:30" s="352" customFormat="1" x14ac:dyDescent="0.2">
      <c r="A156" s="320" t="str">
        <f>IFERROR(VLOOKUP(B156,mapping_one_neo!A:B,2,FALSE),"")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-2.625</v>
      </c>
      <c r="W156" s="351"/>
      <c r="X156" s="351"/>
      <c r="Y156" s="363">
        <v>-2.625</v>
      </c>
      <c r="Z156" s="363"/>
      <c r="AA156" s="363"/>
      <c r="AB156" s="363">
        <f t="shared" si="18"/>
        <v>-2.625</v>
      </c>
      <c r="AC156" s="355"/>
      <c r="AD156" s="334"/>
    </row>
    <row r="157" spans="1:30" s="352" customFormat="1" x14ac:dyDescent="0.2">
      <c r="A157" s="320" t="str">
        <f>IFERROR(VLOOKUP(B157,mapping_one_neo!A:B,2,FALSE),"")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351">
        <v>-13.416666666666691</v>
      </c>
      <c r="Y157" s="363">
        <v>-13.416666666666691</v>
      </c>
      <c r="Z157" s="363"/>
      <c r="AA157" s="363"/>
      <c r="AB157" s="363">
        <f t="shared" si="18"/>
        <v>-13.416666666666691</v>
      </c>
      <c r="AC157" s="355"/>
      <c r="AD157" s="334"/>
    </row>
    <row r="158" spans="1:30" s="387" customFormat="1" x14ac:dyDescent="0.2">
      <c r="A158" s="320">
        <f>IFERROR(VLOOKUP(B158,mapping_one_neo!A:B,2,FALSE),"")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-37.897069999999999</v>
      </c>
      <c r="V158" s="393">
        <f t="shared" ref="V158:AB158" si="19">SUM(V148:V157)</f>
        <v>-2.625</v>
      </c>
      <c r="W158" s="393">
        <f t="shared" si="19"/>
        <v>0</v>
      </c>
      <c r="X158" s="393">
        <f t="shared" si="19"/>
        <v>-13.416666666666691</v>
      </c>
      <c r="Y158" s="393">
        <f t="shared" si="19"/>
        <v>-53.938736666666692</v>
      </c>
      <c r="Z158" s="393">
        <f t="shared" si="19"/>
        <v>0</v>
      </c>
      <c r="AA158" s="393">
        <f t="shared" si="19"/>
        <v>0</v>
      </c>
      <c r="AB158" s="393">
        <f t="shared" si="19"/>
        <v>-53.938736666666692</v>
      </c>
      <c r="AC158" s="394"/>
      <c r="AD158" s="334"/>
    </row>
    <row r="159" spans="1:30" s="387" customFormat="1" x14ac:dyDescent="0.2">
      <c r="A159" s="320" t="str">
        <f>IFERROR(VLOOKUP(B159,mapping_one_neo!A:B,2,FALSE),"")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-0.70000000000000007</v>
      </c>
      <c r="V160" s="351"/>
      <c r="W160" s="351"/>
      <c r="X160" s="351"/>
      <c r="Y160" s="363">
        <v>-0.70000000000000007</v>
      </c>
      <c r="Z160" s="363"/>
      <c r="AA160" s="363">
        <v>5.0488429900836601E-2</v>
      </c>
      <c r="AB160" s="363">
        <f>SUM(Y160:AA160)</f>
        <v>-0.64951157009916349</v>
      </c>
      <c r="AC160" s="355"/>
      <c r="AD160" s="334"/>
    </row>
    <row r="161" spans="1:30" s="352" customFormat="1" x14ac:dyDescent="0.2">
      <c r="A161" s="320" t="str">
        <f>IFERROR(VLOOKUP(B161,mapping_one_neo!A:B,2,FALSE),"")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/>
      <c r="V161" s="351"/>
      <c r="W161" s="351"/>
      <c r="X161" s="351">
        <v>-1</v>
      </c>
      <c r="Y161" s="363">
        <v>-1</v>
      </c>
      <c r="Z161" s="363"/>
      <c r="AA161" s="363"/>
      <c r="AB161" s="363">
        <f t="shared" ref="AB161:AB164" si="20">SUM(Y161:AA161)</f>
        <v>-1</v>
      </c>
      <c r="AC161" s="355"/>
      <c r="AD161" s="334" t="s">
        <v>792</v>
      </c>
    </row>
    <row r="162" spans="1:30" s="352" customFormat="1" x14ac:dyDescent="0.2">
      <c r="A162" s="320" t="str">
        <f>IFERROR(VLOOKUP(B162,mapping_one_neo!A:B,2,FALSE),"")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-4.431</v>
      </c>
      <c r="V162" s="351"/>
      <c r="W162" s="351"/>
      <c r="X162" s="351"/>
      <c r="Y162" s="363">
        <v>-4.431</v>
      </c>
      <c r="Z162" s="363"/>
      <c r="AA162" s="363"/>
      <c r="AB162" s="363">
        <f t="shared" si="20"/>
        <v>-4.431</v>
      </c>
      <c r="AC162" s="355"/>
      <c r="AD162" s="334"/>
    </row>
    <row r="163" spans="1:30" s="352" customFormat="1" x14ac:dyDescent="0.2">
      <c r="A163" s="320" t="str">
        <f>IFERROR(VLOOKUP(B163,mapping_one_neo!A:B,2,FALSE),"")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-1.75</v>
      </c>
      <c r="V163" s="351"/>
      <c r="W163" s="351"/>
      <c r="X163" s="351"/>
      <c r="Y163" s="363">
        <v>-1.75</v>
      </c>
      <c r="Z163" s="363"/>
      <c r="AA163" s="363"/>
      <c r="AB163" s="363">
        <f t="shared" si="20"/>
        <v>-1.75</v>
      </c>
      <c r="AC163" s="355"/>
      <c r="AD163" s="334"/>
    </row>
    <row r="164" spans="1:30" s="352" customFormat="1" x14ac:dyDescent="0.2">
      <c r="A164" s="320" t="str">
        <f>IFERROR(VLOOKUP(B164,mapping_one_neo!A:B,2,FALSE),"")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-5.6274199999999999</v>
      </c>
      <c r="V164" s="351"/>
      <c r="W164" s="351"/>
      <c r="X164" s="351"/>
      <c r="Y164" s="363">
        <v>-5.6274199999999999</v>
      </c>
      <c r="Z164" s="363"/>
      <c r="AA164" s="363"/>
      <c r="AB164" s="363">
        <f t="shared" si="20"/>
        <v>-5.6274199999999999</v>
      </c>
      <c r="AC164" s="355"/>
      <c r="AD164" s="334"/>
    </row>
    <row r="165" spans="1:30" s="387" customFormat="1" x14ac:dyDescent="0.2">
      <c r="A165" s="320">
        <f>IFERROR(VLOOKUP(B165,mapping_one_neo!A:B,2,FALSE),"")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-12.508420000000001</v>
      </c>
      <c r="V165" s="393">
        <f>SUM(V160:V164)</f>
        <v>0</v>
      </c>
      <c r="W165" s="393">
        <f t="shared" ref="W165:AB165" si="21">SUM(W160:W164)</f>
        <v>0</v>
      </c>
      <c r="X165" s="393">
        <f t="shared" si="21"/>
        <v>-1</v>
      </c>
      <c r="Y165" s="393">
        <f t="shared" si="21"/>
        <v>-13.508420000000001</v>
      </c>
      <c r="Z165" s="393">
        <f t="shared" si="21"/>
        <v>0</v>
      </c>
      <c r="AA165" s="393">
        <f t="shared" si="21"/>
        <v>5.0488429900836601E-2</v>
      </c>
      <c r="AB165" s="393">
        <f t="shared" si="21"/>
        <v>-13.457931570099163</v>
      </c>
      <c r="AC165" s="355"/>
      <c r="AD165" s="334"/>
    </row>
    <row r="166" spans="1:30" s="387" customFormat="1" x14ac:dyDescent="0.2">
      <c r="A166" s="320" t="str">
        <f>IFERROR(VLOOKUP(B166,mapping_one_neo!A:B,2,FALSE),"")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387" customFormat="1" x14ac:dyDescent="0.2">
      <c r="A167" s="320" t="str">
        <f>IFERROR(VLOOKUP(B167,mapping_one_neo!A:B,2,FALSE),"")</f>
        <v/>
      </c>
      <c r="C167" s="392"/>
      <c r="E167" s="39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349"/>
      <c r="T167" s="346"/>
      <c r="U167" s="397"/>
      <c r="V167" s="397"/>
      <c r="W167" s="397">
        <v>-10.90833333333331</v>
      </c>
      <c r="X167" s="397"/>
      <c r="Y167" s="397">
        <v>-10.90833333333331</v>
      </c>
      <c r="Z167" s="397">
        <v>9.6426164203108389</v>
      </c>
      <c r="AA167" s="397"/>
      <c r="AB167" s="397">
        <f>SUM(Y167:AA167)</f>
        <v>-1.2657169130224712</v>
      </c>
      <c r="AC167" s="394"/>
      <c r="AD167" s="334"/>
    </row>
    <row r="168" spans="1:30" s="400" customFormat="1" x14ac:dyDescent="0.2">
      <c r="A168" s="320" t="str">
        <f>IFERROR(VLOOKUP(B168,mapping_one_neo!A:B,2,FALSE),"")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V170" si="22">U165+U158+U145+U142+U141+U167</f>
        <v>-58.022489999999998</v>
      </c>
      <c r="V170" s="354">
        <f t="shared" si="22"/>
        <v>-2.625</v>
      </c>
      <c r="W170" s="354">
        <f>W165+W158+W145+W142+W141+W167</f>
        <v>-10.90833333333331</v>
      </c>
      <c r="X170" s="354">
        <f t="shared" ref="X170:AB170" si="23">X165+X158+X145+X142+X141+X167</f>
        <v>-15.11666666666669</v>
      </c>
      <c r="Y170" s="357">
        <f t="shared" si="23"/>
        <v>-86.67249000000001</v>
      </c>
      <c r="Z170" s="357">
        <f t="shared" si="23"/>
        <v>9.6426164203108389</v>
      </c>
      <c r="AA170" s="357">
        <f t="shared" si="23"/>
        <v>8.4147400441936804E-2</v>
      </c>
      <c r="AB170" s="357">
        <f t="shared" si="23"/>
        <v>-76.945726179247231</v>
      </c>
      <c r="AC170" s="403"/>
    </row>
    <row r="171" spans="1:30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-2.625</v>
      </c>
      <c r="V174" s="362"/>
      <c r="W174" s="362"/>
      <c r="X174" s="362"/>
      <c r="Y174" s="363">
        <v>-2.625</v>
      </c>
      <c r="Z174" s="363"/>
      <c r="AA174" s="363"/>
      <c r="AB174" s="363">
        <f>SUM(Y174:AA174)</f>
        <v>-2.625</v>
      </c>
      <c r="AC174" s="355"/>
      <c r="AD174" s="334"/>
    </row>
    <row r="175" spans="1:30" s="352" customFormat="1" x14ac:dyDescent="0.2">
      <c r="A175" s="320" t="str">
        <f>IFERROR(VLOOKUP(B175,mapping_one_neo!A:B,2,FALSE),"")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v>-0.26600000000000001</v>
      </c>
      <c r="Z175" s="363"/>
      <c r="AA175" s="363"/>
      <c r="AB175" s="363">
        <f t="shared" ref="AB175:AB182" si="24">SUM(Y175:AA175)</f>
        <v>-0.26600000000000001</v>
      </c>
      <c r="AC175" s="355"/>
      <c r="AD175" s="334"/>
    </row>
    <row r="176" spans="1:30" s="352" customFormat="1" x14ac:dyDescent="0.2">
      <c r="A176" s="320" t="str">
        <f>IFERROR(VLOOKUP(B176,mapping_one_neo!A:B,2,FALSE),"")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v>-2.3333333333333308</v>
      </c>
      <c r="W176" s="351"/>
      <c r="X176" s="351"/>
      <c r="Y176" s="363">
        <v>-2.3333333333333308</v>
      </c>
      <c r="Z176" s="363"/>
      <c r="AA176" s="363"/>
      <c r="AB176" s="363">
        <f t="shared" si="24"/>
        <v>-2.3333333333333308</v>
      </c>
      <c r="AC176" s="355"/>
      <c r="AD176" s="334"/>
    </row>
    <row r="177" spans="1:30" s="352" customFormat="1" x14ac:dyDescent="0.2">
      <c r="A177" s="320" t="str">
        <f>IFERROR(VLOOKUP(B177,mapping_one_neo!A:B,2,FALSE),"")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-4.3475299999999999</v>
      </c>
      <c r="V177" s="351"/>
      <c r="W177" s="351"/>
      <c r="X177" s="351"/>
      <c r="Y177" s="363">
        <v>-4.3475299999999999</v>
      </c>
      <c r="Z177" s="363"/>
      <c r="AA177" s="363"/>
      <c r="AB177" s="363">
        <f t="shared" si="24"/>
        <v>-4.3475299999999999</v>
      </c>
      <c r="AC177" s="355"/>
      <c r="AD177" s="334"/>
    </row>
    <row r="178" spans="1:30" s="352" customFormat="1" x14ac:dyDescent="0.2">
      <c r="A178" s="320" t="str">
        <f>IFERROR(VLOOKUP(B178,mapping_one_neo!A:B,2,FALSE),"")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-1.7539899999999999</v>
      </c>
      <c r="V178" s="351"/>
      <c r="W178" s="351"/>
      <c r="X178" s="351"/>
      <c r="Y178" s="363">
        <v>-1.7539899999999999</v>
      </c>
      <c r="Z178" s="363"/>
      <c r="AA178" s="363"/>
      <c r="AB178" s="363">
        <f t="shared" si="24"/>
        <v>-1.7539899999999999</v>
      </c>
      <c r="AC178" s="355"/>
      <c r="AD178" s="334"/>
    </row>
    <row r="179" spans="1:30" s="352" customFormat="1" x14ac:dyDescent="0.2">
      <c r="A179" s="320" t="str">
        <f>IFERROR(VLOOKUP(B179,mapping_one_neo!A:B,2,FALSE),"")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>
        <v>-3.5000000000000003E-2</v>
      </c>
      <c r="V179" s="351"/>
      <c r="W179" s="351"/>
      <c r="X179" s="351"/>
      <c r="Y179" s="363">
        <v>-3.5000000000000003E-2</v>
      </c>
      <c r="Z179" s="363"/>
      <c r="AA179" s="363"/>
      <c r="AB179" s="363">
        <f t="shared" si="24"/>
        <v>-3.5000000000000003E-2</v>
      </c>
      <c r="AC179" s="355"/>
      <c r="AD179" s="334"/>
    </row>
    <row r="180" spans="1:30" s="352" customFormat="1" x14ac:dyDescent="0.2">
      <c r="A180" s="320" t="str">
        <f>IFERROR(VLOOKUP(B180,mapping_one_neo!A:B,2,FALSE),"")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/>
      <c r="Y180" s="363">
        <v>-0.3</v>
      </c>
      <c r="Z180" s="363"/>
      <c r="AA180" s="363"/>
      <c r="AB180" s="363">
        <f t="shared" si="24"/>
        <v>-0.3</v>
      </c>
      <c r="AC180" s="355"/>
      <c r="AD180" s="334"/>
    </row>
    <row r="181" spans="1:30" s="352" customFormat="1" x14ac:dyDescent="0.2">
      <c r="A181" s="320" t="str">
        <f>IFERROR(VLOOKUP(B181,mapping_one_neo!A:B,2,FALSE),"")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/>
      <c r="V181" s="351"/>
      <c r="W181" s="351"/>
      <c r="X181" s="351"/>
      <c r="Y181" s="363"/>
      <c r="Z181" s="363"/>
      <c r="AA181" s="363"/>
      <c r="AB181" s="363">
        <f t="shared" si="24"/>
        <v>0</v>
      </c>
      <c r="AC181" s="355"/>
      <c r="AD181" s="334"/>
    </row>
    <row r="182" spans="1:30" s="352" customFormat="1" x14ac:dyDescent="0.2">
      <c r="A182" s="320">
        <f>IFERROR(VLOOKUP(B182,mapping_one_neo!A:B,2,FALSE),"")</f>
        <v>0</v>
      </c>
      <c r="B182" s="352" t="s">
        <v>127</v>
      </c>
      <c r="C182" s="353"/>
      <c r="E182" s="356">
        <v>0</v>
      </c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345"/>
      <c r="T182" s="361"/>
      <c r="U182" s="351"/>
      <c r="V182" s="351"/>
      <c r="W182" s="351"/>
      <c r="X182" s="351"/>
      <c r="Y182" s="363"/>
      <c r="Z182" s="363">
        <v>1.8337511003193081</v>
      </c>
      <c r="AA182" s="363"/>
      <c r="AB182" s="363">
        <f t="shared" si="24"/>
        <v>1.8337511003193081</v>
      </c>
      <c r="AC182" s="355"/>
      <c r="AD182" s="334"/>
    </row>
    <row r="183" spans="1:30" x14ac:dyDescent="0.2">
      <c r="A183" s="320">
        <f>IFERROR(VLOOKUP(B183,mapping_one_neo!A:B,2,FALSE),"")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SUM(U174:U180)</f>
        <v>-9.3275199999999998</v>
      </c>
      <c r="V183" s="354">
        <f t="shared" ref="V183:AA183" si="25">SUM(V174:V180)</f>
        <v>-2.3333333333333308</v>
      </c>
      <c r="W183" s="354">
        <f t="shared" si="25"/>
        <v>0</v>
      </c>
      <c r="X183" s="354">
        <f t="shared" si="25"/>
        <v>0</v>
      </c>
      <c r="Y183" s="354">
        <f t="shared" si="25"/>
        <v>-11.66085333333333</v>
      </c>
      <c r="Z183" s="354">
        <f t="shared" si="25"/>
        <v>0</v>
      </c>
      <c r="AA183" s="354">
        <f t="shared" si="25"/>
        <v>0</v>
      </c>
      <c r="AB183" s="354">
        <f>SUM(AB174:AB182)</f>
        <v>-9.8271022330140223</v>
      </c>
      <c r="AC183" s="350"/>
    </row>
    <row r="184" spans="1:30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-517.90492000000006</v>
      </c>
      <c r="V185" s="354">
        <f t="shared" ref="V185:AB185" si="26">V58+V83+V104+V139+V170+V183</f>
        <v>-104.10047333333333</v>
      </c>
      <c r="W185" s="354">
        <f t="shared" si="26"/>
        <v>-10.90833333333331</v>
      </c>
      <c r="X185" s="354">
        <f t="shared" si="26"/>
        <v>-62.466666666666683</v>
      </c>
      <c r="Y185" s="357">
        <f t="shared" si="26"/>
        <v>-695.38039333333336</v>
      </c>
      <c r="Z185" s="357">
        <f t="shared" si="26"/>
        <v>96.8673033286465</v>
      </c>
      <c r="AA185" s="357">
        <f t="shared" si="26"/>
        <v>2.505685267881713</v>
      </c>
      <c r="AB185" s="357">
        <f t="shared" si="26"/>
        <v>-594.17365363648582</v>
      </c>
      <c r="AC185" s="355"/>
      <c r="AD185" s="334"/>
    </row>
    <row r="186" spans="1:30" x14ac:dyDescent="0.2">
      <c r="A186" s="320" t="str">
        <f>IFERROR(VLOOKUP(B186,mapping_one_neo!A:B,2,FALSE),"")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-27.419</v>
      </c>
      <c r="V187" s="351">
        <v>0</v>
      </c>
      <c r="W187" s="351">
        <v>-280.05600000000004</v>
      </c>
      <c r="X187" s="351">
        <v>0</v>
      </c>
      <c r="Y187" s="358">
        <v>-307.47500000000002</v>
      </c>
      <c r="Z187" s="358"/>
      <c r="AA187" s="358"/>
      <c r="AB187" s="363">
        <v>-307.47500000000002</v>
      </c>
      <c r="AC187" s="350"/>
    </row>
    <row r="188" spans="1:30" x14ac:dyDescent="0.2">
      <c r="A188" s="320" t="str">
        <f>IFERROR(VLOOKUP(B188,mapping_one_neo!A:B,2,FALSE),"")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-136.90166666666963</v>
      </c>
      <c r="V189" s="406">
        <f t="shared" ref="V189:AB189" si="27">V6+V49+V185+V187</f>
        <v>-55.86068333333332</v>
      </c>
      <c r="W189" s="406">
        <f t="shared" si="27"/>
        <v>-290.96433333333334</v>
      </c>
      <c r="X189" s="406">
        <f t="shared" si="27"/>
        <v>-69.477566666666689</v>
      </c>
      <c r="Y189" s="411">
        <f t="shared" si="27"/>
        <v>-553.20425000000262</v>
      </c>
      <c r="Z189" s="411">
        <f t="shared" ca="1" si="27"/>
        <v>16821035.388573542</v>
      </c>
      <c r="AA189" s="411">
        <f t="shared" ca="1" si="27"/>
        <v>4432.3433548335188</v>
      </c>
      <c r="AB189" s="411">
        <f t="shared" si="27"/>
        <v>-180.62935293574094</v>
      </c>
      <c r="AC189" s="355"/>
      <c r="AD189" s="334"/>
    </row>
    <row r="190" spans="1:30" s="408" customFormat="1" ht="13.5" thickTop="1" x14ac:dyDescent="0.2">
      <c r="A190" s="320" t="str">
        <f>IFERROR(VLOOKUP(B190,mapping_one_neo!A:B,2,FALSE),"")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IFERROR(VLOOKUP(B192,mapping_one_neo!A:B,2,FALSE),"")</f>
        <v>I/G exchange gains/(losses)</v>
      </c>
      <c r="B192" s="352" t="s">
        <v>126</v>
      </c>
      <c r="S192" s="349"/>
      <c r="T192" s="346"/>
      <c r="U192" s="428">
        <v>1.4506999999999999</v>
      </c>
      <c r="V192" s="412">
        <v>0</v>
      </c>
      <c r="W192" s="412">
        <v>0</v>
      </c>
      <c r="X192" s="412">
        <v>0</v>
      </c>
      <c r="Y192" s="401">
        <v>1.4506999999999999</v>
      </c>
      <c r="Z192" s="401"/>
      <c r="AA192" s="401"/>
      <c r="AB192" s="429">
        <v>1.4506999999999999</v>
      </c>
      <c r="AC192" s="350"/>
    </row>
    <row r="193" spans="1:30" x14ac:dyDescent="0.2">
      <c r="A193" s="320" t="str">
        <f>IFERROR(VLOOKUP(B193,mapping_one_neo!A:B,2,FALSE),"")</f>
        <v>I/G exchange gains/(losses)</v>
      </c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0.42043999999999998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A194" s="320">
        <f>IFERROR(VLOOKUP(B194,mapping_one_neo!A:B,2,FALSE),"")</f>
        <v>0</v>
      </c>
      <c r="B194" s="334" t="s">
        <v>127</v>
      </c>
      <c r="C194" s="337">
        <v>758000</v>
      </c>
      <c r="S194" s="349"/>
      <c r="T194" s="346"/>
      <c r="U194" s="432">
        <v>1.03026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IFERROR(VLOOKUP(B196,mapping_one_neo!A:B,2,FALSE),"")</f>
        <v>I/G exchange gains/(losses)</v>
      </c>
      <c r="B196" s="352" t="s">
        <v>128</v>
      </c>
      <c r="S196" s="349"/>
      <c r="T196" s="346"/>
      <c r="U196" s="428">
        <v>-0.70079000000000002</v>
      </c>
      <c r="V196" s="412">
        <v>0</v>
      </c>
      <c r="W196" s="412">
        <v>0</v>
      </c>
      <c r="X196" s="412">
        <v>0</v>
      </c>
      <c r="Y196" s="401">
        <v>-0.70079000000000002</v>
      </c>
      <c r="Z196" s="401"/>
      <c r="AA196" s="401"/>
      <c r="AB196" s="429">
        <v>-0.70079000000000002</v>
      </c>
      <c r="AC196" s="350"/>
    </row>
    <row r="197" spans="1:30" x14ac:dyDescent="0.2">
      <c r="A197" s="320" t="str">
        <f>IFERROR(VLOOKUP(B197,mapping_one_neo!A:B,2,FALSE),"")</f>
        <v>I/G exchange gains/(losses)</v>
      </c>
      <c r="B197" s="334" t="s">
        <v>129</v>
      </c>
      <c r="C197" s="337">
        <v>666000</v>
      </c>
      <c r="S197" s="349"/>
      <c r="T197" s="346"/>
      <c r="U197" s="430">
        <v>-0.70145000000000002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6.6E-4</v>
      </c>
      <c r="V198" s="441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IFERROR(VLOOKUP(B200,mapping_one_neo!A:B,2,FALSE),"")</f>
        <v>0</v>
      </c>
      <c r="B200" s="352" t="s">
        <v>130</v>
      </c>
      <c r="S200" s="349"/>
      <c r="T200" s="346"/>
      <c r="U200" s="415">
        <v>159.20882333333051</v>
      </c>
      <c r="V200" s="415">
        <v>-55.86068333333332</v>
      </c>
      <c r="W200" s="415">
        <v>-290.96433333333334</v>
      </c>
      <c r="X200" s="415">
        <v>-69.477566666666689</v>
      </c>
      <c r="Y200" s="435">
        <v>-257.09376000000259</v>
      </c>
      <c r="Z200" s="435">
        <v>370.00213862564829</v>
      </c>
      <c r="AA200" s="435">
        <v>2.572758438613421</v>
      </c>
      <c r="AB200" s="435">
        <v>115.48113706425912</v>
      </c>
      <c r="AC200" s="350"/>
    </row>
    <row r="201" spans="1:30" x14ac:dyDescent="0.2">
      <c r="A201" s="320" t="str">
        <f>IFERROR(VLOOKUP(B201,mapping_one_neo!A:B,2,FALSE),"")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159.20882333333051</v>
      </c>
      <c r="V202" s="354"/>
      <c r="W202" s="354"/>
      <c r="X202" s="415">
        <v>-69.477566666666689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IFERROR(VLOOKUP(B204,mapping_one_neo!A:B,2,FALSE),"")</f>
        <v/>
      </c>
    </row>
    <row r="205" spans="1:30" s="352" customFormat="1" x14ac:dyDescent="0.2">
      <c r="A205" s="320">
        <f>IFERROR(VLOOKUP(B205,mapping_one_neo!A:B,2,FALSE),"")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AB6+AB49+AB58+AB83+AB104+AB139+AB170+AB183+U187+U192+U196-AB167</f>
        <v>101.44227397728153</v>
      </c>
      <c r="AD205" s="352" t="s">
        <v>136</v>
      </c>
    </row>
    <row r="206" spans="1:30" x14ac:dyDescent="0.2">
      <c r="A206" s="320" t="str">
        <f>IFERROR(VLOOKUP(B206,mapping_one_neo!A:B,2,FALSE),"")</f>
        <v/>
      </c>
    </row>
    <row r="207" spans="1:30" s="352" customFormat="1" x14ac:dyDescent="0.2">
      <c r="A207" s="320">
        <f>IFERROR(VLOOKUP(B207,mapping_one_neo!A:B,2,FALSE),"")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 tint="0.39997558519241921"/>
    <pageSetUpPr fitToPage="1"/>
  </sheetPr>
  <dimension ref="A1:N75"/>
  <sheetViews>
    <sheetView showGridLines="0" topLeftCell="A12" workbookViewId="0">
      <selection activeCell="D22" sqref="D22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42917</v>
      </c>
      <c r="E13" s="324" t="e">
        <f ca="1">juilletNTENANT()</f>
        <v>#NAME?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SUMIF(Juillet!$A:$A,'p&amp;l Juillet'!D16,Juillet!$AB:$AB)</f>
        <v>2598.6080133333298</v>
      </c>
      <c r="F16" s="289">
        <f>SUMIF(Fev!$A:$A,'p&amp;l Juillet'!D16,Fev!$X:$X)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SUMIF(Juillet!$A:$A,'p&amp;l Juillet'!D19,Juillet!$AB:$AB)</f>
        <v>-1359.8366199999994</v>
      </c>
      <c r="F19" s="316">
        <f>SUMIF(Fev!$A:$A,'p&amp;l Juillet'!D19,Fev!$X:$X)</f>
        <v>-2.82464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SUMIF(Juillet!$A:$A,'p&amp;l Juillet'!D20,Juillet!$AB:$AB)</f>
        <v>-605.64719999999988</v>
      </c>
      <c r="F20" s="316">
        <f>SUMIF(Fev!$A:$A,'p&amp;l Juillet'!D20,Fev!$X:$X)</f>
        <v>-1.271088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SUMIF(Juillet!$A:$A,'p&amp;l Juillet'!D21,Juillet!$AB:$AB)</f>
        <v>-134.23587000000001</v>
      </c>
      <c r="F21" s="316">
        <f>SUMIF(Fev!$A:$A,'p&amp;l Juillet'!D21,Fev!$X:$X)</f>
        <v>-2.3000000000000007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SUMIF(Juillet!$A:$A,'p&amp;l Juillet'!D22,Juillet!$AB:$AB)</f>
        <v>0</v>
      </c>
      <c r="F22" s="316">
        <f>SUMIF(Fev!$A:$A,'p&amp;l Juillet'!D22,Fev!$X:$X)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SUMIF(Juillet!$A:$A,'p&amp;l Juillet'!D23,Juillet!$AB:$AB)</f>
        <v>0</v>
      </c>
      <c r="F23" s="316">
        <f>SUMIF(Fev!$A:$A,'p&amp;l Juillet'!D23,Fev!$X:$X)</f>
        <v>6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SUMIF(Juillet!$A:$A,'p&amp;l Juillet'!D24,Juillet!$AB:$AB)</f>
        <v>0.74000000000000021</v>
      </c>
      <c r="F24" s="316">
        <f>SUMIF(Fev!$A:$A,'p&amp;l Juillet'!D24,Fev!$X:$X)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SUMIF(Juillet!$A:$A,'p&amp;l Juillet'!D25,Juillet!$AB:$AB)</f>
        <v>-13.455000000000002</v>
      </c>
      <c r="F25" s="316">
        <f>SUMIF(Fev!$A:$A,'p&amp;l Juillet'!D25,Fev!$X:$X)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SUMIF(Juillet!$A:$A,'p&amp;l Juillet'!D26,Juillet!$AB:$AB)</f>
        <v>-25.006180000000004</v>
      </c>
      <c r="F26" s="316">
        <f>SUMIF(Fev!$A:$A,'p&amp;l Juillet'!D26,Fev!$X:$X)</f>
        <v>-0.91320000000000001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SUMIF(Juillet!$A:$A,'p&amp;l Juillet'!D27,Juillet!$AB:$AB)</f>
        <v>-7.1400000000000006</v>
      </c>
      <c r="F27" s="316">
        <f>SUMIF(Fev!$A:$A,'p&amp;l Juillet'!D27,Fev!$X:$X)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SUMIF(Juillet!$A:$A,'p&amp;l Juillet'!D28,Juillet!$AB:$AB)</f>
        <v>-4.3759999999999994</v>
      </c>
      <c r="F28" s="316">
        <f>SUMIF(Fev!$A:$A,'p&amp;l Juillet'!D28,Fev!$X:$X)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-2148.9568699999995</v>
      </c>
      <c r="F29" s="317">
        <f>SUMIF(Fev!$A:$A,'p&amp;l Juillet'!D29,Fev!$X:$X)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SUMIF(Juillet!$A:$A,'p&amp;l Juillet'!D31,Juillet!$AB:$AB)</f>
        <v>-161.58800000000002</v>
      </c>
      <c r="F31" s="316">
        <f>SUMIF(Fev!$A:$A,'p&amp;l Juillet'!D31,Fev!$X:$X)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SUMIF(Juillet!$A:$A,'p&amp;l Juillet'!D32,Juillet!$AB:$AB)</f>
        <v>23.836884513211615</v>
      </c>
      <c r="F32" s="316">
        <f>SUMIF(Fev!$A:$A,'p&amp;l Juillet'!D32,Fev!$X:$X)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-137.75111548678842</v>
      </c>
      <c r="F33" s="317">
        <f>SUMIF(Fev!$A:$A,'p&amp;l Juillet'!D33,Fev!$X:$X)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SUMIF(Juillet!$A:$A,'p&amp;l Juillet'!D34,Juillet!$AB:$AB)</f>
        <v>-21.296700000000001</v>
      </c>
      <c r="F34" s="316">
        <f>SUMIF(Fev!$A:$A,'p&amp;l Juillet'!D34,Fev!$X:$X)</f>
        <v>-2.9300000000000104E-2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SUMIF(Juillet!$A:$A,'p&amp;l Juillet'!D35,Juillet!$AB:$AB)</f>
        <v>-108.03948</v>
      </c>
      <c r="F35" s="316">
        <f>SUMIF(Fev!$A:$A,'p&amp;l Juillet'!D35,Fev!$X:$X)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SUMIF(Juillet!$A:$A,'p&amp;l Juillet'!D36,Juillet!$AB:$AB)</f>
        <v>-16.774010000000001</v>
      </c>
      <c r="F36" s="316">
        <f>SUMIF(Fev!$A:$A,'p&amp;l Juillet'!D36,Fev!$X:$X)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SUMIF(Juillet!$A:$A,'p&amp;l Juillet'!D37,Juillet!$AB:$AB)</f>
        <v>-12.564169999999999</v>
      </c>
      <c r="F37" s="316">
        <f>SUMIF(Fev!$A:$A,'p&amp;l Juillet'!D37,Fev!$X:$X)</f>
        <v>-1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-158.67436000000001</v>
      </c>
      <c r="F38" s="317">
        <f>SUMIF(Fev!$A:$A,'p&amp;l Juillet'!D38,Fev!$X:$X)</f>
        <v>0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SUMIF(Juillet!$A:$A,'p&amp;l Juillet'!D40,Juillet!$AB:$AB)</f>
        <v>-1.6259600000000001</v>
      </c>
      <c r="F40" s="316">
        <f>SUMIF(Fev!$A:$A,'p&amp;l Juillet'!D40,Fev!$X:$X)</f>
        <v>0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SUMIF(Juillet!$A:$A,'p&amp;l Juillet'!D41,Juillet!$AB:$AB)</f>
        <v>-0.83607999999999993</v>
      </c>
      <c r="F41" s="316">
        <f>SUMIF(Fev!$A:$A,'p&amp;l Juillet'!D41,Fev!$X:$X)</f>
        <v>0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SUMIF(Juillet!$A:$A,'p&amp;l Juillet'!D42,Juillet!$AB:$AB)</f>
        <v>-161.24701999999999</v>
      </c>
      <c r="F42" s="316">
        <f>SUMIF(Fev!$A:$A,'p&amp;l Juillet'!D42,Fev!$X:$X)</f>
        <v>-29.230643333333337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SUMIF(Juillet!$A:$A,'p&amp;l Juillet'!D43,Juillet!$AB:$AB)</f>
        <v>-36.168999999999997</v>
      </c>
      <c r="F43" s="316">
        <f>SUMIF(Fev!$A:$A,'p&amp;l Juillet'!D43,Fev!$X:$X)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-199.87806</v>
      </c>
      <c r="F44" s="317">
        <f>SUMIF(Fev!$A:$A,'p&amp;l Juillet'!D44,Fev!$X:$X)</f>
        <v>0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SUMIF(Juillet!$A:$A,'p&amp;l Juillet'!D46,Juillet!$AB:$AB)</f>
        <v>-5.7377368733910954</v>
      </c>
      <c r="F46" s="316">
        <f>SUMIF(Fev!$A:$A,'p&amp;l Juillet'!D46,Fev!$X:$X)</f>
        <v>0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SUMIF(Juillet!$A:$A,'p&amp;l Juillet'!D47,Juillet!$AB:$AB)</f>
        <v>0.12934999999999997</v>
      </c>
      <c r="F47" s="316">
        <f>SUMIF(Fev!$A:$A,'p&amp;l Juillet'!D47,Fev!$X:$X)</f>
        <v>0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SUMIF(Juillet!$A:$A,'p&amp;l Juillet'!D48,Juillet!$AB:$AB)</f>
        <v>-82.061180000000007</v>
      </c>
      <c r="F48" s="316">
        <f>SUMIF(Fev!$A:$A,'p&amp;l Juillet'!D48,Fev!$X:$X)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SUMIF(Juillet!$A:$A,'p&amp;l Juillet'!D49,Juillet!$AB:$AB)</f>
        <v>-7.7023410294588999</v>
      </c>
      <c r="F49" s="316">
        <f>SUMIF(Fev!$A:$A,'p&amp;l Juillet'!D49,Fev!$X:$X)</f>
        <v>-1.9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SUMIF(Juillet!$A:$A,'p&amp;l Juillet'!D50,Juillet!$AB:$AB)</f>
        <v>-0.58100000000000007</v>
      </c>
      <c r="F50" s="316">
        <f>SUMIF(Fev!$A:$A,'p&amp;l Juillet'!D50,Fev!$X:$X)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SUMIF(Juillet!$A:$A,'p&amp;l Juillet'!D51,Juillet!$AB:$AB)</f>
        <v>-36.455999999999996</v>
      </c>
      <c r="F51" s="316">
        <f>SUMIF(Fev!$A:$A,'p&amp;l Juillet'!D51,Fev!$X:$X)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812</v>
      </c>
      <c r="E52" s="327">
        <f>SUMIF(Juillet!$A:$A,'p&amp;l Juillet'!D52,Juillet!$AB:$AB)</f>
        <v>0</v>
      </c>
      <c r="F52" s="316">
        <f>SUMIF(Fev!$A:$A,'p&amp;l Juillet'!D52,Fev!$X:$X)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SUMIF(Juillet!$A:$A,'p&amp;l Juillet'!D53,Juillet!$AB:$AB)</f>
        <v>-1</v>
      </c>
      <c r="F53" s="316">
        <f>SUMIF(Fev!$A:$A,'p&amp;l Juillet'!D53,Fev!$X:$X)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SUMIF(Juillet!$A:$A,'p&amp;l Juillet'!D54,Juillet!$AB:$AB)</f>
        <v>-13.416666666666691</v>
      </c>
      <c r="F54" s="316">
        <f>SUMIF(Fev!$A:$A,'p&amp;l Juillet'!D54,Fev!$X:$X)</f>
        <v>-3.8330000000000002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-146.8255745695167</v>
      </c>
      <c r="F55" s="317">
        <f>SUMIF(Fev!$A:$A,'p&amp;l Juillet'!D55,Fev!$X:$X)</f>
        <v>0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SUMIF(Juillet!$A:$A,'p&amp;l Juillet'!D57,Juillet!$AB:$AB)</f>
        <v>-2.891</v>
      </c>
      <c r="F57" s="316">
        <f>SUMIF(Fev!$A:$A,'p&amp;l Juillet'!D57,Fev!$X:$X)</f>
        <v>0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SUMIF(Juillet!$A:$A,'p&amp;l Juillet'!D58,Juillet!$AB:$AB)</f>
        <v>-2.3333333333333308</v>
      </c>
      <c r="F58" s="316">
        <f>SUMIF(Fev!$A:$A,'p&amp;l Juillet'!D58,Fev!$X:$X)</f>
        <v>0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SUMIF(Juillet!$A:$A,'p&amp;l Juillet'!D59,Juillet!$AB:$AB)</f>
        <v>-4.6825299999999999</v>
      </c>
      <c r="F59" s="316">
        <f>SUMIF(Fev!$A:$A,'p&amp;l Juillet'!D59,Fev!$X:$X)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SUMIF(Juillet!$A:$A,'p&amp;l Juillet'!D60,Juillet!$AB:$AB)</f>
        <v>-1.7539899999999999</v>
      </c>
      <c r="F60" s="316">
        <f>SUMIF(Fev!$A:$A,'p&amp;l Juillet'!D60,Fev!$X:$X)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SUMIF(Juillet!$A:$A,'p&amp;l Juillet'!D61,Juillet!$AB:$AB)</f>
        <v>0</v>
      </c>
      <c r="F61" s="316">
        <f>SUMIF(Fev!$A:$A,'p&amp;l Juillet'!D61,Fev!$X:$X)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-11.66085333333333</v>
      </c>
      <c r="F62" s="317">
        <f>SUMIF(Fev!$A:$A,'p&amp;l Juillet'!D62,Fev!$X:$X)</f>
        <v>0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SUMIF(Juillet!$A:$U,'p&amp;l Juillet'!D64,Juillet!$U:$U)</f>
        <v>-27.419</v>
      </c>
      <c r="F64" s="316">
        <f>SUMIF(Fev!$A:$A,'p&amp;l Juillet'!D64,Fev!$X:$X)</f>
        <v>0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-27.419</v>
      </c>
      <c r="F65" s="317">
        <f>SUMIF(Fev!$A:$A,'p&amp;l Juillet'!D65,Fev!$X:$X)</f>
        <v>0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SUMIF(Juillet!$A:$A,'p&amp;l Juillet'!D67,Juillet!$AB:$AB)</f>
        <v>0.74990999999999985</v>
      </c>
      <c r="F67" s="316">
        <f>SUMIF(Fev!$A:$A,'p&amp;l Juillet'!D67,Fev!$X:$X)</f>
        <v>0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0.74990999999999985</v>
      </c>
      <c r="F68" s="317">
        <f>SUMIF(Fev!$A:$A,'p&amp;l Juillet'!D68,Fev!$X:$X)</f>
        <v>0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-2830.415923389638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-231.80791005630817</v>
      </c>
    </row>
    <row r="74" spans="1:8" x14ac:dyDescent="0.25">
      <c r="D74" t="s">
        <v>762</v>
      </c>
      <c r="E74" s="331">
        <f>Juillet!AB205</f>
        <v>101.44227397728153</v>
      </c>
    </row>
    <row r="75" spans="1:8" x14ac:dyDescent="0.25">
      <c r="D75" s="315" t="s">
        <v>763</v>
      </c>
      <c r="E75" s="319">
        <f ca="1">E73-E74</f>
        <v>-333.25018403358968</v>
      </c>
    </row>
  </sheetData>
  <dataValidations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D219"/>
  <sheetViews>
    <sheetView showGridLines="0" workbookViewId="0">
      <pane xSplit="1" ySplit="5" topLeftCell="D63" activePane="bottomRight" state="frozen"/>
      <selection pane="topRight" activeCell="B1" sqref="B1"/>
      <selection pane="bottomLeft" activeCell="A6" sqref="A6"/>
      <selection pane="bottomRight" activeCell="A75" sqref="A75:XFD75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bestFit="1" customWidth="1"/>
    <col min="22" max="23" width="11.42578125" style="335"/>
    <col min="24" max="24" width="12.85546875" style="335" bestFit="1" customWidth="1"/>
    <col min="25" max="25" width="13.85546875" style="420" bestFit="1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815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2930229.04633333/1000</f>
        <v>2930.2290463333302</v>
      </c>
      <c r="V6" s="440"/>
      <c r="W6" s="440"/>
      <c r="X6" s="440"/>
      <c r="Y6" s="440">
        <f>2930229.04633333/1000</f>
        <v>2930.2290463333302</v>
      </c>
      <c r="Z6" s="440"/>
      <c r="AA6" s="440"/>
      <c r="AB6" s="440">
        <f>2930229.04633333/1000</f>
        <v>2930.2290463333302</v>
      </c>
      <c r="AC6" s="355"/>
      <c r="AD6" s="334"/>
    </row>
    <row r="7" spans="1:30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-1564.5625499999994</v>
      </c>
      <c r="V9" s="362">
        <v>4.2195600000000004</v>
      </c>
      <c r="W9" s="362"/>
      <c r="X9" s="351">
        <v>-3.484</v>
      </c>
      <c r="Y9" s="363">
        <v>-1563.8269899999993</v>
      </c>
      <c r="Z9" s="363"/>
      <c r="AA9" s="363"/>
      <c r="AB9" s="363">
        <v>-1548.8269899999993</v>
      </c>
      <c r="AC9" s="355"/>
      <c r="AD9" s="485"/>
    </row>
    <row r="10" spans="1:30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-668.65536999999983</v>
      </c>
      <c r="V10" s="362">
        <v>1.99244</v>
      </c>
      <c r="W10" s="362"/>
      <c r="X10" s="351">
        <v>-1.5678000000000001</v>
      </c>
      <c r="Y10" s="363">
        <v>-668.23072999999988</v>
      </c>
      <c r="Z10" s="363"/>
      <c r="AA10" s="363"/>
      <c r="AB10" s="363">
        <v>-661.03072999999983</v>
      </c>
      <c r="AC10" s="355"/>
      <c r="AD10" s="485"/>
    </row>
    <row r="11" spans="1:30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25.399194999999999</v>
      </c>
      <c r="W11" s="362"/>
      <c r="X11" s="351"/>
      <c r="Y11" s="363">
        <v>25.399194999999999</v>
      </c>
      <c r="Z11" s="363"/>
      <c r="AA11" s="363"/>
      <c r="AB11" s="363">
        <v>25.399194999999999</v>
      </c>
      <c r="AC11" s="355"/>
      <c r="AD11" s="366" t="s">
        <v>783</v>
      </c>
    </row>
    <row r="12" spans="1:30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11.429637749999999</v>
      </c>
      <c r="W12" s="362"/>
      <c r="X12" s="351"/>
      <c r="Y12" s="363">
        <v>11.429637749999999</v>
      </c>
      <c r="Z12" s="363"/>
      <c r="AA12" s="363"/>
      <c r="AB12" s="363">
        <v>11.429637749999999</v>
      </c>
      <c r="AC12" s="355"/>
      <c r="AD12" s="366" t="s">
        <v>783</v>
      </c>
    </row>
    <row r="13" spans="1:30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 t="shared" ref="AB13:AB46" si="0">SUM(Y13:AA13)</f>
        <v>0</v>
      </c>
      <c r="AC13" s="355"/>
      <c r="AD13" s="334"/>
    </row>
    <row r="14" spans="1:30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 t="shared" si="0"/>
        <v>0</v>
      </c>
      <c r="AC14" s="355"/>
      <c r="AD14" s="334"/>
    </row>
    <row r="15" spans="1:30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v>6.2080000000000002</v>
      </c>
      <c r="AC15" s="355"/>
      <c r="AD15" s="334"/>
    </row>
    <row r="16" spans="1:30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v>2.9798399999999998</v>
      </c>
      <c r="AC16" s="355"/>
      <c r="AD16" s="334"/>
    </row>
    <row r="17" spans="1:30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v>1.762</v>
      </c>
      <c r="AC17" s="355"/>
      <c r="AD17" s="334"/>
    </row>
    <row r="18" spans="1:30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v>0.79290000000000005</v>
      </c>
      <c r="AC18" s="355"/>
      <c r="AD18" s="334"/>
    </row>
    <row r="19" spans="1:30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-1.6170000000000009</v>
      </c>
      <c r="V19" s="362"/>
      <c r="W19" s="362"/>
      <c r="X19" s="362"/>
      <c r="Y19" s="363">
        <v>-1.6170000000000009</v>
      </c>
      <c r="Z19" s="363"/>
      <c r="AA19" s="363"/>
      <c r="AB19" s="363">
        <v>-1.6170000000000009</v>
      </c>
      <c r="AC19" s="355"/>
      <c r="AD19" s="334"/>
    </row>
    <row r="20" spans="1:30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>
        <v>-0.48299999999999998</v>
      </c>
      <c r="V20" s="362"/>
      <c r="W20" s="362"/>
      <c r="X20" s="362"/>
      <c r="Y20" s="363">
        <v>-0.48299999999999998</v>
      </c>
      <c r="Z20" s="363"/>
      <c r="AA20" s="363"/>
      <c r="AB20" s="363">
        <v>-0.48299999999999998</v>
      </c>
      <c r="AC20" s="355"/>
      <c r="AD20" s="334" t="s">
        <v>134</v>
      </c>
    </row>
    <row r="21" spans="1:30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 t="shared" si="0"/>
        <v>0</v>
      </c>
      <c r="AC21" s="355"/>
      <c r="AD21" s="334"/>
    </row>
    <row r="22" spans="1:30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 t="shared" si="0"/>
        <v>-8.75</v>
      </c>
      <c r="AC22" s="355"/>
      <c r="AD22" s="334"/>
    </row>
    <row r="23" spans="1:30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 t="shared" si="0"/>
        <v>0</v>
      </c>
      <c r="AC23" s="355"/>
      <c r="AD23" s="334"/>
    </row>
    <row r="24" spans="1:30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-48.370999999999995</v>
      </c>
      <c r="V24" s="362"/>
      <c r="W24" s="362"/>
      <c r="X24" s="362"/>
      <c r="Y24" s="363">
        <v>-48.370999999999995</v>
      </c>
      <c r="Z24" s="363"/>
      <c r="AA24" s="363"/>
      <c r="AB24" s="363">
        <v>-48.370999999999995</v>
      </c>
      <c r="AC24" s="355"/>
      <c r="AD24" s="369"/>
    </row>
    <row r="25" spans="1:30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-9.7350000000000012</v>
      </c>
      <c r="V25" s="362"/>
      <c r="W25" s="362"/>
      <c r="X25" s="362"/>
      <c r="Y25" s="363">
        <v>-9.7350000000000012</v>
      </c>
      <c r="Z25" s="363"/>
      <c r="AA25" s="363"/>
      <c r="AB25" s="363">
        <v>-9.7350000000000012</v>
      </c>
      <c r="AC25" s="355"/>
      <c r="AD25" s="334"/>
    </row>
    <row r="26" spans="1:30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-26.071999999999999</v>
      </c>
      <c r="V26" s="362"/>
      <c r="W26" s="362"/>
      <c r="X26" s="362">
        <v>0</v>
      </c>
      <c r="Y26" s="363">
        <v>-26.071999999999999</v>
      </c>
      <c r="Z26" s="363"/>
      <c r="AA26" s="363"/>
      <c r="AB26" s="363">
        <v>-26.071999999999999</v>
      </c>
      <c r="AC26" s="355"/>
      <c r="AD26" s="334"/>
    </row>
    <row r="27" spans="1:30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-4.8919999999999995</v>
      </c>
      <c r="V27" s="362"/>
      <c r="W27" s="362"/>
      <c r="X27" s="362"/>
      <c r="Y27" s="363">
        <v>-4.8919999999999995</v>
      </c>
      <c r="Z27" s="363"/>
      <c r="AA27" s="363"/>
      <c r="AB27" s="363">
        <v>-4.8919999999999995</v>
      </c>
      <c r="AC27" s="355"/>
      <c r="AD27" s="334"/>
    </row>
    <row r="28" spans="1:30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/>
      <c r="Y28" s="363">
        <f t="shared" ref="Y28" si="1">SUM(U28:X28)</f>
        <v>0</v>
      </c>
      <c r="Z28" s="363"/>
      <c r="AA28" s="363"/>
      <c r="AB28" s="363">
        <f t="shared" si="0"/>
        <v>0</v>
      </c>
      <c r="AC28" s="355"/>
      <c r="AD28" s="334"/>
    </row>
    <row r="29" spans="1:30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</v>
      </c>
      <c r="V29" s="362"/>
      <c r="W29" s="362"/>
      <c r="X29" s="362"/>
      <c r="Y29" s="363">
        <v>0.74</v>
      </c>
      <c r="Z29" s="363"/>
      <c r="AA29" s="363"/>
      <c r="AB29" s="363">
        <f>Y29</f>
        <v>0.74</v>
      </c>
      <c r="AC29" s="355"/>
      <c r="AD29" s="334"/>
    </row>
    <row r="30" spans="1:30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-26.14087</v>
      </c>
      <c r="V30" s="362"/>
      <c r="W30" s="362"/>
      <c r="X30" s="363"/>
      <c r="Y30" s="363">
        <v>-26.14087</v>
      </c>
      <c r="Z30" s="363"/>
      <c r="AA30" s="363"/>
      <c r="AB30" s="363">
        <v>-26.14087</v>
      </c>
      <c r="AC30" s="355"/>
      <c r="AD30" s="334"/>
    </row>
    <row r="31" spans="1:30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f>-(9.253*4)-(7.901*4)-(0.181*8)+5.409</f>
        <v>-64.654999999999987</v>
      </c>
      <c r="V31" s="362"/>
      <c r="W31" s="362"/>
      <c r="X31" s="362"/>
      <c r="Y31" s="363">
        <v>-64.654999999999987</v>
      </c>
      <c r="Z31" s="363"/>
      <c r="AA31" s="363"/>
      <c r="AB31" s="363">
        <v>-64.654999999999987</v>
      </c>
      <c r="AC31" s="355"/>
      <c r="AD31" s="334"/>
    </row>
    <row r="32" spans="1:30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 t="shared" si="0"/>
        <v>0</v>
      </c>
      <c r="AC32" s="355"/>
      <c r="AD32" s="334"/>
    </row>
    <row r="33" spans="1:30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 t="shared" si="0"/>
        <v>0</v>
      </c>
      <c r="AC33" s="355"/>
      <c r="AD33" s="334"/>
    </row>
    <row r="34" spans="1:30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>
        <v>-13.455000000000002</v>
      </c>
      <c r="V34" s="362"/>
      <c r="W34" s="362"/>
      <c r="X34" s="362">
        <v>-4.4850000000000003</v>
      </c>
      <c r="Y34" s="363">
        <v>-17.940000000000001</v>
      </c>
      <c r="Z34" s="363"/>
      <c r="AA34" s="363"/>
      <c r="AB34" s="363">
        <v>-17.940000000000001</v>
      </c>
      <c r="AC34" s="355"/>
      <c r="AD34" s="334"/>
    </row>
    <row r="35" spans="1:30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 t="shared" si="0"/>
        <v>0</v>
      </c>
      <c r="AC35" s="355"/>
      <c r="AD35" s="334"/>
    </row>
    <row r="36" spans="1:30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 t="shared" si="0"/>
        <v>0</v>
      </c>
      <c r="AC36" s="355"/>
      <c r="AD36" s="334"/>
    </row>
    <row r="37" spans="1:30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-28.647450000000003</v>
      </c>
      <c r="V37" s="351"/>
      <c r="W37" s="351"/>
      <c r="X37" s="351">
        <v>0</v>
      </c>
      <c r="Y37" s="363">
        <v>-28.647450000000003</v>
      </c>
      <c r="Z37" s="363"/>
      <c r="AA37" s="363"/>
      <c r="AB37" s="363">
        <f t="shared" ref="AB37" si="2">+W37+X37+AA37+Z37+Y37</f>
        <v>-28.647450000000003</v>
      </c>
      <c r="AC37" s="355"/>
      <c r="AD37" s="334"/>
    </row>
    <row r="38" spans="1:30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-21.64134</v>
      </c>
      <c r="V38" s="351"/>
      <c r="W38" s="351"/>
      <c r="X38" s="351">
        <v>0</v>
      </c>
      <c r="Y38" s="363"/>
      <c r="Z38" s="363"/>
      <c r="AA38" s="363"/>
      <c r="AB38" s="363">
        <f t="shared" si="0"/>
        <v>0</v>
      </c>
      <c r="AC38" s="350"/>
    </row>
    <row r="39" spans="1:30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-2.9120599999999999</v>
      </c>
      <c r="V39" s="351"/>
      <c r="W39" s="351"/>
      <c r="X39" s="351">
        <v>0</v>
      </c>
      <c r="Y39" s="363"/>
      <c r="Z39" s="363"/>
      <c r="AA39" s="363"/>
      <c r="AB39" s="363">
        <f t="shared" si="0"/>
        <v>0</v>
      </c>
      <c r="AC39" s="350"/>
    </row>
    <row r="40" spans="1:30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-2.18343</v>
      </c>
      <c r="V40" s="362"/>
      <c r="W40" s="351"/>
      <c r="X40" s="351">
        <v>0</v>
      </c>
      <c r="Y40" s="363"/>
      <c r="Z40" s="363"/>
      <c r="AA40" s="363"/>
      <c r="AB40" s="363">
        <f t="shared" si="0"/>
        <v>0</v>
      </c>
      <c r="AC40" s="350"/>
      <c r="AD40" s="334" t="s">
        <v>134</v>
      </c>
    </row>
    <row r="41" spans="1:30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-1.91062</v>
      </c>
      <c r="V41" s="362"/>
      <c r="W41" s="362"/>
      <c r="X41" s="351"/>
      <c r="Y41" s="363"/>
      <c r="Z41" s="363"/>
      <c r="AA41" s="363"/>
      <c r="AB41" s="363">
        <f t="shared" si="0"/>
        <v>0</v>
      </c>
      <c r="AC41" s="350"/>
    </row>
    <row r="42" spans="1:30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-8.16</v>
      </c>
      <c r="V42" s="362"/>
      <c r="W42" s="362"/>
      <c r="X42" s="351">
        <v>0</v>
      </c>
      <c r="Y42" s="363">
        <v>-8.16</v>
      </c>
      <c r="Z42" s="363"/>
      <c r="AA42" s="363"/>
      <c r="AB42" s="363">
        <v>-8.16</v>
      </c>
      <c r="AC42" s="355"/>
      <c r="AD42" s="334"/>
    </row>
    <row r="43" spans="1:30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v>0</v>
      </c>
      <c r="AC43" s="355"/>
      <c r="AD43" s="334"/>
    </row>
    <row r="44" spans="1:30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-3.3689999999999998</v>
      </c>
      <c r="V44" s="351"/>
      <c r="W44" s="351"/>
      <c r="X44" s="351"/>
      <c r="Y44" s="363">
        <v>-3.3689999999999998</v>
      </c>
      <c r="Z44" s="363"/>
      <c r="AA44" s="363"/>
      <c r="AB44" s="363">
        <v>-3.3689999999999998</v>
      </c>
      <c r="AC44" s="350"/>
    </row>
    <row r="45" spans="1:30" x14ac:dyDescent="0.2">
      <c r="A45" s="321" t="str">
        <f>IFERROR(VLOOKUP(B45,mapping_one_neo!A:B,2,FALSE),"")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>
        <v>-1.0069999999999999</v>
      </c>
      <c r="V45" s="351"/>
      <c r="W45" s="351"/>
      <c r="X45" s="351"/>
      <c r="Y45" s="363">
        <v>-1.0069999999999999</v>
      </c>
      <c r="Z45" s="363"/>
      <c r="AA45" s="363"/>
      <c r="AB45" s="363">
        <v>-1.0069999999999999</v>
      </c>
      <c r="AC45" s="350"/>
      <c r="AD45" s="334" t="s">
        <v>134</v>
      </c>
    </row>
    <row r="46" spans="1:30" s="342" customFormat="1" x14ac:dyDescent="0.2">
      <c r="A46" s="321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 t="shared" si="0"/>
        <v>0</v>
      </c>
      <c r="AC46" s="377"/>
      <c r="AD46" s="334"/>
    </row>
    <row r="47" spans="1:30" s="342" customFormat="1" x14ac:dyDescent="0.2">
      <c r="A47" s="321" t="s">
        <v>505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 t="s">
        <v>134</v>
      </c>
      <c r="AA47" s="363">
        <v>0.26829268292682962</v>
      </c>
      <c r="AB47" s="363">
        <v>336.7047473674142</v>
      </c>
      <c r="AC47" s="377"/>
      <c r="AD47" s="334"/>
    </row>
    <row r="48" spans="1:30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SUM(U9:U37,U42,U44:U45)</f>
        <v>-2477.0393400000003</v>
      </c>
      <c r="V49" s="383">
        <f>SUM(V8:V20)</f>
        <v>53.990672750000002</v>
      </c>
      <c r="W49" s="383">
        <v>0</v>
      </c>
      <c r="X49" s="383">
        <f>SUM(X8:X47)</f>
        <v>-9.5367999999999995</v>
      </c>
      <c r="Y49" s="383">
        <f>SUM(Y8:Y47)</f>
        <v>-2432.5854672500004</v>
      </c>
      <c r="Z49" s="383">
        <f>SUM(Z7:Z47)</f>
        <v>0</v>
      </c>
      <c r="AA49" s="383">
        <f>SUM(AA7:AA47)</f>
        <v>0.26829268292682962</v>
      </c>
      <c r="AB49" s="444">
        <f>SUM(AB7:AB47)</f>
        <v>-2073.6807198825859</v>
      </c>
      <c r="AC49" s="377"/>
      <c r="AD49" s="382" t="s">
        <v>134</v>
      </c>
    </row>
    <row r="50" spans="1:30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-133.33600000000001</v>
      </c>
      <c r="V52" s="362"/>
      <c r="W52" s="362"/>
      <c r="X52" s="362"/>
      <c r="Y52" s="363">
        <v>-133.33600000000001</v>
      </c>
      <c r="Z52" s="363"/>
      <c r="AA52" s="363"/>
      <c r="AB52" s="363">
        <v>-133.33600000000001</v>
      </c>
      <c r="AC52" s="355"/>
      <c r="AD52" s="334"/>
    </row>
    <row r="53" spans="1:30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-32</v>
      </c>
      <c r="V53" s="362"/>
      <c r="W53" s="362"/>
      <c r="X53" s="362"/>
      <c r="Y53" s="363">
        <v>-32</v>
      </c>
      <c r="Z53" s="363"/>
      <c r="AA53" s="363"/>
      <c r="AB53" s="363">
        <v>-32</v>
      </c>
      <c r="AC53" s="355"/>
      <c r="AD53" s="334"/>
    </row>
    <row r="54" spans="1:30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-19.335999999999999</v>
      </c>
      <c r="V54" s="362"/>
      <c r="W54" s="362"/>
      <c r="X54" s="362"/>
      <c r="Y54" s="363">
        <v>-19.335999999999999</v>
      </c>
      <c r="Z54" s="363"/>
      <c r="AA54" s="363"/>
      <c r="AB54" s="363">
        <v>-19.335999999999999</v>
      </c>
      <c r="AC54" s="355"/>
      <c r="AD54" s="334"/>
    </row>
    <row r="55" spans="1:30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-1.74146</v>
      </c>
      <c r="V55" s="362"/>
      <c r="W55" s="362"/>
      <c r="X55" s="362"/>
      <c r="Y55" s="363">
        <v>-1.74146</v>
      </c>
      <c r="Z55" s="363"/>
      <c r="AA55" s="363"/>
      <c r="AB55" s="363">
        <v>-1.74146</v>
      </c>
      <c r="AC55" s="355"/>
      <c r="AD55" s="334" t="s">
        <v>134</v>
      </c>
    </row>
    <row r="56" spans="1:30" s="449" customFormat="1" x14ac:dyDescent="0.2">
      <c r="A56" s="448" t="s">
        <v>509</v>
      </c>
      <c r="B56" s="449" t="s">
        <v>595</v>
      </c>
      <c r="C56" s="450" t="s">
        <v>784</v>
      </c>
      <c r="E56" s="356">
        <v>-1</v>
      </c>
      <c r="F56" s="352"/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451"/>
      <c r="T56" s="452"/>
      <c r="U56" s="453">
        <v>0</v>
      </c>
      <c r="V56" s="454"/>
      <c r="W56" s="454"/>
      <c r="X56" s="454"/>
      <c r="Y56" s="455">
        <v>0</v>
      </c>
      <c r="Z56" s="455">
        <v>27.838341342479907</v>
      </c>
      <c r="AA56" s="455">
        <v>9.2682926829268322</v>
      </c>
      <c r="AB56" s="455">
        <f t="shared" ref="AB56" si="3">SUM(Y56:AA56)</f>
        <v>37.106634025406741</v>
      </c>
      <c r="AC56" s="456"/>
      <c r="AD56" s="457"/>
    </row>
    <row r="57" spans="1:30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/>
      <c r="Y57" s="363">
        <v>0</v>
      </c>
      <c r="Z57" s="363"/>
      <c r="AA57" s="363"/>
      <c r="AB57" s="363">
        <v>0</v>
      </c>
      <c r="AC57" s="355"/>
      <c r="AD57" s="334"/>
    </row>
    <row r="58" spans="1:30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-186.41346000000001</v>
      </c>
      <c r="V58" s="354">
        <v>0</v>
      </c>
      <c r="W58" s="354">
        <v>0</v>
      </c>
      <c r="X58" s="354"/>
      <c r="Y58" s="357">
        <f>SUM(Y52:Y57)</f>
        <v>-186.41346000000001</v>
      </c>
      <c r="Z58" s="357">
        <f>SUM(Z52:Z57)</f>
        <v>27.838341342479907</v>
      </c>
      <c r="AA58" s="357">
        <f>SUM(AA52:AA57)</f>
        <v>9.2682926829268322</v>
      </c>
      <c r="AB58" s="357">
        <f>SUM(AB52:AB57)</f>
        <v>-149.30682597459327</v>
      </c>
      <c r="AC58" s="355"/>
      <c r="AD58" s="334"/>
    </row>
    <row r="59" spans="1:30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-8.23184</v>
      </c>
      <c r="V62" s="351">
        <v>-16.488009999999999</v>
      </c>
      <c r="W62" s="351"/>
      <c r="X62" s="351"/>
      <c r="Y62" s="363">
        <v>-24.719850000000001</v>
      </c>
      <c r="Z62" s="363"/>
      <c r="AA62" s="363"/>
      <c r="AB62" s="363">
        <v>-24.719850000000001</v>
      </c>
      <c r="AC62" s="355"/>
      <c r="AD62" s="334"/>
    </row>
    <row r="63" spans="1:30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-92.212060000000008</v>
      </c>
      <c r="W63" s="351"/>
      <c r="X63" s="351"/>
      <c r="Y63" s="363">
        <v>-92.212060000000008</v>
      </c>
      <c r="Z63" s="363"/>
      <c r="AA63" s="363"/>
      <c r="AB63" s="363">
        <v>-92.212060000000008</v>
      </c>
      <c r="AC63" s="355"/>
      <c r="AD63" s="334"/>
    </row>
    <row r="64" spans="1:30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-7.7359999999999998</v>
      </c>
      <c r="V64" s="351"/>
      <c r="W64" s="351"/>
      <c r="X64" s="351">
        <v>0</v>
      </c>
      <c r="Y64" s="363">
        <v>-7.7359999999999998</v>
      </c>
      <c r="Z64" s="363"/>
      <c r="AA64" s="363"/>
      <c r="AB64" s="363">
        <v>-7.7359999999999998</v>
      </c>
      <c r="AC64" s="355"/>
      <c r="AD64" s="334"/>
    </row>
    <row r="65" spans="1:30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-1.536</v>
      </c>
      <c r="V65" s="351"/>
      <c r="W65" s="351"/>
      <c r="X65" s="351">
        <v>0</v>
      </c>
      <c r="Y65" s="363">
        <v>-1.536</v>
      </c>
      <c r="Z65" s="363"/>
      <c r="AA65" s="363"/>
      <c r="AB65" s="363">
        <v>-1.536</v>
      </c>
      <c r="AC65" s="355"/>
      <c r="AD65" s="334"/>
    </row>
    <row r="66" spans="1:30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>
        <v>0</v>
      </c>
      <c r="AC66" s="355"/>
      <c r="AD66" s="334"/>
    </row>
    <row r="67" spans="1:30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-3.2065000000000001</v>
      </c>
      <c r="V67" s="351"/>
      <c r="W67" s="351"/>
      <c r="X67" s="351">
        <v>0</v>
      </c>
      <c r="Y67" s="363">
        <v>-3.2065000000000001</v>
      </c>
      <c r="Z67" s="363"/>
      <c r="AA67" s="363"/>
      <c r="AB67" s="363">
        <v>-3.2065000000000001</v>
      </c>
      <c r="AC67" s="355"/>
      <c r="AD67" s="334"/>
    </row>
    <row r="68" spans="1:30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f>-7.24211+3.7</f>
        <v>-3.5421100000000001</v>
      </c>
      <c r="V68" s="351"/>
      <c r="W68" s="351"/>
      <c r="X68" s="351"/>
      <c r="Y68" s="363">
        <v>-3.5421100000000001</v>
      </c>
      <c r="Z68" s="363"/>
      <c r="AA68" s="363"/>
      <c r="AB68" s="363">
        <v>-3.5421100000000001</v>
      </c>
      <c r="AC68" s="355"/>
      <c r="AD68" s="334"/>
    </row>
    <row r="69" spans="1:30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-1.3912000000000013</v>
      </c>
      <c r="V69" s="351"/>
      <c r="W69" s="351"/>
      <c r="X69" s="351"/>
      <c r="Y69" s="363">
        <v>-1.3912000000000013</v>
      </c>
      <c r="Z69" s="363"/>
      <c r="AA69" s="363"/>
      <c r="AB69" s="363">
        <v>-1.3912000000000013</v>
      </c>
      <c r="AC69" s="355"/>
      <c r="AD69" s="334"/>
    </row>
    <row r="70" spans="1:30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-9</v>
      </c>
      <c r="V70" s="351"/>
      <c r="W70" s="351"/>
      <c r="X70" s="351"/>
      <c r="Y70" s="363">
        <v>-9</v>
      </c>
      <c r="Z70" s="363"/>
      <c r="AA70" s="363"/>
      <c r="AB70" s="363">
        <v>-9</v>
      </c>
      <c r="AC70" s="355"/>
      <c r="AD70" s="334"/>
    </row>
    <row r="71" spans="1:30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-34.643650000000008</v>
      </c>
      <c r="V72" s="393">
        <f t="shared" ref="V72:AB72" si="4">SUM(V62:V71)</f>
        <v>-108.70007000000001</v>
      </c>
      <c r="W72" s="393">
        <f t="shared" si="4"/>
        <v>0</v>
      </c>
      <c r="X72" s="393">
        <f t="shared" si="4"/>
        <v>0</v>
      </c>
      <c r="Y72" s="395">
        <f t="shared" si="4"/>
        <v>-143.34372000000002</v>
      </c>
      <c r="Z72" s="395">
        <f t="shared" si="4"/>
        <v>0</v>
      </c>
      <c r="AA72" s="395">
        <f t="shared" si="4"/>
        <v>0</v>
      </c>
      <c r="AB72" s="395">
        <f t="shared" si="4"/>
        <v>-143.34372000000002</v>
      </c>
      <c r="AC72" s="394"/>
      <c r="AD72" s="334"/>
    </row>
    <row r="73" spans="1:30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-12.564169999999999</v>
      </c>
      <c r="V75" s="351"/>
      <c r="W75" s="351"/>
      <c r="X75" s="351"/>
      <c r="Y75" s="363">
        <v>-12.564169999999999</v>
      </c>
      <c r="Z75" s="363"/>
      <c r="AA75" s="363"/>
      <c r="AB75" s="363">
        <f>SUM(Y75:AA75)</f>
        <v>-12.564169999999999</v>
      </c>
      <c r="AC75" s="355" t="s">
        <v>134</v>
      </c>
      <c r="AD75" s="334"/>
    </row>
    <row r="76" spans="1:30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-5.4061599999999999</v>
      </c>
      <c r="V76" s="351"/>
      <c r="W76" s="351"/>
      <c r="X76" s="351"/>
      <c r="Y76" s="363">
        <v>-5.4061599999999999</v>
      </c>
      <c r="Z76" s="363"/>
      <c r="AA76" s="363"/>
      <c r="AB76" s="363">
        <f t="shared" ref="AB76:AB78" si="5">SUM(Y76:AA76)</f>
        <v>-5.4061599999999999</v>
      </c>
      <c r="AC76" s="355"/>
      <c r="AD76" s="334"/>
    </row>
    <row r="77" spans="1:30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-5.81569</v>
      </c>
      <c r="V77" s="351"/>
      <c r="W77" s="351"/>
      <c r="X77" s="351"/>
      <c r="Y77" s="363">
        <v>-5.81569</v>
      </c>
      <c r="Z77" s="363"/>
      <c r="AA77" s="363"/>
      <c r="AB77" s="363">
        <f t="shared" si="5"/>
        <v>-5.81569</v>
      </c>
      <c r="AC77" s="355"/>
      <c r="AD77" s="334"/>
    </row>
    <row r="78" spans="1:30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-4.6175199999999998</v>
      </c>
      <c r="V78" s="351"/>
      <c r="W78" s="351"/>
      <c r="X78" s="351">
        <v>0</v>
      </c>
      <c r="Y78" s="363">
        <v>-4.6175199999999998</v>
      </c>
      <c r="Z78" s="363"/>
      <c r="AA78" s="363"/>
      <c r="AB78" s="363">
        <f t="shared" si="5"/>
        <v>-4.6175199999999998</v>
      </c>
      <c r="AC78" s="355"/>
      <c r="AD78" s="334"/>
    </row>
    <row r="79" spans="1:30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-28.403539999999996</v>
      </c>
      <c r="V79" s="393">
        <f t="shared" ref="V79:AB79" si="6">SUM(V75:V78)</f>
        <v>0</v>
      </c>
      <c r="W79" s="393">
        <f t="shared" si="6"/>
        <v>0</v>
      </c>
      <c r="X79" s="393">
        <f t="shared" si="6"/>
        <v>0</v>
      </c>
      <c r="Y79" s="393">
        <f t="shared" si="6"/>
        <v>-28.403539999999996</v>
      </c>
      <c r="Z79" s="393">
        <f t="shared" si="6"/>
        <v>0</v>
      </c>
      <c r="AA79" s="393">
        <f t="shared" si="6"/>
        <v>0</v>
      </c>
      <c r="AB79" s="393">
        <f t="shared" si="6"/>
        <v>-28.403539999999996</v>
      </c>
      <c r="AC79" s="394"/>
      <c r="AD79" s="334"/>
    </row>
    <row r="80" spans="1:30" s="387" customFormat="1" x14ac:dyDescent="0.2">
      <c r="A80" s="320"/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458" customFormat="1" x14ac:dyDescent="0.2">
      <c r="A81" s="448" t="s">
        <v>816</v>
      </c>
      <c r="B81" s="458" t="s">
        <v>747</v>
      </c>
      <c r="C81" s="459"/>
      <c r="E81" s="397"/>
      <c r="F81" s="38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460"/>
      <c r="T81" s="461"/>
      <c r="U81" s="462"/>
      <c r="V81" s="462"/>
      <c r="W81" s="462"/>
      <c r="X81" s="462"/>
      <c r="Y81" s="462"/>
      <c r="Z81" s="462">
        <v>21.7212279751107</v>
      </c>
      <c r="AA81" s="462"/>
      <c r="AB81" s="462">
        <f>Z81</f>
        <v>21.7212279751107</v>
      </c>
      <c r="AC81" s="463"/>
      <c r="AD81" s="457"/>
    </row>
    <row r="82" spans="1:30" x14ac:dyDescent="0.2">
      <c r="A82" s="320" t="str">
        <f>IFERROR(VLOOKUP(B82,mapping_one_neo!A:B,2,FALSE),"")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-63.047190000000001</v>
      </c>
      <c r="V83" s="354">
        <f t="shared" ref="V83:AA83" si="7">V72+V79</f>
        <v>-108.70007000000001</v>
      </c>
      <c r="W83" s="354">
        <f t="shared" si="7"/>
        <v>0</v>
      </c>
      <c r="X83" s="354">
        <f t="shared" si="7"/>
        <v>0</v>
      </c>
      <c r="Y83" s="354">
        <f t="shared" si="7"/>
        <v>-171.74726000000001</v>
      </c>
      <c r="Z83" s="354">
        <f>Z81</f>
        <v>21.7212279751107</v>
      </c>
      <c r="AA83" s="354">
        <f t="shared" si="7"/>
        <v>0</v>
      </c>
      <c r="AB83" s="354">
        <f>AB72+AB79+AB81</f>
        <v>-150.0260320248893</v>
      </c>
      <c r="AC83" s="350"/>
    </row>
    <row r="84" spans="1:30" x14ac:dyDescent="0.2">
      <c r="A84" s="320" t="str">
        <f>IFERROR(VLOOKUP(B84,mapping_one_neo!A:B,2,FALSE),"")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>
        <v>-1.7</v>
      </c>
      <c r="V87" s="351"/>
      <c r="W87" s="351">
        <v>0.85</v>
      </c>
      <c r="X87" s="351"/>
      <c r="Y87" s="363">
        <v>-0.85</v>
      </c>
      <c r="Z87" s="363"/>
      <c r="AA87" s="363"/>
      <c r="AB87" s="363">
        <v>-0.85</v>
      </c>
      <c r="AC87" s="355"/>
      <c r="AD87" s="334"/>
    </row>
    <row r="88" spans="1:30" s="352" customFormat="1" x14ac:dyDescent="0.2">
      <c r="A88" s="320" t="str">
        <f>IFERROR(VLOOKUP(B88,mapping_one_neo!A:B,2,FALSE),"")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>
        <v>0</v>
      </c>
      <c r="V88" s="351"/>
      <c r="W88" s="351"/>
      <c r="X88" s="351"/>
      <c r="Y88" s="363">
        <v>0</v>
      </c>
      <c r="Z88" s="363"/>
      <c r="AA88" s="363"/>
      <c r="AB88" s="363">
        <v>0</v>
      </c>
      <c r="AC88" s="355"/>
      <c r="AD88" s="334"/>
    </row>
    <row r="89" spans="1:30" s="352" customFormat="1" x14ac:dyDescent="0.2">
      <c r="A89" s="320" t="str">
        <f>IFERROR(VLOOKUP(B89,mapping_one_neo!A:B,2,FALSE),"")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-2.00827</v>
      </c>
      <c r="V89" s="351"/>
      <c r="W89" s="351"/>
      <c r="X89" s="351"/>
      <c r="Y89" s="363">
        <v>-2.00827</v>
      </c>
      <c r="Z89" s="363"/>
      <c r="AA89" s="363"/>
      <c r="AB89" s="363">
        <v>-2.00827</v>
      </c>
      <c r="AC89" s="355"/>
      <c r="AD89" s="334"/>
    </row>
    <row r="90" spans="1:30" s="387" customFormat="1" x14ac:dyDescent="0.2">
      <c r="A90" s="320">
        <f>IFERROR(VLOOKUP(B90,mapping_one_neo!A:B,2,FALSE),"")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SUM(U87:U89)</f>
        <v>-3.7082699999999997</v>
      </c>
      <c r="V90" s="393">
        <f t="shared" ref="V90:AA90" si="8">SUM(V88:V89)</f>
        <v>0</v>
      </c>
      <c r="W90" s="393">
        <f>SUM(W87:W89)</f>
        <v>0.85</v>
      </c>
      <c r="X90" s="393">
        <f>SUM(X87:X89)</f>
        <v>0</v>
      </c>
      <c r="Y90" s="395">
        <f>SUM(Y87:Y89)</f>
        <v>-2.8582700000000001</v>
      </c>
      <c r="Z90" s="395">
        <f t="shared" si="8"/>
        <v>0</v>
      </c>
      <c r="AA90" s="395">
        <f t="shared" si="8"/>
        <v>0</v>
      </c>
      <c r="AB90" s="395">
        <f>SUM(AB87:AB89)</f>
        <v>-2.8582700000000001</v>
      </c>
      <c r="AC90" s="394"/>
      <c r="AD90" s="334"/>
    </row>
    <row r="91" spans="1:30" x14ac:dyDescent="0.2">
      <c r="A91" s="320" t="str">
        <f>IFERROR(VLOOKUP(B91,mapping_one_neo!A:B,2,FALSE),"")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f>-4.03812+1.15</f>
        <v>-2.8881200000000002</v>
      </c>
      <c r="V93" s="351"/>
      <c r="W93" s="351"/>
      <c r="X93" s="351"/>
      <c r="Y93" s="363">
        <v>-2.8881200000000002</v>
      </c>
      <c r="Z93" s="363"/>
      <c r="AA93" s="363"/>
      <c r="AB93" s="363">
        <v>-2.8881200000000002</v>
      </c>
      <c r="AC93" s="355"/>
    </row>
    <row r="94" spans="1:30" s="352" customFormat="1" x14ac:dyDescent="0.2">
      <c r="A94" s="320" t="str">
        <f>IFERROR(VLOOKUP(B94,mapping_one_neo!A:B,2,FALSE),"")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/>
      <c r="Y94" s="363">
        <v>0.90203999999999995</v>
      </c>
      <c r="Z94" s="363"/>
      <c r="AA94" s="363"/>
      <c r="AB94" s="363">
        <v>0.90203999999999995</v>
      </c>
      <c r="AC94" s="355"/>
      <c r="AD94" s="334"/>
    </row>
    <row r="95" spans="1:30" s="387" customFormat="1" x14ac:dyDescent="0.2">
      <c r="A95" s="320">
        <f>IFERROR(VLOOKUP(B95,mapping_one_neo!A:B,2,FALSE),"")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-1.9860800000000003</v>
      </c>
      <c r="V95" s="393">
        <f t="shared" ref="V95:AB95" si="9">SUM(V93:V94)</f>
        <v>0</v>
      </c>
      <c r="W95" s="393">
        <f t="shared" si="9"/>
        <v>0</v>
      </c>
      <c r="X95" s="393">
        <f t="shared" si="9"/>
        <v>0</v>
      </c>
      <c r="Y95" s="393">
        <f t="shared" si="9"/>
        <v>-1.9860800000000003</v>
      </c>
      <c r="Z95" s="393">
        <f t="shared" si="9"/>
        <v>0</v>
      </c>
      <c r="AA95" s="393">
        <f t="shared" si="9"/>
        <v>0</v>
      </c>
      <c r="AB95" s="393">
        <f t="shared" si="9"/>
        <v>-1.9860800000000003</v>
      </c>
      <c r="AC95" s="394"/>
      <c r="AD95" s="334"/>
    </row>
    <row r="96" spans="1:30" x14ac:dyDescent="0.2">
      <c r="A96" s="320" t="str">
        <f>IFERROR(VLOOKUP(B96,mapping_one_neo!A:B,2,FALSE),"")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f>-138.73769-45.6</f>
        <v>-184.33768999999998</v>
      </c>
      <c r="V98" s="362"/>
      <c r="W98" s="362"/>
      <c r="X98" s="351"/>
      <c r="Y98" s="363">
        <v>-184.33768999999998</v>
      </c>
      <c r="Z98" s="363"/>
      <c r="AA98" s="363"/>
      <c r="AB98" s="363">
        <v>-184.33768999999998</v>
      </c>
      <c r="AC98" s="355"/>
      <c r="AD98" s="334"/>
    </row>
    <row r="99" spans="1:30" s="352" customFormat="1" x14ac:dyDescent="0.2">
      <c r="A99" s="320" t="str">
        <f>IFERROR(VLOOKUP(B99,mapping_one_neo!A:B,2,FALSE),"")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-41.335999999999999</v>
      </c>
      <c r="V99" s="362"/>
      <c r="W99" s="362"/>
      <c r="X99" s="362"/>
      <c r="Y99" s="363">
        <v>-41.335999999999999</v>
      </c>
      <c r="Z99" s="363"/>
      <c r="AA99" s="363"/>
      <c r="AB99" s="363">
        <v>-41.335999999999999</v>
      </c>
      <c r="AC99" s="355"/>
      <c r="AD99" s="334"/>
    </row>
    <row r="100" spans="1:30" s="387" customFormat="1" x14ac:dyDescent="0.2">
      <c r="A100" s="320">
        <f>IFERROR(VLOOKUP(B100,mapping_one_neo!A:B,2,FALSE),"")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-225.67368999999997</v>
      </c>
      <c r="V100" s="393">
        <f t="shared" ref="V100:AB100" si="10">SUM(V98:V99)</f>
        <v>0</v>
      </c>
      <c r="W100" s="393">
        <f t="shared" si="10"/>
        <v>0</v>
      </c>
      <c r="X100" s="393">
        <f t="shared" si="10"/>
        <v>0</v>
      </c>
      <c r="Y100" s="393">
        <f t="shared" si="10"/>
        <v>-225.67368999999997</v>
      </c>
      <c r="Z100" s="393">
        <f t="shared" si="10"/>
        <v>0</v>
      </c>
      <c r="AA100" s="393">
        <f t="shared" si="10"/>
        <v>0</v>
      </c>
      <c r="AB100" s="393">
        <f t="shared" si="10"/>
        <v>-225.67368999999997</v>
      </c>
      <c r="AC100" s="394"/>
      <c r="AD100" s="334"/>
    </row>
    <row r="101" spans="1:30" x14ac:dyDescent="0.2">
      <c r="A101" s="320" t="str">
        <f>IFERROR(VLOOKUP(B101,mapping_one_neo!A:B,2,FALSE),"")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s="457" customFormat="1" x14ac:dyDescent="0.2">
      <c r="A102" s="448" t="s">
        <v>517</v>
      </c>
      <c r="B102" s="457" t="s">
        <v>70</v>
      </c>
      <c r="C102" s="464"/>
      <c r="E102" s="335"/>
      <c r="F102" s="334"/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460"/>
      <c r="T102" s="461"/>
      <c r="U102" s="453"/>
      <c r="V102" s="453"/>
      <c r="W102" s="453"/>
      <c r="X102" s="453"/>
      <c r="Y102" s="465"/>
      <c r="Z102" s="465">
        <v>44.62</v>
      </c>
      <c r="AA102" s="465"/>
      <c r="AB102" s="455">
        <v>44.619654459635605</v>
      </c>
      <c r="AC102" s="466"/>
    </row>
    <row r="103" spans="1:30" x14ac:dyDescent="0.2">
      <c r="A103" s="320" t="str">
        <f>IFERROR(VLOOKUP(B103,mapping_one_neo!A:B,2,FALSE),"")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-231.36803999999995</v>
      </c>
      <c r="V104" s="354">
        <f t="shared" ref="V104:AA104" si="11">V95+V100</f>
        <v>0</v>
      </c>
      <c r="W104" s="354">
        <f>W95+W100+W90</f>
        <v>0.85</v>
      </c>
      <c r="X104" s="354">
        <f>X95+X100+X90</f>
        <v>0</v>
      </c>
      <c r="Y104" s="354">
        <f>Y95+Y100+Y90</f>
        <v>-230.51803999999996</v>
      </c>
      <c r="Z104" s="354">
        <f>Z95+Z100+Z102</f>
        <v>44.62</v>
      </c>
      <c r="AA104" s="354">
        <f t="shared" si="11"/>
        <v>0</v>
      </c>
      <c r="AB104" s="354">
        <f>AB95+AB100+AB90+AB102</f>
        <v>-185.89838554036436</v>
      </c>
      <c r="AC104" s="350"/>
    </row>
    <row r="105" spans="1:30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-0.76568999999999998</v>
      </c>
      <c r="V109" s="351"/>
      <c r="W109" s="351"/>
      <c r="X109" s="351">
        <v>0</v>
      </c>
      <c r="Y109" s="363">
        <v>-0.76568999999999998</v>
      </c>
      <c r="Z109" s="363"/>
      <c r="AA109" s="363"/>
      <c r="AB109" s="363">
        <f>SUM(Y109:AA109)</f>
        <v>-0.76568999999999998</v>
      </c>
      <c r="AC109" s="355"/>
      <c r="AD109" s="334"/>
    </row>
    <row r="110" spans="1:30" s="352" customFormat="1" x14ac:dyDescent="0.2">
      <c r="A110" s="320" t="str">
        <f>IFERROR(VLOOKUP(B110,mapping_one_neo!A:B,2,FALSE),"")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-1.3360000000000001</v>
      </c>
      <c r="V110" s="351"/>
      <c r="W110" s="351"/>
      <c r="X110" s="351">
        <v>0</v>
      </c>
      <c r="Y110" s="363">
        <v>-1.3360000000000001</v>
      </c>
      <c r="Z110" s="363"/>
      <c r="AA110" s="363">
        <v>0.30810268927129797</v>
      </c>
      <c r="AB110" s="363">
        <f t="shared" ref="AB110:AB111" si="12">SUM(Y110:AA110)</f>
        <v>-1.0278973107287022</v>
      </c>
      <c r="AC110" s="355"/>
      <c r="AD110" s="334"/>
    </row>
    <row r="111" spans="1:30" s="352" customFormat="1" x14ac:dyDescent="0.2">
      <c r="A111" s="320" t="str">
        <f>IFERROR(VLOOKUP(B111,mapping_one_neo!A:B,2,FALSE),"")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v>1.173</v>
      </c>
      <c r="Z111" s="363"/>
      <c r="AA111" s="363">
        <v>0.10975609756097557</v>
      </c>
      <c r="AB111" s="363">
        <f t="shared" si="12"/>
        <v>1.2827560975609755</v>
      </c>
      <c r="AC111" s="355"/>
      <c r="AD111" s="334"/>
    </row>
    <row r="112" spans="1:30" s="387" customFormat="1" x14ac:dyDescent="0.2">
      <c r="A112" s="320">
        <f>IFERROR(VLOOKUP(B112,mapping_one_neo!A:B,2,FALSE),"")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-0.92869000000000002</v>
      </c>
      <c r="V112" s="393">
        <f t="shared" ref="V112:AA112" si="13">SUM(V109:V111)</f>
        <v>0</v>
      </c>
      <c r="W112" s="393">
        <f t="shared" si="13"/>
        <v>0</v>
      </c>
      <c r="X112" s="393">
        <f t="shared" si="13"/>
        <v>0</v>
      </c>
      <c r="Y112" s="393">
        <f t="shared" si="13"/>
        <v>-0.92869000000000002</v>
      </c>
      <c r="Z112" s="393">
        <f t="shared" si="13"/>
        <v>0</v>
      </c>
      <c r="AA112" s="393">
        <f t="shared" si="13"/>
        <v>0.41785878683227351</v>
      </c>
      <c r="AB112" s="393">
        <f>SUM(AB109:AB111)</f>
        <v>-0.51083121316772662</v>
      </c>
      <c r="AC112" s="394"/>
      <c r="AD112" s="334"/>
    </row>
    <row r="113" spans="1:30" s="387" customFormat="1" x14ac:dyDescent="0.2">
      <c r="A113" s="320" t="str">
        <f>IFERROR(VLOOKUP(B113,mapping_one_neo!A:B,2,FALSE),"")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-0.42608000000000001</v>
      </c>
      <c r="V115" s="351"/>
      <c r="W115" s="351"/>
      <c r="X115" s="351"/>
      <c r="Y115" s="363">
        <v>-0.42608000000000001</v>
      </c>
      <c r="Z115" s="363"/>
      <c r="AA115" s="363"/>
      <c r="AB115" s="363">
        <v>-0.42608000000000001</v>
      </c>
      <c r="AC115" s="355"/>
      <c r="AD115" s="334"/>
    </row>
    <row r="116" spans="1:30" s="352" customFormat="1" x14ac:dyDescent="0.2">
      <c r="A116" s="320" t="str">
        <f>IFERROR(VLOOKUP(B116,mapping_one_neo!A:B,2,FALSE),"")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-0.28456999999999999</v>
      </c>
      <c r="V116" s="351"/>
      <c r="W116" s="351"/>
      <c r="X116" s="351"/>
      <c r="Y116" s="363">
        <v>-0.28456999999999999</v>
      </c>
      <c r="Z116" s="363"/>
      <c r="AA116" s="363"/>
      <c r="AB116" s="363">
        <v>-0.28456999999999999</v>
      </c>
      <c r="AC116" s="355"/>
      <c r="AD116" s="334"/>
    </row>
    <row r="117" spans="1:30" s="387" customFormat="1" x14ac:dyDescent="0.2">
      <c r="A117" s="320">
        <f>IFERROR(VLOOKUP(B117,mapping_one_neo!A:B,2,FALSE),"")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-0.71065</v>
      </c>
      <c r="V117" s="424">
        <f t="shared" ref="V117:AA117" si="14">SUM(V116)</f>
        <v>0</v>
      </c>
      <c r="W117" s="424">
        <f t="shared" si="14"/>
        <v>0</v>
      </c>
      <c r="X117" s="424">
        <f>SUM(X115:X116)</f>
        <v>0</v>
      </c>
      <c r="Y117" s="424">
        <f>SUM(Y115:Y116)</f>
        <v>-0.71065</v>
      </c>
      <c r="Z117" s="424">
        <f t="shared" si="14"/>
        <v>0</v>
      </c>
      <c r="AA117" s="424">
        <f t="shared" si="14"/>
        <v>0</v>
      </c>
      <c r="AB117" s="424">
        <f>SUM(AB115:AB116)</f>
        <v>-0.71065</v>
      </c>
      <c r="AC117" s="394"/>
      <c r="AD117" s="334"/>
    </row>
    <row r="118" spans="1:30" s="387" customFormat="1" x14ac:dyDescent="0.2">
      <c r="A118" s="320" t="str">
        <f>IFERROR(VLOOKUP(B118,mapping_one_neo!A:B,2,FALSE),"")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B122" si="15">SUM(V120:V121)</f>
        <v>0</v>
      </c>
      <c r="W122" s="393">
        <f t="shared" si="15"/>
        <v>0</v>
      </c>
      <c r="X122" s="393">
        <f t="shared" si="15"/>
        <v>0</v>
      </c>
      <c r="Y122" s="393">
        <f t="shared" si="15"/>
        <v>-1.173</v>
      </c>
      <c r="Z122" s="393">
        <f t="shared" si="15"/>
        <v>0</v>
      </c>
      <c r="AA122" s="393">
        <f t="shared" si="15"/>
        <v>0</v>
      </c>
      <c r="AB122" s="393">
        <f t="shared" si="15"/>
        <v>-1.173</v>
      </c>
      <c r="AC122" s="394"/>
      <c r="AD122" s="334"/>
    </row>
    <row r="123" spans="1:30" s="387" customFormat="1" x14ac:dyDescent="0.2">
      <c r="A123" s="320" t="str">
        <f>IFERROR(VLOOKUP(B123,mapping_one_neo!A:B,2,FALSE),"")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-1.8834200000000001</v>
      </c>
      <c r="V125" s="351"/>
      <c r="W125" s="351"/>
      <c r="X125" s="351"/>
      <c r="Y125" s="363">
        <v>-1.8834200000000001</v>
      </c>
      <c r="Z125" s="363"/>
      <c r="AA125" s="363"/>
      <c r="AB125" s="363">
        <f>SUM(Y125:AA125)</f>
        <v>-1.8834200000000001</v>
      </c>
      <c r="AC125" s="355"/>
      <c r="AD125" s="334" t="s">
        <v>134</v>
      </c>
    </row>
    <row r="126" spans="1:30" s="352" customFormat="1" x14ac:dyDescent="0.2">
      <c r="A126" s="320" t="str">
        <f>IFERROR(VLOOKUP(B126,mapping_one_neo!A:B,2,FALSE),"")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-73.335999999999999</v>
      </c>
      <c r="V126" s="351">
        <v>-7.4999999999999997E-2</v>
      </c>
      <c r="W126" s="351"/>
      <c r="X126" s="351"/>
      <c r="Y126" s="363">
        <v>-73.411000000000001</v>
      </c>
      <c r="Z126" s="363"/>
      <c r="AA126" s="363"/>
      <c r="AB126" s="363">
        <f t="shared" ref="AB126:AB132" si="16">SUM(Y126:AA126)</f>
        <v>-73.411000000000001</v>
      </c>
      <c r="AC126" s="355"/>
      <c r="AD126" s="334"/>
    </row>
    <row r="127" spans="1:30" s="352" customFormat="1" ht="14.25" customHeight="1" x14ac:dyDescent="0.2">
      <c r="A127" s="320" t="str">
        <f>IFERROR(VLOOKUP(B127,mapping_one_neo!A:B,2,FALSE),"")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-3.536</v>
      </c>
      <c r="V127" s="351"/>
      <c r="W127" s="351"/>
      <c r="X127" s="351"/>
      <c r="Y127" s="363">
        <v>-3.536</v>
      </c>
      <c r="Z127" s="363"/>
      <c r="AA127" s="363"/>
      <c r="AB127" s="363">
        <f t="shared" si="16"/>
        <v>-3.536</v>
      </c>
      <c r="AC127" s="355"/>
      <c r="AD127" s="334"/>
    </row>
    <row r="128" spans="1:30" s="352" customFormat="1" ht="14.25" customHeight="1" x14ac:dyDescent="0.2">
      <c r="A128" s="320" t="str">
        <f>IFERROR(VLOOKUP(B128,mapping_one_neo!A:B,2,FALSE),"")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-0.11899999999999999</v>
      </c>
      <c r="V128" s="351"/>
      <c r="W128" s="351"/>
      <c r="X128" s="351"/>
      <c r="Y128" s="363">
        <v>-0.11899999999999999</v>
      </c>
      <c r="Z128" s="363"/>
      <c r="AA128" s="363"/>
      <c r="AB128" s="363">
        <f t="shared" si="16"/>
        <v>-0.11899999999999999</v>
      </c>
      <c r="AC128" s="355"/>
      <c r="AD128" s="334"/>
    </row>
    <row r="129" spans="1:30" s="352" customFormat="1" x14ac:dyDescent="0.2">
      <c r="A129" s="320" t="str">
        <f>IFERROR(VLOOKUP(B129,mapping_one_neo!A:B,2,FALSE),"")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f t="shared" si="16"/>
        <v>0</v>
      </c>
      <c r="AC129" s="355"/>
      <c r="AD129" s="334"/>
    </row>
    <row r="130" spans="1:30" s="352" customFormat="1" x14ac:dyDescent="0.2">
      <c r="A130" s="320" t="str">
        <f>IFERROR(VLOOKUP(B130,mapping_one_neo!A:B,2,FALSE),"")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-2.6639999999999997</v>
      </c>
      <c r="V130" s="351"/>
      <c r="W130" s="351"/>
      <c r="X130" s="351"/>
      <c r="Y130" s="363">
        <v>-2.6639999999999997</v>
      </c>
      <c r="Z130" s="363"/>
      <c r="AA130" s="363"/>
      <c r="AB130" s="363">
        <f t="shared" si="16"/>
        <v>-2.6639999999999997</v>
      </c>
      <c r="AC130" s="355"/>
      <c r="AD130" s="334"/>
    </row>
    <row r="131" spans="1:30" s="352" customFormat="1" x14ac:dyDescent="0.2">
      <c r="A131" s="320" t="str">
        <f>IFERROR(VLOOKUP(B131,mapping_one_neo!A:B,2,FALSE),"")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-6.6899999999999998E-3</v>
      </c>
      <c r="V131" s="351"/>
      <c r="W131" s="351"/>
      <c r="X131" s="351"/>
      <c r="Y131" s="363">
        <v>-6.6899999999999998E-3</v>
      </c>
      <c r="Z131" s="363"/>
      <c r="AA131" s="363"/>
      <c r="AB131" s="363">
        <f t="shared" si="16"/>
        <v>-6.6899999999999998E-3</v>
      </c>
      <c r="AC131" s="355"/>
      <c r="AD131" s="334"/>
    </row>
    <row r="132" spans="1:30" s="352" customFormat="1" x14ac:dyDescent="0.2">
      <c r="A132" s="320" t="str">
        <f>IFERROR(VLOOKUP(B132,mapping_one_neo!A:B,2,FALSE),"")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-2.2717299999999998</v>
      </c>
      <c r="V132" s="351"/>
      <c r="W132" s="351"/>
      <c r="X132" s="351"/>
      <c r="Y132" s="363">
        <v>-2.2717299999999998</v>
      </c>
      <c r="Z132" s="363"/>
      <c r="AA132" s="363"/>
      <c r="AB132" s="363">
        <f t="shared" si="16"/>
        <v>-2.2717299999999998</v>
      </c>
      <c r="AC132" s="355"/>
      <c r="AD132" s="334"/>
    </row>
    <row r="133" spans="1:30" s="352" customFormat="1" x14ac:dyDescent="0.2">
      <c r="A133" s="320" t="str">
        <f>IFERROR(VLOOKUP(B133,mapping_one_neo!A:B,2,FALSE),"")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-83.816840000000013</v>
      </c>
      <c r="V135" s="393">
        <f t="shared" ref="V135:AA135" si="17">SUM(V125:V134)</f>
        <v>-7.4999999999999997E-2</v>
      </c>
      <c r="W135" s="393">
        <f t="shared" si="17"/>
        <v>0</v>
      </c>
      <c r="X135" s="393">
        <f t="shared" si="17"/>
        <v>0</v>
      </c>
      <c r="Y135" s="393">
        <f t="shared" si="17"/>
        <v>-83.891840000000016</v>
      </c>
      <c r="Z135" s="393">
        <f t="shared" si="17"/>
        <v>0</v>
      </c>
      <c r="AA135" s="393">
        <f t="shared" si="17"/>
        <v>0</v>
      </c>
      <c r="AB135" s="393">
        <f>SUM(AB125:AB134)</f>
        <v>-83.891840000000016</v>
      </c>
      <c r="AC135" s="394"/>
      <c r="AD135" s="334"/>
    </row>
    <row r="136" spans="1:30" s="387" customFormat="1" x14ac:dyDescent="0.2">
      <c r="A136" s="320"/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458" customFormat="1" x14ac:dyDescent="0.2">
      <c r="A137" s="448" t="s">
        <v>520</v>
      </c>
      <c r="B137" s="458" t="s">
        <v>811</v>
      </c>
      <c r="C137" s="459"/>
      <c r="E137" s="397"/>
      <c r="F137" s="38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460"/>
      <c r="T137" s="461"/>
      <c r="U137" s="462"/>
      <c r="V137" s="462"/>
      <c r="W137" s="462"/>
      <c r="X137" s="462"/>
      <c r="Y137" s="462"/>
      <c r="Z137" s="462">
        <v>12.292463131109439</v>
      </c>
      <c r="AA137" s="462"/>
      <c r="AB137" s="462">
        <v>12.292463131109439</v>
      </c>
      <c r="AC137" s="463"/>
      <c r="AD137" s="457"/>
    </row>
    <row r="138" spans="1:30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-86.629180000000019</v>
      </c>
      <c r="V139" s="354">
        <f t="shared" ref="V139:AA139" si="18">V135+V122+V117+V112</f>
        <v>-7.4999999999999997E-2</v>
      </c>
      <c r="W139" s="354">
        <f t="shared" si="18"/>
        <v>0</v>
      </c>
      <c r="X139" s="354">
        <f t="shared" si="18"/>
        <v>0</v>
      </c>
      <c r="Y139" s="354">
        <f t="shared" si="18"/>
        <v>-86.704180000000022</v>
      </c>
      <c r="Z139" s="354">
        <f>Z135+Z122+Z117+Z112+Z137</f>
        <v>12.292463131109439</v>
      </c>
      <c r="AA139" s="354">
        <f t="shared" si="18"/>
        <v>0.41785878683227351</v>
      </c>
      <c r="AB139" s="385">
        <f>AB135+AB122+AB117+AB112+AB137</f>
        <v>-73.99385808205831</v>
      </c>
      <c r="AC139" s="350"/>
    </row>
    <row r="140" spans="1:30" x14ac:dyDescent="0.2">
      <c r="A140" s="320" t="str">
        <f>IFERROR(VLOOKUP(B140,mapping_one_neo!A:B,2,FALSE),"")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f>-3.242-1.4</f>
        <v>-4.6419999999999995</v>
      </c>
      <c r="V141" s="351"/>
      <c r="W141" s="351"/>
      <c r="X141" s="351"/>
      <c r="Y141" s="363">
        <v>-4.6419999999999995</v>
      </c>
      <c r="Z141" s="363"/>
      <c r="AA141" s="363"/>
      <c r="AB141" s="363">
        <f>SUM(Y141:AA141)</f>
        <v>-4.6419999999999995</v>
      </c>
      <c r="AC141" s="355"/>
      <c r="AD141" s="334"/>
    </row>
    <row r="142" spans="1:30" s="352" customFormat="1" x14ac:dyDescent="0.2">
      <c r="A142" s="320" t="str">
        <f>IFERROR(VLOOKUP(B142,mapping_one_neo!A:B,2,FALSE),"")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-4.3360000000000003</v>
      </c>
      <c r="V142" s="351"/>
      <c r="W142" s="351"/>
      <c r="X142" s="351"/>
      <c r="Y142" s="363">
        <v>-4.3360000000000003</v>
      </c>
      <c r="Z142" s="363"/>
      <c r="AA142" s="443">
        <v>0.13463588216440081</v>
      </c>
      <c r="AB142" s="363">
        <f t="shared" ref="AB142:AB155" si="19">SUM(Y142:AA142)</f>
        <v>-4.2013641178355998</v>
      </c>
      <c r="AC142" s="355"/>
      <c r="AD142" s="334"/>
    </row>
    <row r="143" spans="1:30" x14ac:dyDescent="0.2">
      <c r="A143" s="320" t="str">
        <f>IFERROR(VLOOKUP(B143,mapping_one_neo!A:B,2,FALSE),"")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si="19"/>
        <v>0</v>
      </c>
      <c r="AC143" s="350"/>
    </row>
    <row r="144" spans="1:30" s="352" customFormat="1" x14ac:dyDescent="0.2">
      <c r="A144" s="320" t="str">
        <f>IFERROR(VLOOKUP(B144,mapping_one_neo!A:B,2,FALSE),"")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19"/>
        <v>0</v>
      </c>
      <c r="AC144" s="355"/>
      <c r="AD144" s="334"/>
    </row>
    <row r="145" spans="1:30" s="352" customFormat="1" x14ac:dyDescent="0.2">
      <c r="A145" s="320" t="str">
        <f>IFERROR(VLOOKUP(B145,mapping_one_neo!A:B,2,FALSE),"")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-0.66400000000000003</v>
      </c>
      <c r="V145" s="362"/>
      <c r="W145" s="351"/>
      <c r="X145" s="351"/>
      <c r="Y145" s="363">
        <v>-0.66400000000000003</v>
      </c>
      <c r="Z145" s="363"/>
      <c r="AA145" s="363"/>
      <c r="AB145" s="363">
        <f>SUM(Y145:AA145)</f>
        <v>-0.66400000000000003</v>
      </c>
      <c r="AC145" s="355"/>
      <c r="AD145" s="334"/>
    </row>
    <row r="146" spans="1:30" x14ac:dyDescent="0.2">
      <c r="A146" s="320" t="str">
        <f>IFERROR(VLOOKUP(B146,mapping_one_neo!A:B,2,FALSE),"")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19"/>
        <v>0</v>
      </c>
      <c r="AC146" s="350"/>
    </row>
    <row r="147" spans="1:30" x14ac:dyDescent="0.2">
      <c r="A147" s="320">
        <f>IFERROR(VLOOKUP(B147,mapping_one_neo!A:B,2,FALSE),"")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19"/>
        <v>0</v>
      </c>
      <c r="AC147" s="350"/>
    </row>
    <row r="148" spans="1:30" s="352" customFormat="1" x14ac:dyDescent="0.2">
      <c r="A148" s="320" t="str">
        <f>IFERROR(VLOOKUP(B148,mapping_one_neo!A:B,2,FALSE),"")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/>
      <c r="AC148" s="355"/>
      <c r="AD148" s="334"/>
    </row>
    <row r="149" spans="1:30" s="352" customFormat="1" x14ac:dyDescent="0.2">
      <c r="A149" s="320" t="str">
        <f>IFERROR(VLOOKUP(B149,mapping_one_neo!A:B,2,FALSE),"")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-14</v>
      </c>
      <c r="V149" s="351"/>
      <c r="W149" s="351"/>
      <c r="X149" s="351"/>
      <c r="Y149" s="363">
        <v>-14</v>
      </c>
      <c r="Z149" s="363"/>
      <c r="AA149" s="363"/>
      <c r="AB149" s="455">
        <v>-14</v>
      </c>
      <c r="AC149" s="355"/>
      <c r="AD149" s="334"/>
    </row>
    <row r="150" spans="1:30" s="352" customFormat="1" x14ac:dyDescent="0.2">
      <c r="A150" s="320" t="str">
        <f>IFERROR(VLOOKUP(B150,mapping_one_neo!A:B,2,FALSE),"")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-0.46400000000000002</v>
      </c>
      <c r="V150" s="351"/>
      <c r="W150" s="351"/>
      <c r="X150" s="351"/>
      <c r="Y150" s="363">
        <v>-0.46400000000000002</v>
      </c>
      <c r="Z150" s="363"/>
      <c r="AA150" s="363"/>
      <c r="AB150" s="455">
        <v>-0.46400000000000002</v>
      </c>
      <c r="AC150" s="355"/>
      <c r="AD150" s="334"/>
    </row>
    <row r="151" spans="1:30" s="352" customFormat="1" x14ac:dyDescent="0.2">
      <c r="A151" s="320" t="str">
        <f>IFERROR(VLOOKUP(B151,mapping_one_neo!A:B,2,FALSE),"")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-4.0660700000000034</v>
      </c>
      <c r="V151" s="351"/>
      <c r="W151" s="351"/>
      <c r="X151" s="351"/>
      <c r="Y151" s="363">
        <v>-4.0660700000000034</v>
      </c>
      <c r="Z151" s="363"/>
      <c r="AA151" s="363"/>
      <c r="AB151" s="363">
        <v>-4.0660700000000034</v>
      </c>
      <c r="AC151" s="355"/>
      <c r="AD151" s="457"/>
    </row>
    <row r="152" spans="1:30" s="352" customFormat="1" x14ac:dyDescent="0.2">
      <c r="A152" s="320" t="str">
        <f>IFERROR(VLOOKUP(B152,mapping_one_neo!A:B,2,FALSE),"")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-20</v>
      </c>
      <c r="V152" s="351"/>
      <c r="W152" s="351"/>
      <c r="X152" s="351"/>
      <c r="Y152" s="363">
        <v>-20</v>
      </c>
      <c r="Z152" s="363"/>
      <c r="AA152" s="363"/>
      <c r="AB152" s="455">
        <v>-20</v>
      </c>
      <c r="AC152" s="355"/>
      <c r="AD152" s="334"/>
    </row>
    <row r="153" spans="1:30" s="352" customFormat="1" x14ac:dyDescent="0.2">
      <c r="A153" s="320" t="str">
        <f>IFERROR(VLOOKUP(B153,mapping_one_neo!A:B,2,FALSE),"")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-4.2</v>
      </c>
      <c r="V153" s="351"/>
      <c r="W153" s="351"/>
      <c r="X153" s="351"/>
      <c r="Y153" s="363">
        <v>-4.2</v>
      </c>
      <c r="Z153" s="363"/>
      <c r="AA153" s="363"/>
      <c r="AB153" s="455">
        <v>-4.2</v>
      </c>
      <c r="AC153" s="355"/>
      <c r="AD153" s="334" t="s">
        <v>134</v>
      </c>
    </row>
    <row r="154" spans="1:30" s="352" customFormat="1" x14ac:dyDescent="0.2">
      <c r="A154" s="320" t="str">
        <f>IFERROR(VLOOKUP(B154,mapping_one_neo!A:B,2,FALSE),"")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363"/>
      <c r="Z154" s="363"/>
      <c r="AA154" s="363"/>
      <c r="AB154" s="363">
        <f t="shared" si="19"/>
        <v>0</v>
      </c>
      <c r="AC154" s="355"/>
      <c r="AD154" s="334"/>
    </row>
    <row r="155" spans="1:30" s="352" customFormat="1" x14ac:dyDescent="0.2">
      <c r="A155" s="320" t="str">
        <f>IFERROR(VLOOKUP(B155,mapping_one_neo!A:B,2,FALSE),"")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363">
        <v>0</v>
      </c>
      <c r="Z155" s="363"/>
      <c r="AA155" s="363"/>
      <c r="AB155" s="363">
        <f t="shared" si="19"/>
        <v>0</v>
      </c>
      <c r="AC155" s="355"/>
      <c r="AD155" s="334"/>
    </row>
    <row r="156" spans="1:30" s="352" customFormat="1" x14ac:dyDescent="0.2">
      <c r="A156" s="320" t="str">
        <f>IFERROR(VLOOKUP(B156,mapping_one_neo!A:B,2,FALSE),"")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-3</v>
      </c>
      <c r="W156" s="351"/>
      <c r="X156" s="351"/>
      <c r="Y156" s="363">
        <v>-3</v>
      </c>
      <c r="Z156" s="363"/>
      <c r="AA156" s="363"/>
      <c r="AB156" s="455">
        <v>-3</v>
      </c>
      <c r="AC156" s="355"/>
      <c r="AD156" s="334"/>
    </row>
    <row r="157" spans="1:30" s="352" customFormat="1" x14ac:dyDescent="0.2">
      <c r="A157" s="320" t="str">
        <f>IFERROR(VLOOKUP(B157,mapping_one_neo!A:B,2,FALSE),"")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351">
        <v>-15.333333333333361</v>
      </c>
      <c r="Y157" s="363">
        <v>-15.333333333333361</v>
      </c>
      <c r="Z157" s="363"/>
      <c r="AA157" s="363"/>
      <c r="AB157" s="363">
        <v>-15.333333333333361</v>
      </c>
      <c r="AC157" s="355"/>
      <c r="AD157" s="334"/>
    </row>
    <row r="158" spans="1:30" s="387" customFormat="1" x14ac:dyDescent="0.2">
      <c r="A158" s="320">
        <f>IFERROR(VLOOKUP(B158,mapping_one_neo!A:B,2,FALSE),"")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-42.730070000000005</v>
      </c>
      <c r="V158" s="393">
        <f t="shared" ref="V158:AA158" si="20">SUM(V148:V157)</f>
        <v>-3</v>
      </c>
      <c r="W158" s="393">
        <f t="shared" si="20"/>
        <v>0</v>
      </c>
      <c r="X158" s="393">
        <f t="shared" si="20"/>
        <v>-15.333333333333361</v>
      </c>
      <c r="Y158" s="393">
        <f t="shared" si="20"/>
        <v>-61.063403333333369</v>
      </c>
      <c r="Z158" s="393">
        <f t="shared" si="20"/>
        <v>0</v>
      </c>
      <c r="AA158" s="393">
        <f t="shared" si="20"/>
        <v>0</v>
      </c>
      <c r="AB158" s="393">
        <f>SUM(AB148:AB157)</f>
        <v>-61.063403333333369</v>
      </c>
      <c r="AC158" s="394"/>
      <c r="AD158" s="334"/>
    </row>
    <row r="159" spans="1:30" s="387" customFormat="1" x14ac:dyDescent="0.2">
      <c r="A159" s="320" t="str">
        <f>IFERROR(VLOOKUP(B159,mapping_one_neo!A:B,2,FALSE),"")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-0.8</v>
      </c>
      <c r="V160" s="351"/>
      <c r="W160" s="351"/>
      <c r="X160" s="351"/>
      <c r="Y160" s="363">
        <v>-0.8</v>
      </c>
      <c r="Z160" s="363"/>
      <c r="AA160" s="363">
        <v>0.2019537196033464</v>
      </c>
      <c r="AB160" s="363">
        <f>SUM(Y160:AA160)</f>
        <v>-0.59804628039665364</v>
      </c>
      <c r="AC160" s="355"/>
      <c r="AD160" s="334"/>
    </row>
    <row r="161" spans="1:30" s="352" customFormat="1" x14ac:dyDescent="0.2">
      <c r="A161" s="320" t="str">
        <f>IFERROR(VLOOKUP(B161,mapping_one_neo!A:B,2,FALSE),"")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>
        <v>-1</v>
      </c>
      <c r="V161" s="351"/>
      <c r="W161" s="351"/>
      <c r="X161" s="351"/>
      <c r="Y161" s="363">
        <v>-1</v>
      </c>
      <c r="Z161" s="363"/>
      <c r="AA161" s="363"/>
      <c r="AB161" s="363">
        <f t="shared" ref="AB161:AB164" si="21">SUM(Y161:AA161)</f>
        <v>-1</v>
      </c>
      <c r="AC161" s="355"/>
      <c r="AD161" s="334" t="s">
        <v>792</v>
      </c>
    </row>
    <row r="162" spans="1:30" s="352" customFormat="1" x14ac:dyDescent="0.2">
      <c r="A162" s="320" t="str">
        <f>IFERROR(VLOOKUP(B162,mapping_one_neo!A:B,2,FALSE),"")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-5.0640000000000001</v>
      </c>
      <c r="V162" s="351"/>
      <c r="W162" s="351"/>
      <c r="X162" s="351"/>
      <c r="Y162" s="363">
        <v>-5.0640000000000001</v>
      </c>
      <c r="Z162" s="363"/>
      <c r="AA162" s="363"/>
      <c r="AB162" s="363">
        <f t="shared" si="21"/>
        <v>-5.0640000000000001</v>
      </c>
      <c r="AC162" s="355"/>
      <c r="AD162" s="334"/>
    </row>
    <row r="163" spans="1:30" s="352" customFormat="1" x14ac:dyDescent="0.2">
      <c r="A163" s="320" t="str">
        <f>IFERROR(VLOOKUP(B163,mapping_one_neo!A:B,2,FALSE),"")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-2</v>
      </c>
      <c r="V163" s="351"/>
      <c r="W163" s="351"/>
      <c r="X163" s="351"/>
      <c r="Y163" s="363">
        <v>-2</v>
      </c>
      <c r="Z163" s="363"/>
      <c r="AA163" s="363"/>
      <c r="AB163" s="363">
        <f t="shared" si="21"/>
        <v>-2</v>
      </c>
      <c r="AC163" s="355"/>
      <c r="AD163" s="334"/>
    </row>
    <row r="164" spans="1:30" s="352" customFormat="1" x14ac:dyDescent="0.2">
      <c r="A164" s="320" t="str">
        <f>IFERROR(VLOOKUP(B164,mapping_one_neo!A:B,2,FALSE),"")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-6.2495099999999999</v>
      </c>
      <c r="V164" s="351"/>
      <c r="W164" s="351"/>
      <c r="X164" s="351"/>
      <c r="Y164" s="363">
        <v>-6.2495099999999999</v>
      </c>
      <c r="Z164" s="363"/>
      <c r="AA164" s="363"/>
      <c r="AB164" s="363">
        <f t="shared" si="21"/>
        <v>-6.2495099999999999</v>
      </c>
      <c r="AC164" s="355"/>
      <c r="AD164" s="334"/>
    </row>
    <row r="165" spans="1:30" s="387" customFormat="1" x14ac:dyDescent="0.2">
      <c r="A165" s="320">
        <f>IFERROR(VLOOKUP(B165,mapping_one_neo!A:B,2,FALSE),"")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-15.113510000000002</v>
      </c>
      <c r="V165" s="393">
        <f>SUM(V160:V164)</f>
        <v>0</v>
      </c>
      <c r="W165" s="393">
        <f t="shared" ref="W165:AA165" si="22">SUM(W160:W164)</f>
        <v>0</v>
      </c>
      <c r="X165" s="393">
        <f t="shared" si="22"/>
        <v>0</v>
      </c>
      <c r="Y165" s="393">
        <f t="shared" si="22"/>
        <v>-15.113510000000002</v>
      </c>
      <c r="Z165" s="393">
        <f t="shared" si="22"/>
        <v>0</v>
      </c>
      <c r="AA165" s="393">
        <f t="shared" si="22"/>
        <v>0.2019537196033464</v>
      </c>
      <c r="AB165" s="393">
        <f>SUM(AB160:AB164)</f>
        <v>-14.911556280396653</v>
      </c>
      <c r="AC165" s="355"/>
      <c r="AD165" s="334"/>
    </row>
    <row r="166" spans="1:30" s="387" customFormat="1" x14ac:dyDescent="0.2">
      <c r="A166" s="320" t="str">
        <f>IFERROR(VLOOKUP(B166,mapping_one_neo!A:B,2,FALSE),"")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458" customFormat="1" x14ac:dyDescent="0.2">
      <c r="A167" s="448" t="s">
        <v>520</v>
      </c>
      <c r="C167" s="459"/>
      <c r="E167" s="397"/>
      <c r="F167" s="38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460"/>
      <c r="T167" s="461"/>
      <c r="U167" s="462"/>
      <c r="V167" s="462"/>
      <c r="W167" s="462">
        <v>-12.46666666666664</v>
      </c>
      <c r="X167" s="462"/>
      <c r="Y167" s="462">
        <v>-12.46666666666664</v>
      </c>
      <c r="Z167" s="462">
        <v>12.043616420310839</v>
      </c>
      <c r="AA167" s="462"/>
      <c r="AB167" s="462">
        <f>SUM(Y167:AA167)</f>
        <v>-0.42305024635580146</v>
      </c>
      <c r="AC167" s="463"/>
      <c r="AD167" s="457"/>
    </row>
    <row r="168" spans="1:30" s="400" customFormat="1" x14ac:dyDescent="0.2">
      <c r="A168" s="320" t="str">
        <f>IFERROR(VLOOKUP(B168,mapping_one_neo!A:B,2,FALSE),"")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V170" si="23">U165+U158+U145+U142+U141+U167</f>
        <v>-67.485579999999999</v>
      </c>
      <c r="V170" s="354">
        <f t="shared" si="23"/>
        <v>-3</v>
      </c>
      <c r="W170" s="354">
        <f>W165+W158+W145+W142+W141+W167</f>
        <v>-12.46666666666664</v>
      </c>
      <c r="X170" s="354">
        <f t="shared" ref="X170:AA170" si="24">X165+X158+X145+X142+X141+X167</f>
        <v>-15.333333333333361</v>
      </c>
      <c r="Y170" s="357">
        <f t="shared" si="24"/>
        <v>-98.28558000000001</v>
      </c>
      <c r="Z170" s="357">
        <f t="shared" si="24"/>
        <v>12.043616420310839</v>
      </c>
      <c r="AA170" s="357">
        <f t="shared" si="24"/>
        <v>0.33658960176774722</v>
      </c>
      <c r="AB170" s="446">
        <f>AB165+AB158+AB145+AB142+AB141+AB167</f>
        <v>-85.905373977921414</v>
      </c>
      <c r="AC170" s="403"/>
    </row>
    <row r="171" spans="1:30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-3</v>
      </c>
      <c r="V174" s="362"/>
      <c r="W174" s="362"/>
      <c r="X174" s="362"/>
      <c r="Y174" s="363">
        <v>-3</v>
      </c>
      <c r="Z174" s="363"/>
      <c r="AA174" s="363"/>
      <c r="AB174" s="363">
        <v>-3</v>
      </c>
      <c r="AC174" s="355"/>
      <c r="AD174" s="334"/>
    </row>
    <row r="175" spans="1:30" s="352" customFormat="1" x14ac:dyDescent="0.2">
      <c r="A175" s="320" t="str">
        <f>IFERROR(VLOOKUP(B175,mapping_one_neo!A:B,2,FALSE),"")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v>-0.26600000000000001</v>
      </c>
      <c r="Z175" s="363"/>
      <c r="AA175" s="363"/>
      <c r="AB175" s="363">
        <v>-0.26600000000000001</v>
      </c>
      <c r="AC175" s="355"/>
      <c r="AD175" s="334"/>
    </row>
    <row r="176" spans="1:30" s="352" customFormat="1" x14ac:dyDescent="0.2">
      <c r="A176" s="320" t="str">
        <f>IFERROR(VLOOKUP(B176,mapping_one_neo!A:B,2,FALSE),"")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f>-0.333333333333333*8</f>
        <v>-2.6666666666666639</v>
      </c>
      <c r="W176" s="351"/>
      <c r="X176" s="351"/>
      <c r="Y176" s="363">
        <v>-2.6666666666666639</v>
      </c>
      <c r="Z176" s="363"/>
      <c r="AA176" s="363"/>
      <c r="AB176" s="363">
        <v>-2.6666666666666639</v>
      </c>
      <c r="AC176" s="355"/>
      <c r="AD176" s="334"/>
    </row>
    <row r="177" spans="1:30" s="352" customFormat="1" x14ac:dyDescent="0.2">
      <c r="A177" s="320" t="str">
        <f>IFERROR(VLOOKUP(B177,mapping_one_neo!A:B,2,FALSE),"")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-4.9862599999999997</v>
      </c>
      <c r="V177" s="351"/>
      <c r="W177" s="351"/>
      <c r="X177" s="351"/>
      <c r="Y177" s="363">
        <v>-4.9862599999999997</v>
      </c>
      <c r="Z177" s="363"/>
      <c r="AA177" s="363"/>
      <c r="AB177" s="363">
        <v>-4.9862599999999997</v>
      </c>
      <c r="AC177" s="355"/>
      <c r="AD177" s="334"/>
    </row>
    <row r="178" spans="1:30" s="352" customFormat="1" x14ac:dyDescent="0.2">
      <c r="A178" s="320" t="str">
        <f>IFERROR(VLOOKUP(B178,mapping_one_neo!A:B,2,FALSE),"")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-1.9629399999999999</v>
      </c>
      <c r="V178" s="351"/>
      <c r="W178" s="351"/>
      <c r="X178" s="351"/>
      <c r="Y178" s="363">
        <v>-1.9629399999999999</v>
      </c>
      <c r="Z178" s="363"/>
      <c r="AA178" s="363"/>
      <c r="AB178" s="363">
        <v>-1.9629399999999999</v>
      </c>
      <c r="AC178" s="355"/>
      <c r="AD178" s="334"/>
    </row>
    <row r="179" spans="1:30" s="352" customFormat="1" x14ac:dyDescent="0.2">
      <c r="A179" s="320" t="str">
        <f>IFERROR(VLOOKUP(B179,mapping_one_neo!A:B,2,FALSE),"")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>
        <v>-3.5000000000000003E-2</v>
      </c>
      <c r="V179" s="351"/>
      <c r="W179" s="351"/>
      <c r="X179" s="351"/>
      <c r="Y179" s="363">
        <v>-3.5000000000000003E-2</v>
      </c>
      <c r="Z179" s="363"/>
      <c r="AA179" s="363"/>
      <c r="AB179" s="363">
        <v>-3.5000000000000003E-2</v>
      </c>
      <c r="AC179" s="355"/>
      <c r="AD179" s="334"/>
    </row>
    <row r="180" spans="1:30" s="352" customFormat="1" x14ac:dyDescent="0.2">
      <c r="A180" s="320" t="str">
        <f>IFERROR(VLOOKUP(B180,mapping_one_neo!A:B,2,FALSE),"")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/>
      <c r="Y180" s="363">
        <v>-0.3</v>
      </c>
      <c r="Z180" s="363"/>
      <c r="AA180" s="363"/>
      <c r="AB180" s="363">
        <v>-0.3</v>
      </c>
      <c r="AC180" s="355"/>
      <c r="AD180" s="334"/>
    </row>
    <row r="181" spans="1:30" s="352" customFormat="1" x14ac:dyDescent="0.2">
      <c r="A181" s="320" t="str">
        <f>IFERROR(VLOOKUP(B181,mapping_one_neo!A:B,2,FALSE),"")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>
        <v>1.2691399999999999</v>
      </c>
      <c r="V181" s="351"/>
      <c r="W181" s="351"/>
      <c r="X181" s="351"/>
      <c r="Y181" s="363">
        <v>1.2691399999999999</v>
      </c>
      <c r="Z181" s="363"/>
      <c r="AA181" s="363"/>
      <c r="AB181" s="363">
        <v>1.2691399999999999</v>
      </c>
      <c r="AC181" s="355"/>
      <c r="AD181" s="457"/>
    </row>
    <row r="182" spans="1:30" s="449" customFormat="1" x14ac:dyDescent="0.2">
      <c r="A182" s="448" t="s">
        <v>528</v>
      </c>
      <c r="B182" s="449" t="s">
        <v>127</v>
      </c>
      <c r="C182" s="450"/>
      <c r="E182" s="356">
        <v>0</v>
      </c>
      <c r="F182" s="352"/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451"/>
      <c r="T182" s="452"/>
      <c r="U182" s="453"/>
      <c r="V182" s="453"/>
      <c r="W182" s="453"/>
      <c r="X182" s="453"/>
      <c r="Y182" s="455"/>
      <c r="Z182" s="455">
        <v>1.8877511003193082</v>
      </c>
      <c r="AA182" s="455"/>
      <c r="AB182" s="455">
        <v>1.8877511003193082</v>
      </c>
      <c r="AC182" s="456"/>
      <c r="AD182" s="457"/>
    </row>
    <row r="183" spans="1:30" x14ac:dyDescent="0.2">
      <c r="A183" s="320">
        <f>IFERROR(VLOOKUP(B183,mapping_one_neo!A:B,2,FALSE),"")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SUM(U174:U181)</f>
        <v>-9.2810600000000001</v>
      </c>
      <c r="V183" s="354">
        <f t="shared" ref="V183:AA183" si="25">SUM(V174:V180)</f>
        <v>-2.6666666666666639</v>
      </c>
      <c r="W183" s="354">
        <f t="shared" si="25"/>
        <v>0</v>
      </c>
      <c r="X183" s="354">
        <f t="shared" si="25"/>
        <v>0</v>
      </c>
      <c r="Y183" s="354">
        <f>SUM(Y174:Y181)</f>
        <v>-11.947726666666664</v>
      </c>
      <c r="Z183" s="354">
        <f>SUM(Z176:Z182)</f>
        <v>1.8877511003193082</v>
      </c>
      <c r="AA183" s="354">
        <f t="shared" si="25"/>
        <v>0</v>
      </c>
      <c r="AB183" s="445">
        <f>SUM(AB174:AB182)</f>
        <v>-10.059975566347356</v>
      </c>
      <c r="AC183" s="350"/>
    </row>
    <row r="184" spans="1:30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-644.22451000000001</v>
      </c>
      <c r="V185" s="354">
        <f t="shared" ref="V185:AB185" si="26">V58+V83+V104+V139+V170+V183</f>
        <v>-114.44173666666667</v>
      </c>
      <c r="W185" s="354">
        <f t="shared" si="26"/>
        <v>-11.61666666666664</v>
      </c>
      <c r="X185" s="354">
        <f t="shared" si="26"/>
        <v>-15.333333333333361</v>
      </c>
      <c r="Y185" s="357">
        <f t="shared" si="26"/>
        <v>-785.61624666666671</v>
      </c>
      <c r="Z185" s="357">
        <f t="shared" si="26"/>
        <v>120.4033999693302</v>
      </c>
      <c r="AA185" s="357">
        <f t="shared" si="26"/>
        <v>10.022741071526852</v>
      </c>
      <c r="AB185" s="447">
        <f t="shared" si="26"/>
        <v>-655.19045116617406</v>
      </c>
      <c r="AC185" s="355"/>
      <c r="AD185" s="334"/>
    </row>
    <row r="186" spans="1:30" x14ac:dyDescent="0.2">
      <c r="A186" s="320" t="str">
        <f>IFERROR(VLOOKUP(B186,mapping_one_neo!A:B,2,FALSE),"")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-31.335999999999999</v>
      </c>
      <c r="V187" s="351">
        <v>0</v>
      </c>
      <c r="W187" s="351">
        <v>-320.06400000000002</v>
      </c>
      <c r="X187" s="351">
        <v>0</v>
      </c>
      <c r="Y187" s="358">
        <v>-351.40000000000003</v>
      </c>
      <c r="Z187" s="358"/>
      <c r="AA187" s="358"/>
      <c r="AB187" s="363">
        <v>-351.40000000000003</v>
      </c>
      <c r="AC187" s="350"/>
    </row>
    <row r="188" spans="1:30" x14ac:dyDescent="0.2">
      <c r="A188" s="320" t="str">
        <f>IFERROR(VLOOKUP(B188,mapping_one_neo!A:B,2,FALSE),"")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-222.3708036666701</v>
      </c>
      <c r="V189" s="406">
        <f t="shared" ref="V189:AA189" si="27">V6+V49+V185+V187</f>
        <v>-60.451063916666669</v>
      </c>
      <c r="W189" s="406">
        <f t="shared" si="27"/>
        <v>-331.68066666666664</v>
      </c>
      <c r="X189" s="406">
        <f t="shared" si="27"/>
        <v>-24.87013333333336</v>
      </c>
      <c r="Y189" s="411">
        <f t="shared" si="27"/>
        <v>-639.37266758333703</v>
      </c>
      <c r="Z189" s="411">
        <f t="shared" si="27"/>
        <v>120.4033999693302</v>
      </c>
      <c r="AA189" s="411">
        <f t="shared" si="27"/>
        <v>10.291033754453682</v>
      </c>
      <c r="AB189" s="411">
        <f>AB6+AB49+AB185+AB187</f>
        <v>-150.04212471542979</v>
      </c>
      <c r="AC189" s="355"/>
      <c r="AD189" s="334"/>
    </row>
    <row r="190" spans="1:30" s="408" customFormat="1" ht="13.5" thickTop="1" x14ac:dyDescent="0.2">
      <c r="A190" s="320" t="str">
        <f>IFERROR(VLOOKUP(B190,mapping_one_neo!A:B,2,FALSE),"")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IFERROR(VLOOKUP(B192,mapping_one_neo!A:B,2,FALSE),"")</f>
        <v>I/G exchange gains/(losses)</v>
      </c>
      <c r="B192" s="352" t="s">
        <v>126</v>
      </c>
      <c r="S192" s="349"/>
      <c r="T192" s="346"/>
      <c r="U192" s="428">
        <v>1.4506999999999999</v>
      </c>
      <c r="V192" s="412">
        <v>0</v>
      </c>
      <c r="W192" s="412">
        <v>0</v>
      </c>
      <c r="X192" s="412">
        <v>0</v>
      </c>
      <c r="Y192" s="401">
        <v>1.4506999999999999</v>
      </c>
      <c r="Z192" s="401"/>
      <c r="AA192" s="401"/>
      <c r="AB192" s="429">
        <v>1.4506999999999999</v>
      </c>
      <c r="AC192" s="350"/>
    </row>
    <row r="193" spans="1:30" x14ac:dyDescent="0.2"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0.42043999999999998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B194" s="334" t="s">
        <v>127</v>
      </c>
      <c r="C194" s="337">
        <v>758000</v>
      </c>
      <c r="S194" s="349"/>
      <c r="T194" s="346"/>
      <c r="U194" s="432">
        <v>1.03026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IFERROR(VLOOKUP(B196,mapping_one_neo!A:B,2,FALSE),"")</f>
        <v>I/G exchange gains/(losses)</v>
      </c>
      <c r="B196" s="352" t="s">
        <v>128</v>
      </c>
      <c r="S196" s="349"/>
      <c r="T196" s="346"/>
      <c r="U196" s="428">
        <v>-0.70079000000000002</v>
      </c>
      <c r="V196" s="412">
        <v>0</v>
      </c>
      <c r="W196" s="412">
        <v>0</v>
      </c>
      <c r="X196" s="412">
        <v>0</v>
      </c>
      <c r="Y196" s="401">
        <v>-0.70079000000000002</v>
      </c>
      <c r="Z196" s="401"/>
      <c r="AA196" s="401"/>
      <c r="AB196" s="429">
        <v>-0.70079000000000002</v>
      </c>
      <c r="AC196" s="350"/>
    </row>
    <row r="197" spans="1:30" x14ac:dyDescent="0.2">
      <c r="B197" s="334" t="s">
        <v>129</v>
      </c>
      <c r="C197" s="337">
        <v>666000</v>
      </c>
      <c r="S197" s="349"/>
      <c r="T197" s="346"/>
      <c r="U197" s="430">
        <v>-0.70145000000000002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6.6E-4</v>
      </c>
      <c r="V198" s="441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IFERROR(VLOOKUP(B200,mapping_one_neo!A:B,2,FALSE),"")</f>
        <v>0</v>
      </c>
      <c r="B200" s="352" t="s">
        <v>130</v>
      </c>
      <c r="S200" s="349"/>
      <c r="T200" s="346"/>
      <c r="U200" s="415">
        <v>159.20882333333051</v>
      </c>
      <c r="V200" s="415">
        <v>-55.86068333333332</v>
      </c>
      <c r="W200" s="415">
        <v>-290.96433333333334</v>
      </c>
      <c r="X200" s="415">
        <v>-69.477566666666689</v>
      </c>
      <c r="Y200" s="435">
        <v>-257.09376000000259</v>
      </c>
      <c r="Z200" s="435">
        <v>370.00213862564829</v>
      </c>
      <c r="AA200" s="435">
        <v>2.572758438613421</v>
      </c>
      <c r="AB200" s="435">
        <v>115.48113706425912</v>
      </c>
      <c r="AC200" s="350"/>
    </row>
    <row r="201" spans="1:30" x14ac:dyDescent="0.2">
      <c r="A201" s="320" t="str">
        <f>IFERROR(VLOOKUP(B201,mapping_one_neo!A:B,2,FALSE),"")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159.20882333333051</v>
      </c>
      <c r="V202" s="354"/>
      <c r="W202" s="354"/>
      <c r="X202" s="415">
        <v>-69.477566666666689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IFERROR(VLOOKUP(B204,mapping_one_neo!A:B,2,FALSE),"")</f>
        <v/>
      </c>
    </row>
    <row r="205" spans="1:30" s="352" customFormat="1" x14ac:dyDescent="0.2">
      <c r="A205" s="320">
        <f>IFERROR(VLOOKUP(B205,mapping_one_neo!A:B,2,FALSE),"")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AB6+AB49+AB58+AB83+AB104+AB139+AB170+AB183+U187+U192+U196-AB167</f>
        <v>171.1948355309261</v>
      </c>
      <c r="AD205" s="352" t="s">
        <v>136</v>
      </c>
    </row>
    <row r="206" spans="1:30" x14ac:dyDescent="0.2">
      <c r="A206" s="320" t="str">
        <f>IFERROR(VLOOKUP(B206,mapping_one_neo!A:B,2,FALSE),"")</f>
        <v/>
      </c>
    </row>
    <row r="207" spans="1:30" s="352" customFormat="1" x14ac:dyDescent="0.2">
      <c r="A207" s="320">
        <f>IFERROR(VLOOKUP(B207,mapping_one_neo!A:B,2,FALSE),"")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9" tint="0.39997558519241921"/>
    <pageSetUpPr fitToPage="1"/>
  </sheetPr>
  <dimension ref="A1:N76"/>
  <sheetViews>
    <sheetView showGridLines="0" topLeftCell="A52" workbookViewId="0">
      <selection activeCell="D61" sqref="D61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bestFit="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42948</v>
      </c>
      <c r="E13" s="324" t="e">
        <f ca="1">juilletNTENANT()</f>
        <v>#NAME?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SUMIF(Août!$A:$A,'p&amp;l Août'!D16,Août!$AB:$AB)</f>
        <v>2930.2290463333302</v>
      </c>
      <c r="F16" s="289">
        <f>SUMIF(Août!$A:$A,'p&amp;l Août'!D16,Août!$X:$X)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>
        <f>SUMIF(Août!$A:$A,'p&amp;l Août'!D18,Août!$AB:$AB)</f>
        <v>-3633.0709891874849</v>
      </c>
      <c r="F18" s="291">
        <f>SUMIF(Août!$A:$A,'p&amp;l Août'!D18,Août!$X:$X)</f>
        <v>-219.36206666666681</v>
      </c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SUMIF(Août!$A:$A,'p&amp;l Août'!D19,Août!$AB:$AB)</f>
        <v>-1524.2077949999994</v>
      </c>
      <c r="F19" s="316">
        <f>SUMIF(Août!$A:$A,'p&amp;l Août'!D19,Août!$X:$X)</f>
        <v>-3.484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SUMIF(Août!$A:$A,'p&amp;l Août'!D20,Août!$AB:$AB)</f>
        <v>-678.89235224999982</v>
      </c>
      <c r="F20" s="316">
        <f>SUMIF(Août!$A:$A,'p&amp;l Août'!D20,Août!$X:$X)</f>
        <v>-1.5678000000000001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SUMIF(Août!$A:$A,'p&amp;l Août'!D21,Août!$AB:$AB)</f>
        <v>-148.90186999999997</v>
      </c>
      <c r="F21" s="316">
        <f>SUMIF(Août!$A:$A,'p&amp;l Août'!D21,Août!$X:$X)</f>
        <v>0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SUMIF(Août!$A:$A,'p&amp;l Août'!D22,Août!$AB:$AB)</f>
        <v>0</v>
      </c>
      <c r="F22" s="316">
        <f>SUMIF(Août!$A:$A,'p&amp;l Août'!D22,Août!$X:$X)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SUMIF(Août!$A:$A,'p&amp;l Août'!D23,Août!$AB:$AB)</f>
        <v>0</v>
      </c>
      <c r="F23" s="316">
        <f>SUMIF(Août!$A:$A,'p&amp;l Août'!D23,Août!$X:$X)</f>
        <v>0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SUMIF(Août!$A:$A,'p&amp;l Août'!D24,Août!$AB:$AB)</f>
        <v>0.74</v>
      </c>
      <c r="F24" s="316">
        <f>SUMIF(Août!$A:$A,'p&amp;l Août'!D24,Août!$X:$X)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SUMIF(Août!$A:$A,'p&amp;l Août'!D25,Août!$AB:$AB)</f>
        <v>318.7647473674142</v>
      </c>
      <c r="F25" s="316">
        <f>SUMIF(Août!$A:$A,'p&amp;l Août'!D25,Août!$X:$X)</f>
        <v>-4.4850000000000003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SUMIF(Août!$A:$A,'p&amp;l Août'!D26,Août!$AB:$AB)</f>
        <v>-28.647450000000003</v>
      </c>
      <c r="F26" s="316">
        <f>SUMIF(Août!$A:$A,'p&amp;l Août'!D26,Août!$X:$X)</f>
        <v>0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SUMIF(Août!$A:$A,'p&amp;l Août'!D27,Août!$AB:$AB)</f>
        <v>-8.16</v>
      </c>
      <c r="F27" s="316">
        <f>SUMIF(Août!$A:$A,'p&amp;l Août'!D27,Août!$X:$X)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SUMIF(Août!$A:$A,'p&amp;l Août'!D28,Août!$AB:$AB)</f>
        <v>-4.3759999999999994</v>
      </c>
      <c r="F28" s="316">
        <f>SUMIF(Août!$A:$A,'p&amp;l Août'!D28,Août!$X:$X)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-2073.6807198825854</v>
      </c>
      <c r="F29" s="317">
        <f>SUMIF(Fev!$A:$A,'p&amp;l Août'!D29,Fev!$X:$X)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>
        <f>SUMIF(Août!$A:$A,'p&amp;l Août'!D30,Août!$AB:$AB)</f>
        <v>-3633.0709891874849</v>
      </c>
      <c r="F30" s="318">
        <f>SUMIF(Août!$A:$A,'p&amp;l Août'!D30,Août!$X:$X)</f>
        <v>-219.36206666666681</v>
      </c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SUMIF(Août!$A:$A,'p&amp;l Août'!D31,Août!$AB:$AB)</f>
        <v>-184.67200000000003</v>
      </c>
      <c r="F31" s="316">
        <f>SUMIF(Août!$A:$A,'p&amp;l Août'!D31,Août!$X:$X)</f>
        <v>0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SUMIF(Août!$A:$A,'p&amp;l Août'!D32,Août!$AB:$AB)</f>
        <v>35.365174025406745</v>
      </c>
      <c r="F32" s="316">
        <f>SUMIF(Août!$A:$A,'p&amp;l Août'!D32,Août!$X:$X)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-149.30682597459327</v>
      </c>
      <c r="F33" s="317">
        <f>SUMIF(Fev!$A:$A,'p&amp;l Août'!D33,Fev!$X:$X)</f>
        <v>0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SUMIF(Août!$A:$A,'p&amp;l Août'!D34,Août!$AB:$AB)</f>
        <v>-24.719850000000001</v>
      </c>
      <c r="F34" s="316">
        <f>SUMIF(Août!$A:$A,'p&amp;l Août'!D34,Août!$X:$X)</f>
        <v>0</v>
      </c>
      <c r="G34" s="293" t="e">
        <f t="shared" ref="G34:H38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SUMIF(Août!$A:$A,'p&amp;l Août'!D35,Août!$AB:$AB)</f>
        <v>-118.62387000000001</v>
      </c>
      <c r="F35" s="316">
        <f>SUMIF(Août!$A:$A,'p&amp;l Août'!D35,Août!$X:$X)</f>
        <v>0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SUMIF(Août!$A:$A,'p&amp;l Août'!D36,Août!$AB:$AB)</f>
        <v>-15.839369999999999</v>
      </c>
      <c r="F36" s="316">
        <f>SUMIF(Août!$A:$A,'p&amp;l Août'!D36,Août!$X:$X)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SUMIF(Août!$A:$A,'p&amp;l Août'!D37,Août!$AB:$AB)</f>
        <v>-12.564169999999999</v>
      </c>
      <c r="F37" s="316">
        <f>SUMIF(Août!$A:$A,'p&amp;l Août'!D37,Août!$X:$X)</f>
        <v>0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324</v>
      </c>
      <c r="B38" t="s">
        <v>172</v>
      </c>
      <c r="C38">
        <v>0</v>
      </c>
      <c r="D38" t="s">
        <v>816</v>
      </c>
      <c r="E38" s="327">
        <f>SUMIF(Août!$A:$A,'p&amp;l Août'!D38,Août!$AB:$AB)</f>
        <v>21.7212279751107</v>
      </c>
      <c r="F38" s="316">
        <f>SUMIF(Août!$A:$A,'p&amp;l Août'!D38,Août!$X:$X)</f>
        <v>0</v>
      </c>
      <c r="G38" s="293" t="e">
        <f t="shared" ca="1" si="1"/>
        <v>#NAME?</v>
      </c>
      <c r="H38" s="293" t="e">
        <f t="shared" ca="1" si="1"/>
        <v>#NAME?</v>
      </c>
    </row>
    <row r="39" spans="1:11" x14ac:dyDescent="0.25">
      <c r="A39" t="s">
        <v>776</v>
      </c>
      <c r="B39" t="s">
        <v>776</v>
      </c>
      <c r="C39" t="s">
        <v>776</v>
      </c>
      <c r="D39" s="147" t="s">
        <v>729</v>
      </c>
      <c r="E39" s="326">
        <f>SUM(E34:E38)</f>
        <v>-150.0260320248893</v>
      </c>
      <c r="F39" s="317">
        <f>SUMIF(Fev!$A:$A,'p&amp;l Août'!D39,Fev!$X:$X)</f>
        <v>0</v>
      </c>
      <c r="G39" s="294"/>
      <c r="H39" s="294"/>
    </row>
    <row r="40" spans="1:11" s="284" customFormat="1" x14ac:dyDescent="0.25">
      <c r="A40" t="s">
        <v>776</v>
      </c>
      <c r="B40" t="s">
        <v>776</v>
      </c>
      <c r="C40" t="s">
        <v>776</v>
      </c>
      <c r="D40" s="127"/>
      <c r="E40" s="328"/>
      <c r="F40" s="318"/>
      <c r="G40" s="295"/>
      <c r="H40" s="295"/>
    </row>
    <row r="41" spans="1:11" x14ac:dyDescent="0.25">
      <c r="A41" t="s">
        <v>337</v>
      </c>
      <c r="B41" t="s">
        <v>172</v>
      </c>
      <c r="C41">
        <v>0</v>
      </c>
      <c r="D41" t="s">
        <v>514</v>
      </c>
      <c r="E41" s="327">
        <f>SUMIF(Août!$A:$A,'p&amp;l Août'!D41,Août!$AB:$AB)</f>
        <v>-2.8582700000000001</v>
      </c>
      <c r="F41" s="316">
        <f>SUMIF(Août!$A:$A,'p&amp;l Août'!D41,Août!$X:$X)</f>
        <v>0</v>
      </c>
      <c r="G41" s="293" t="e">
        <f t="shared" ref="G41:H44" ca="1" si="2">PutCtData("PKAMOUNT","AMOUNT",G$4:G$7,$A41:$C41,G$10:G$11,$E41)</f>
        <v>#NAME?</v>
      </c>
      <c r="H41" s="293" t="e">
        <f t="shared" ca="1" si="2"/>
        <v>#NAME?</v>
      </c>
    </row>
    <row r="42" spans="1:11" x14ac:dyDescent="0.25">
      <c r="A42" t="s">
        <v>339</v>
      </c>
      <c r="B42" t="s">
        <v>172</v>
      </c>
      <c r="C42">
        <v>0</v>
      </c>
      <c r="D42" t="s">
        <v>515</v>
      </c>
      <c r="E42" s="327">
        <f>SUMIF(Août!$A:$A,'p&amp;l Août'!D42,Août!$AB:$AB)</f>
        <v>-1.9860800000000003</v>
      </c>
      <c r="F42" s="316">
        <f>SUMIF(Août!$A:$A,'p&amp;l Août'!D42,Août!$X:$X)</f>
        <v>0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338</v>
      </c>
      <c r="B43" t="s">
        <v>172</v>
      </c>
      <c r="C43">
        <v>0</v>
      </c>
      <c r="D43" t="s">
        <v>516</v>
      </c>
      <c r="E43" s="327">
        <f>SUMIF(Août!$A:$A,'p&amp;l Août'!D43,Août!$AB:$AB)</f>
        <v>-184.33768999999998</v>
      </c>
      <c r="F43" s="316">
        <f>SUMIF(Août!$A:$A,'p&amp;l Août'!D43,Août!$X:$X)</f>
        <v>0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357</v>
      </c>
      <c r="B44" t="s">
        <v>172</v>
      </c>
      <c r="C44">
        <v>0</v>
      </c>
      <c r="D44" t="s">
        <v>517</v>
      </c>
      <c r="E44" s="327">
        <f>SUMIF(Août!$A:$A,'p&amp;l Août'!D44,Août!$AB:$AB)</f>
        <v>3.2836544596356063</v>
      </c>
      <c r="F44" s="316">
        <f>SUMIF(Août!$A:$A,'p&amp;l Août'!D44,Août!$X:$X)</f>
        <v>0</v>
      </c>
      <c r="G44" s="293" t="e">
        <f t="shared" ca="1" si="2"/>
        <v>#NAME?</v>
      </c>
      <c r="H44" s="293" t="e">
        <f t="shared" ca="1" si="2"/>
        <v>#NAME?</v>
      </c>
    </row>
    <row r="45" spans="1:11" x14ac:dyDescent="0.25">
      <c r="A45" t="s">
        <v>776</v>
      </c>
      <c r="B45" t="s">
        <v>776</v>
      </c>
      <c r="C45" t="s">
        <v>776</v>
      </c>
      <c r="D45" s="147" t="s">
        <v>725</v>
      </c>
      <c r="E45" s="326">
        <f>SUM(E41:E44)</f>
        <v>-185.89838554036436</v>
      </c>
      <c r="F45" s="317">
        <f>SUMIF(Fev!$A:$A,'p&amp;l Août'!D45,Fev!$X:$X)</f>
        <v>0</v>
      </c>
      <c r="G45" s="294"/>
      <c r="H45" s="294"/>
    </row>
    <row r="46" spans="1:11" x14ac:dyDescent="0.25">
      <c r="A46" t="s">
        <v>776</v>
      </c>
      <c r="B46" t="s">
        <v>776</v>
      </c>
      <c r="C46" t="s">
        <v>776</v>
      </c>
      <c r="D46" s="127"/>
      <c r="E46" s="327"/>
      <c r="F46" s="316"/>
      <c r="G46" s="286"/>
      <c r="H46" s="286"/>
    </row>
    <row r="47" spans="1:11" x14ac:dyDescent="0.25">
      <c r="A47" t="s">
        <v>359</v>
      </c>
      <c r="B47" t="s">
        <v>172</v>
      </c>
      <c r="C47">
        <v>0</v>
      </c>
      <c r="D47" t="s">
        <v>518</v>
      </c>
      <c r="E47" s="327">
        <f>SUMIF(Août!$A:$A,'p&amp;l Août'!D47,Août!$AB:$AB)</f>
        <v>-6.1728774935643802</v>
      </c>
      <c r="F47" s="316">
        <f>SUMIF(Août!$A:$A,'p&amp;l Août'!D47,Août!$X:$X)</f>
        <v>0</v>
      </c>
      <c r="G47" s="293" t="e">
        <f t="shared" ref="G47:H55" ca="1" si="3">PutCtData("PKAMOUNT","AMOUNT",G$4:G$7,$A47:$C47,G$10:G$11,$E47)</f>
        <v>#NAME?</v>
      </c>
      <c r="H47" s="293" t="e">
        <f t="shared" ca="1" si="3"/>
        <v>#NAME?</v>
      </c>
      <c r="J47" s="283" t="s">
        <v>797</v>
      </c>
      <c r="K47" s="283"/>
    </row>
    <row r="48" spans="1:11" x14ac:dyDescent="0.25">
      <c r="A48" t="s">
        <v>364</v>
      </c>
      <c r="B48" t="s">
        <v>172</v>
      </c>
      <c r="C48">
        <v>0</v>
      </c>
      <c r="D48" t="s">
        <v>519</v>
      </c>
      <c r="E48" s="327">
        <f>SUMIF(Août!$A:$A,'p&amp;l Août'!D48,Août!$AB:$AB)</f>
        <v>-0.71065</v>
      </c>
      <c r="F48" s="316">
        <f>SUMIF(Août!$A:$A,'p&amp;l Août'!D48,Août!$X:$X)</f>
        <v>0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366</v>
      </c>
      <c r="B49" t="s">
        <v>172</v>
      </c>
      <c r="C49">
        <v>0</v>
      </c>
      <c r="D49" t="s">
        <v>520</v>
      </c>
      <c r="E49" s="327">
        <f>SUMIF(Août!$A:$A,'p&amp;l Août'!D49,Août!$AB:$AB)</f>
        <v>-81.444937115246375</v>
      </c>
      <c r="F49" s="316">
        <f>SUMIF(Août!$A:$A,'p&amp;l Août'!D49,Août!$X:$X)</f>
        <v>0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372</v>
      </c>
      <c r="B50" t="s">
        <v>196</v>
      </c>
      <c r="C50">
        <v>0</v>
      </c>
      <c r="D50" t="s">
        <v>521</v>
      </c>
      <c r="E50" s="327">
        <f>SUMIF(Août!$A:$A,'p&amp;l Août'!D50,Août!$AB:$AB)</f>
        <v>-8.8433641178355984</v>
      </c>
      <c r="F50" s="316">
        <f>SUMIF(Août!$A:$A,'p&amp;l Août'!D50,Août!$X:$X)</f>
        <v>0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373</v>
      </c>
      <c r="B51" t="s">
        <v>196</v>
      </c>
      <c r="C51">
        <v>0</v>
      </c>
      <c r="D51" t="s">
        <v>524</v>
      </c>
      <c r="E51" s="327">
        <f>SUMIF(Août!$A:$A,'p&amp;l Août'!D51,Août!$AB:$AB)</f>
        <v>-0.66400000000000003</v>
      </c>
      <c r="F51" s="316">
        <f>SUMIF(Août!$A:$A,'p&amp;l Août'!D51,Août!$X:$X)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374</v>
      </c>
      <c r="B52" t="s">
        <v>196</v>
      </c>
      <c r="C52">
        <v>0</v>
      </c>
      <c r="D52" t="s">
        <v>522</v>
      </c>
      <c r="E52" s="327">
        <f>SUMIF(Août!$A:$A,'p&amp;l Août'!D52,Août!$AB:$AB)</f>
        <v>-41.664000000000001</v>
      </c>
      <c r="F52" s="316">
        <f>SUMIF(Août!$A:$A,'p&amp;l Août'!D52,Août!$X:$X)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371</v>
      </c>
      <c r="B53" t="s">
        <v>196</v>
      </c>
      <c r="C53">
        <v>0</v>
      </c>
      <c r="D53" t="s">
        <v>525</v>
      </c>
      <c r="E53" s="327">
        <f>SUMIF(Août!$A:$A,'p&amp;l Août'!D53,Août!$AB:$AB)</f>
        <v>-4.0660700000000034</v>
      </c>
      <c r="F53" s="316">
        <f>SUMIF(Août!$A:$A,'p&amp;l Août'!D53,Août!$X:$X)</f>
        <v>0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367</v>
      </c>
      <c r="B54" t="s">
        <v>196</v>
      </c>
      <c r="C54">
        <v>0</v>
      </c>
      <c r="D54" t="s">
        <v>523</v>
      </c>
      <c r="E54" s="327">
        <f>SUMIF(Août!$A:$A,'p&amp;l Août'!D54,Août!$AB:$AB)</f>
        <v>-1</v>
      </c>
      <c r="F54" s="316">
        <f>SUMIF(Août!$A:$A,'p&amp;l Août'!D54,Août!$X:$X)</f>
        <v>0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378</v>
      </c>
      <c r="B55" t="s">
        <v>296</v>
      </c>
      <c r="D55" t="s">
        <v>645</v>
      </c>
      <c r="E55" s="327">
        <f>SUMIF(Août!$A:$A,'p&amp;l Août'!D55,Août!$AB:$AB)</f>
        <v>-15.333333333333361</v>
      </c>
      <c r="F55" s="316">
        <f>SUMIF(Août!$A:$A,'p&amp;l Août'!D55,Août!$X:$X)</f>
        <v>-15.333333333333361</v>
      </c>
      <c r="G55" s="293" t="e">
        <f t="shared" ca="1" si="3"/>
        <v>#NAME?</v>
      </c>
      <c r="H55" s="293" t="e">
        <f t="shared" ca="1" si="3"/>
        <v>#NAME?</v>
      </c>
    </row>
    <row r="56" spans="1:8" x14ac:dyDescent="0.25">
      <c r="A56" t="s">
        <v>776</v>
      </c>
      <c r="B56" t="s">
        <v>776</v>
      </c>
      <c r="C56" t="s">
        <v>776</v>
      </c>
      <c r="D56" s="147" t="s">
        <v>726</v>
      </c>
      <c r="E56" s="326">
        <f>SUM(E47:E55)</f>
        <v>-159.89923205997974</v>
      </c>
      <c r="F56" s="317">
        <f>SUMIF(Fev!$A:$A,'p&amp;l Août'!D56,Fev!$X:$X)</f>
        <v>0</v>
      </c>
      <c r="G56" s="294"/>
      <c r="H56" s="294"/>
    </row>
    <row r="57" spans="1:8" x14ac:dyDescent="0.25">
      <c r="A57" t="s">
        <v>776</v>
      </c>
      <c r="B57" t="s">
        <v>776</v>
      </c>
      <c r="C57" t="s">
        <v>776</v>
      </c>
      <c r="D57" s="127"/>
      <c r="E57" s="327"/>
      <c r="F57" s="316"/>
      <c r="G57" s="286"/>
      <c r="H57" s="286"/>
    </row>
    <row r="58" spans="1:8" x14ac:dyDescent="0.25">
      <c r="A58" t="s">
        <v>393</v>
      </c>
      <c r="B58" t="s">
        <v>172</v>
      </c>
      <c r="C58">
        <v>0</v>
      </c>
      <c r="D58" t="s">
        <v>526</v>
      </c>
      <c r="E58" s="327">
        <f>SUMIF(Août!$A:$A,'p&amp;l Août'!D58,Août!$AB:$AB)</f>
        <v>-3.266</v>
      </c>
      <c r="F58" s="316">
        <f>SUMIF(Août!$A:$A,'p&amp;l Août'!D58,Août!$X:$X)</f>
        <v>0</v>
      </c>
      <c r="G58" s="293" t="e">
        <f t="shared" ref="G58:H62" ca="1" si="4">PutCtData("PKAMOUNT","AMOUNT",G$4:G$7,$A58:$C58,G$10:G$11,$E58)</f>
        <v>#NAME?</v>
      </c>
      <c r="H58" s="293" t="e">
        <f t="shared" ca="1" si="4"/>
        <v>#NAME?</v>
      </c>
    </row>
    <row r="59" spans="1:8" x14ac:dyDescent="0.25">
      <c r="A59" t="s">
        <v>385</v>
      </c>
      <c r="B59" t="s">
        <v>172</v>
      </c>
      <c r="C59" t="s">
        <v>386</v>
      </c>
      <c r="D59" t="s">
        <v>527</v>
      </c>
      <c r="E59" s="327">
        <f>SUMIF(Août!$A:$A,'p&amp;l Août'!D59,Août!$AB:$AB)</f>
        <v>-2.6666666666666639</v>
      </c>
      <c r="F59" s="316">
        <f>SUMIF(Août!$A:$A,'p&amp;l Août'!D59,Août!$X:$X)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399</v>
      </c>
      <c r="B60" t="s">
        <v>172</v>
      </c>
      <c r="C60">
        <v>0</v>
      </c>
      <c r="D60" t="s">
        <v>528</v>
      </c>
      <c r="E60" s="327">
        <f>SUMIF(Août!$A:$A,'p&amp;l Août'!D60,Août!$AB:$AB)</f>
        <v>-3.4335088996806915</v>
      </c>
      <c r="F60" s="316">
        <f>SUMIF(Août!$A:$A,'p&amp;l Août'!D60,Août!$X:$X)</f>
        <v>0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394</v>
      </c>
      <c r="B61" t="s">
        <v>172</v>
      </c>
      <c r="C61">
        <v>0</v>
      </c>
      <c r="D61" t="s">
        <v>529</v>
      </c>
      <c r="E61" s="327">
        <f>SUMIF(Août!$A:$A,'p&amp;l Août'!D61,Août!$AB:$AB)</f>
        <v>-1.9629399999999999</v>
      </c>
      <c r="F61" s="316">
        <f>SUMIF(Août!$A:$A,'p&amp;l Août'!D61,Août!$X:$X)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774</v>
      </c>
      <c r="B62" t="s">
        <v>172</v>
      </c>
      <c r="D62" t="s">
        <v>772</v>
      </c>
      <c r="E62" s="327">
        <f>SUMIF(Août!$A:$A,'p&amp;l Août'!D62,Août!$AB:$AB)</f>
        <v>0</v>
      </c>
      <c r="F62" s="316">
        <f>SUMIF(Août!$A:$A,'p&amp;l Août'!D62,Août!$X:$X)</f>
        <v>0</v>
      </c>
      <c r="G62" s="293" t="e">
        <f t="shared" ca="1" si="4"/>
        <v>#NAME?</v>
      </c>
      <c r="H62" s="293" t="e">
        <f t="shared" ca="1" si="4"/>
        <v>#NAME?</v>
      </c>
    </row>
    <row r="63" spans="1:8" x14ac:dyDescent="0.25">
      <c r="A63" t="s">
        <v>776</v>
      </c>
      <c r="B63" t="s">
        <v>776</v>
      </c>
      <c r="C63" t="s">
        <v>776</v>
      </c>
      <c r="D63" s="147" t="s">
        <v>727</v>
      </c>
      <c r="E63" s="326">
        <f>SUM(E58:E61)</f>
        <v>-11.329115566347355</v>
      </c>
      <c r="F63" s="317">
        <f>SUMIF(Fev!$A:$A,'p&amp;l Août'!D63,Fev!$X:$X)</f>
        <v>0</v>
      </c>
      <c r="G63" s="294"/>
      <c r="H63" s="294"/>
    </row>
    <row r="64" spans="1:8" x14ac:dyDescent="0.25">
      <c r="A64" t="s">
        <v>776</v>
      </c>
      <c r="B64" t="s">
        <v>776</v>
      </c>
      <c r="C64" t="s">
        <v>776</v>
      </c>
      <c r="D64" s="127"/>
      <c r="E64" s="327"/>
      <c r="F64" s="316"/>
      <c r="G64" s="286"/>
      <c r="H64" s="286"/>
    </row>
    <row r="65" spans="1:8" x14ac:dyDescent="0.25">
      <c r="A65" t="s">
        <v>404</v>
      </c>
      <c r="B65" t="s">
        <v>172</v>
      </c>
      <c r="C65" t="s">
        <v>201</v>
      </c>
      <c r="D65" t="s">
        <v>530</v>
      </c>
      <c r="E65" s="327">
        <f>SUMIF(Août!$A:$A,'p&amp;l Août'!D65,Août!$U:$U)</f>
        <v>-31.335999999999999</v>
      </c>
      <c r="F65" s="316">
        <f>SUMIF(Août!$A:$A,'p&amp;l Août'!D65,Août!$X:$X)</f>
        <v>0</v>
      </c>
      <c r="G65" s="293" t="e">
        <f ca="1">PutCtData("PKAMOUNT","AMOUNT",G$4:G$7,$A65:$C65,G$10:G$11,$E65)</f>
        <v>#NAME?</v>
      </c>
      <c r="H65" s="293" t="e">
        <f ca="1">PutCtData("PKAMOUNT","AMOUNT",H$4:H$7,$A65:$C65,H$10:H$11,$E65)</f>
        <v>#NAME?</v>
      </c>
    </row>
    <row r="66" spans="1:8" x14ac:dyDescent="0.25">
      <c r="A66" t="s">
        <v>776</v>
      </c>
      <c r="B66" t="s">
        <v>776</v>
      </c>
      <c r="C66" t="s">
        <v>776</v>
      </c>
      <c r="D66" s="147" t="s">
        <v>728</v>
      </c>
      <c r="E66" s="326">
        <f>SUM(E64:E65)</f>
        <v>-31.335999999999999</v>
      </c>
      <c r="F66" s="317">
        <f>SUMIF(Fev!$A:$A,'p&amp;l Août'!D66,Fev!$X:$X)</f>
        <v>0</v>
      </c>
      <c r="G66" s="294"/>
      <c r="H66" s="294"/>
    </row>
    <row r="67" spans="1:8" x14ac:dyDescent="0.25">
      <c r="E67" s="327"/>
    </row>
    <row r="68" spans="1:8" x14ac:dyDescent="0.25">
      <c r="A68" t="s">
        <v>420</v>
      </c>
      <c r="B68" t="s">
        <v>172</v>
      </c>
      <c r="C68">
        <v>0</v>
      </c>
      <c r="D68" t="s">
        <v>532</v>
      </c>
      <c r="E68" s="327">
        <f>SUMIF(Août!$A:$A,'p&amp;l Août'!D68,Août!$AB:$AB)</f>
        <v>2.0190499999999996</v>
      </c>
      <c r="F68" s="316">
        <f>SUMIF(Août!$A:$A,'p&amp;l Août'!D68,Août!$X:$X)</f>
        <v>0</v>
      </c>
      <c r="G68" s="293" t="e">
        <f ca="1">PutCtData("PKAMOUNT","AMOUNT",G$4:G$7,$A68:$C68,G$10:G$11,$E68)</f>
        <v>#NAME?</v>
      </c>
      <c r="H68" s="293" t="e">
        <f ca="1">PutCtData("PKAMOUNT","AMOUNT",H$4:H$7,$A68:$C68,H$10:H$11,$E68)</f>
        <v>#NAME?</v>
      </c>
    </row>
    <row r="69" spans="1:8" x14ac:dyDescent="0.25">
      <c r="A69" t="s">
        <v>776</v>
      </c>
      <c r="B69" t="s">
        <v>776</v>
      </c>
      <c r="C69" t="s">
        <v>776</v>
      </c>
      <c r="D69" s="147" t="s">
        <v>769</v>
      </c>
      <c r="E69" s="326">
        <f>SUM(E68)</f>
        <v>2.0190499999999996</v>
      </c>
      <c r="F69" s="317">
        <f>SUMIF(Fev!$A:$A,'p&amp;l Août'!D69,Fev!$X:$X)</f>
        <v>0</v>
      </c>
      <c r="G69" s="294"/>
      <c r="H69" s="294"/>
    </row>
    <row r="70" spans="1:8" x14ac:dyDescent="0.25">
      <c r="E70" s="327"/>
      <c r="F70" s="289" t="s">
        <v>817</v>
      </c>
    </row>
    <row r="71" spans="1:8" x14ac:dyDescent="0.25">
      <c r="D71" s="147" t="s">
        <v>761</v>
      </c>
      <c r="E71" s="326">
        <f>SUM(E29+E33+E39+E45+E56+E63+E66+E69)</f>
        <v>-2759.4572610487594</v>
      </c>
      <c r="F71" s="288"/>
    </row>
    <row r="72" spans="1:8" x14ac:dyDescent="0.25">
      <c r="E72" s="327"/>
    </row>
    <row r="73" spans="1:8" x14ac:dyDescent="0.25">
      <c r="E73" s="327"/>
    </row>
    <row r="74" spans="1:8" x14ac:dyDescent="0.25">
      <c r="D74" s="147" t="s">
        <v>764</v>
      </c>
      <c r="E74" s="330">
        <f>E16+E71</f>
        <v>170.7717852845708</v>
      </c>
      <c r="F74" s="327"/>
    </row>
    <row r="75" spans="1:8" x14ac:dyDescent="0.25">
      <c r="D75" t="s">
        <v>762</v>
      </c>
      <c r="E75" s="331">
        <f>+Août!AB205</f>
        <v>171.1948355309261</v>
      </c>
    </row>
    <row r="76" spans="1:8" x14ac:dyDescent="0.25">
      <c r="D76" s="315" t="s">
        <v>763</v>
      </c>
      <c r="E76" s="319">
        <f>E74-E75</f>
        <v>-0.42305024635530231</v>
      </c>
    </row>
  </sheetData>
  <dataValidations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D219"/>
  <sheetViews>
    <sheetView showGridLines="0" topLeftCell="A62" workbookViewId="0">
      <selection activeCell="A75" sqref="A75:XFD75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customWidth="1"/>
    <col min="22" max="23" width="11.42578125" style="335"/>
    <col min="24" max="24" width="12.85546875" style="335" customWidth="1"/>
    <col min="25" max="25" width="13.85546875" style="420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821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IFERROR(VLOOKUP(B6,[3]mapping_one_neo!A:B,2,FALSE),"")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3261343.42633333/1000</f>
        <v>3261.3434263333302</v>
      </c>
      <c r="V6" s="440"/>
      <c r="W6" s="440"/>
      <c r="X6" s="440"/>
      <c r="Y6" s="440">
        <v>3261.3434263333302</v>
      </c>
      <c r="Z6" s="440"/>
      <c r="AA6" s="440"/>
      <c r="AB6" s="440">
        <v>3261.3434263333302</v>
      </c>
      <c r="AC6" s="355"/>
      <c r="AD6" s="334"/>
    </row>
    <row r="7" spans="1:30" x14ac:dyDescent="0.2"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IFERROR(VLOOKUP(B8,[3]mapping_one_neo!A:B,2,FALSE),"")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IFERROR(VLOOKUP(B9,[3]mapping_one_neo!A:B,2,FALSE),"")</f>
        <v>Staff salaries</v>
      </c>
      <c r="B9" s="352" t="s">
        <v>3</v>
      </c>
      <c r="C9" s="353">
        <v>752008</v>
      </c>
      <c r="E9" s="359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-1757.0290199999995</v>
      </c>
      <c r="V9" s="362">
        <v>4.6570600000000004</v>
      </c>
      <c r="W9" s="362"/>
      <c r="X9" s="351"/>
      <c r="Y9" s="363">
        <v>-1752.3719599999995</v>
      </c>
      <c r="Z9" s="363"/>
      <c r="AA9" s="363">
        <v>15</v>
      </c>
      <c r="AB9" s="363">
        <v>-1737.3719599999995</v>
      </c>
      <c r="AC9" s="355"/>
      <c r="AD9" s="485"/>
    </row>
    <row r="10" spans="1:30" s="352" customFormat="1" x14ac:dyDescent="0.2">
      <c r="A10" s="320" t="str">
        <f>IFERROR(VLOOKUP(B10,[3]mapping_one_neo!A:B,2,FALSE),"")</f>
        <v>Employers Social Taxes</v>
      </c>
      <c r="B10" s="352" t="s">
        <v>4</v>
      </c>
      <c r="C10" s="353">
        <v>752009</v>
      </c>
      <c r="E10" s="359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-750.19394</v>
      </c>
      <c r="V10" s="362">
        <v>2.2024400000000002</v>
      </c>
      <c r="W10" s="362"/>
      <c r="X10" s="351"/>
      <c r="Y10" s="363">
        <v>-747.99149999999997</v>
      </c>
      <c r="Z10" s="363"/>
      <c r="AA10" s="363">
        <v>7.2</v>
      </c>
      <c r="AB10" s="363">
        <v>-740.79149999999993</v>
      </c>
      <c r="AC10" s="355"/>
      <c r="AD10" s="485"/>
    </row>
    <row r="11" spans="1:30" s="352" customFormat="1" x14ac:dyDescent="0.2">
      <c r="A11" s="320" t="str">
        <f>IFERROR(VLOOKUP(B11,[3]mapping_one_neo!A:B,2,FALSE),"")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28.524194999999999</v>
      </c>
      <c r="W11" s="362"/>
      <c r="X11" s="351"/>
      <c r="Y11" s="363">
        <v>28.524194999999999</v>
      </c>
      <c r="Z11" s="363"/>
      <c r="AA11" s="363"/>
      <c r="AB11" s="363">
        <v>28.524194999999999</v>
      </c>
      <c r="AC11" s="355"/>
      <c r="AD11" s="366" t="s">
        <v>783</v>
      </c>
    </row>
    <row r="12" spans="1:30" s="352" customFormat="1" x14ac:dyDescent="0.2">
      <c r="A12" s="320" t="str">
        <f>IFERROR(VLOOKUP(B12,[3]mapping_one_neo!A:B,2,FALSE),"")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12.835887749999999</v>
      </c>
      <c r="W12" s="362"/>
      <c r="X12" s="351"/>
      <c r="Y12" s="363">
        <v>12.835887749999999</v>
      </c>
      <c r="Z12" s="363"/>
      <c r="AA12" s="363"/>
      <c r="AB12" s="363">
        <v>12.835887749999999</v>
      </c>
      <c r="AC12" s="355"/>
      <c r="AD12" s="366" t="s">
        <v>783</v>
      </c>
    </row>
    <row r="13" spans="1:30" s="352" customFormat="1" x14ac:dyDescent="0.2">
      <c r="A13" s="320" t="str">
        <f>IFERROR(VLOOKUP(B13,[3]mapping_one_neo!A:B,2,FALSE),"")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>SUM(Y13:AA13)</f>
        <v>0</v>
      </c>
      <c r="AC13" s="355"/>
      <c r="AD13" s="334"/>
    </row>
    <row r="14" spans="1:30" s="352" customFormat="1" x14ac:dyDescent="0.2">
      <c r="A14" s="320" t="str">
        <f>IFERROR(VLOOKUP(B14,[3]mapping_one_neo!A:B,2,FALSE),"")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>SUM(Y14:AA14)</f>
        <v>0</v>
      </c>
      <c r="AC14" s="355"/>
      <c r="AD14" s="334"/>
    </row>
    <row r="15" spans="1:30" s="352" customFormat="1" x14ac:dyDescent="0.2">
      <c r="A15" s="320" t="str">
        <f>IFERROR(VLOOKUP(B15,[3]mapping_one_neo!A:B,2,FALSE),"")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v>6.2080000000000002</v>
      </c>
      <c r="AC15" s="355"/>
      <c r="AD15" s="334"/>
    </row>
    <row r="16" spans="1:30" s="352" customFormat="1" x14ac:dyDescent="0.2">
      <c r="A16" s="320" t="str">
        <f>IFERROR(VLOOKUP(B16,[3]mapping_one_neo!A:B,2,FALSE),"")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v>2.9798399999999998</v>
      </c>
      <c r="AC16" s="355"/>
      <c r="AD16" s="334"/>
    </row>
    <row r="17" spans="1:30" s="352" customFormat="1" x14ac:dyDescent="0.2">
      <c r="A17" s="320" t="str">
        <f>IFERROR(VLOOKUP(B17,[3]mapping_one_neo!A:B,2,FALSE),"")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v>1.762</v>
      </c>
      <c r="AC17" s="355"/>
      <c r="AD17" s="334"/>
    </row>
    <row r="18" spans="1:30" s="352" customFormat="1" x14ac:dyDescent="0.2">
      <c r="A18" s="320" t="str">
        <f>IFERROR(VLOOKUP(B18,[3]mapping_one_neo!A:B,2,FALSE),"")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v>0.79290000000000005</v>
      </c>
      <c r="AC18" s="355"/>
      <c r="AD18" s="334"/>
    </row>
    <row r="19" spans="1:30" s="352" customFormat="1" x14ac:dyDescent="0.2">
      <c r="A19" s="320" t="str">
        <f>IFERROR(VLOOKUP(B19,[3]mapping_one_neo!A:B,2,FALSE),"")</f>
        <v>Employers Social Taxes</v>
      </c>
      <c r="B19" s="352" t="s">
        <v>8</v>
      </c>
      <c r="C19" s="337">
        <v>645500</v>
      </c>
      <c r="E19" s="359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12.446999999999999</v>
      </c>
      <c r="V19" s="362"/>
      <c r="W19" s="362"/>
      <c r="X19" s="362"/>
      <c r="Y19" s="363">
        <v>12.446999999999999</v>
      </c>
      <c r="Z19" s="363"/>
      <c r="AA19" s="363"/>
      <c r="AB19" s="363">
        <v>12.446999999999999</v>
      </c>
      <c r="AC19" s="355"/>
      <c r="AD19" s="334"/>
    </row>
    <row r="20" spans="1:30" s="352" customFormat="1" x14ac:dyDescent="0.2">
      <c r="A20" s="320" t="str">
        <f>IFERROR(VLOOKUP(B20,[3]mapping_one_neo!A:B,2,FALSE),"")</f>
        <v>Employers Social Taxes</v>
      </c>
      <c r="B20" s="352" t="s">
        <v>9</v>
      </c>
      <c r="C20" s="337">
        <v>645500</v>
      </c>
      <c r="E20" s="3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>
        <v>8.2999999999999963E-2</v>
      </c>
      <c r="V20" s="362"/>
      <c r="W20" s="362"/>
      <c r="X20" s="362"/>
      <c r="Y20" s="363">
        <v>8.2999999999999963E-2</v>
      </c>
      <c r="Z20" s="363"/>
      <c r="AA20" s="363"/>
      <c r="AB20" s="363">
        <v>8.2999999999999963E-2</v>
      </c>
      <c r="AC20" s="355"/>
      <c r="AD20" s="334" t="s">
        <v>134</v>
      </c>
    </row>
    <row r="21" spans="1:30" s="352" customFormat="1" x14ac:dyDescent="0.2">
      <c r="A21" s="320">
        <f>IFERROR(VLOOKUP(B21,[3]mapping_one_neo!A:B,2,FALSE),"")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>SUM(Y21:AA21)</f>
        <v>0</v>
      </c>
      <c r="AC21" s="355"/>
      <c r="AD21" s="334"/>
    </row>
    <row r="22" spans="1:30" s="352" customFormat="1" x14ac:dyDescent="0.2">
      <c r="A22" s="320" t="str">
        <f>IFERROR(VLOOKUP(B22,[3]mapping_one_neo!A:B,2,FALSE),"")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>SUM(Y22:AA22)</f>
        <v>-8.75</v>
      </c>
      <c r="AC22" s="355"/>
      <c r="AD22" s="334"/>
    </row>
    <row r="23" spans="1:30" s="352" customFormat="1" x14ac:dyDescent="0.2">
      <c r="A23" s="320" t="str">
        <f>IFERROR(VLOOKUP(B23,[3]mapping_one_neo!A:B,2,FALSE),"")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>SUM(Y23:AA23)</f>
        <v>0</v>
      </c>
      <c r="AC23" s="355"/>
      <c r="AD23" s="334"/>
    </row>
    <row r="24" spans="1:30" s="352" customFormat="1" x14ac:dyDescent="0.2">
      <c r="A24" s="320" t="str">
        <f>IFERROR(VLOOKUP(B24,[3]mapping_one_neo!A:B,2,FALSE),"")</f>
        <v xml:space="preserve">Inter-company time of staff - INTRA AU=0.INP </v>
      </c>
      <c r="B24" s="352" t="s">
        <v>13</v>
      </c>
      <c r="C24" s="337">
        <v>613218</v>
      </c>
      <c r="E24" s="359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-53.987999999999992</v>
      </c>
      <c r="V24" s="362"/>
      <c r="W24" s="362"/>
      <c r="X24" s="362"/>
      <c r="Y24" s="363">
        <v>-53.987999999999992</v>
      </c>
      <c r="Z24" s="363"/>
      <c r="AA24" s="363"/>
      <c r="AB24" s="363">
        <v>-53.987999999999992</v>
      </c>
      <c r="AC24" s="355"/>
      <c r="AD24" s="369"/>
    </row>
    <row r="25" spans="1:30" s="352" customFormat="1" x14ac:dyDescent="0.2">
      <c r="A25" s="320" t="str">
        <f>IFERROR(VLOOKUP(B25,[3]mapping_one_neo!A:B,2,FALSE),"")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-9.7350000000000012</v>
      </c>
      <c r="V25" s="362">
        <v>-0.96699999999999997</v>
      </c>
      <c r="W25" s="362"/>
      <c r="X25" s="362"/>
      <c r="Y25" s="363">
        <v>-10.702000000000002</v>
      </c>
      <c r="Z25" s="363"/>
      <c r="AA25" s="363"/>
      <c r="AB25" s="363">
        <v>-10.702000000000002</v>
      </c>
      <c r="AC25" s="355"/>
      <c r="AD25" s="334"/>
    </row>
    <row r="26" spans="1:30" s="352" customFormat="1" x14ac:dyDescent="0.2">
      <c r="A26" s="320" t="str">
        <f>IFERROR(VLOOKUP(B26,[3]mapping_one_neo!A:B,2,FALSE),"")</f>
        <v>Employers Social Taxes</v>
      </c>
      <c r="B26" s="352" t="s">
        <v>15</v>
      </c>
      <c r="C26" s="337">
        <v>613219</v>
      </c>
      <c r="E26" s="359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-29.064</v>
      </c>
      <c r="V26" s="362"/>
      <c r="W26" s="362"/>
      <c r="X26" s="362">
        <v>0</v>
      </c>
      <c r="Y26" s="363">
        <v>-29.064</v>
      </c>
      <c r="Z26" s="363"/>
      <c r="AA26" s="363"/>
      <c r="AB26" s="363">
        <v>-29.064</v>
      </c>
      <c r="AC26" s="355"/>
      <c r="AD26" s="334"/>
    </row>
    <row r="27" spans="1:30" s="352" customFormat="1" x14ac:dyDescent="0.2">
      <c r="A27" s="320" t="str">
        <f>IFERROR(VLOOKUP(B27,[3]mapping_one_neo!A:B,2,FALSE),"")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-4.8919999999999995</v>
      </c>
      <c r="V27" s="362">
        <v>-0.49399999999999999</v>
      </c>
      <c r="W27" s="362"/>
      <c r="X27" s="362"/>
      <c r="Y27" s="363">
        <v>-5.3859999999999992</v>
      </c>
      <c r="Z27" s="363"/>
      <c r="AA27" s="363"/>
      <c r="AB27" s="363">
        <v>-5.3859999999999992</v>
      </c>
      <c r="AC27" s="355"/>
      <c r="AD27" s="334"/>
    </row>
    <row r="28" spans="1:30" s="352" customFormat="1" x14ac:dyDescent="0.2">
      <c r="A28" s="320" t="str">
        <f>IFERROR(VLOOKUP(B28,[3]mapping_one_neo!A:B,2,FALSE),"")</f>
        <v>Recruitment costs</v>
      </c>
      <c r="B28" s="352" t="s">
        <v>17</v>
      </c>
      <c r="C28" s="337">
        <v>648222</v>
      </c>
      <c r="E28" s="359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/>
      <c r="Y28" s="363">
        <f>SUM(U28:X28)</f>
        <v>0</v>
      </c>
      <c r="Z28" s="363"/>
      <c r="AA28" s="363"/>
      <c r="AB28" s="363">
        <f>SUM(Y28:AA28)</f>
        <v>0</v>
      </c>
      <c r="AC28" s="355"/>
      <c r="AD28" s="334"/>
    </row>
    <row r="29" spans="1:30" s="352" customFormat="1" x14ac:dyDescent="0.2">
      <c r="A29" s="320" t="str">
        <f>IFERROR(VLOOKUP(B29,[3]mapping_one_neo!A:B,2,FALSE),"")</f>
        <v>Consultants/freelances/temps</v>
      </c>
      <c r="B29" s="352" t="s">
        <v>18</v>
      </c>
      <c r="C29" s="337">
        <v>648212</v>
      </c>
      <c r="E29" s="359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</v>
      </c>
      <c r="V29" s="362"/>
      <c r="W29" s="362"/>
      <c r="X29" s="362"/>
      <c r="Y29" s="363">
        <v>0.74</v>
      </c>
      <c r="Z29" s="363"/>
      <c r="AA29" s="363"/>
      <c r="AB29" s="363">
        <f>Y29</f>
        <v>0.74</v>
      </c>
      <c r="AC29" s="355"/>
      <c r="AD29" s="334"/>
    </row>
    <row r="30" spans="1:30" s="352" customFormat="1" x14ac:dyDescent="0.2">
      <c r="A30" s="320" t="str">
        <f>IFERROR(VLOOKUP(B30,[3]mapping_one_neo!A:B,2,FALSE),"")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-31.926369999999999</v>
      </c>
      <c r="V30" s="362"/>
      <c r="W30" s="362"/>
      <c r="X30" s="363"/>
      <c r="Y30" s="363">
        <v>-31.926369999999999</v>
      </c>
      <c r="Z30" s="363"/>
      <c r="AA30" s="363"/>
      <c r="AB30" s="363">
        <v>-31.926369999999999</v>
      </c>
      <c r="AC30" s="355"/>
      <c r="AD30" s="334"/>
    </row>
    <row r="31" spans="1:30" s="352" customFormat="1" x14ac:dyDescent="0.2">
      <c r="A31" s="320" t="str">
        <f>IFERROR(VLOOKUP(B31,[3]mapping_one_neo!A:B,2,FALSE),"")</f>
        <v xml:space="preserve">Inter-company time of staff - INTRA AU=0.INP </v>
      </c>
      <c r="B31" s="352" t="s">
        <v>20</v>
      </c>
      <c r="C31" s="337" t="s">
        <v>145</v>
      </c>
      <c r="E31" s="359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-72.736999999999995</v>
      </c>
      <c r="V31" s="362"/>
      <c r="W31" s="362"/>
      <c r="X31" s="362"/>
      <c r="Y31" s="363">
        <v>-72.736999999999995</v>
      </c>
      <c r="Z31" s="363"/>
      <c r="AA31" s="363"/>
      <c r="AB31" s="363">
        <v>-72.736999999999995</v>
      </c>
      <c r="AC31" s="355"/>
      <c r="AD31" s="334"/>
    </row>
    <row r="32" spans="1:30" s="352" customFormat="1" x14ac:dyDescent="0.2">
      <c r="A32" s="320">
        <f>IFERROR(VLOOKUP(B32,[3]mapping_one_neo!A:B,2,FALSE),"")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>SUM(Y32:AA32)</f>
        <v>0</v>
      </c>
      <c r="AC32" s="355"/>
      <c r="AD32" s="334"/>
    </row>
    <row r="33" spans="1:30" s="352" customFormat="1" x14ac:dyDescent="0.2">
      <c r="A33" s="320">
        <f>IFERROR(VLOOKUP(B33,[3]mapping_one_neo!A:B,2,FALSE),"")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>SUM(Y33:AA33)</f>
        <v>0</v>
      </c>
      <c r="AC33" s="355"/>
      <c r="AD33" s="334"/>
    </row>
    <row r="34" spans="1:30" s="352" customFormat="1" x14ac:dyDescent="0.2">
      <c r="A34" s="320" t="str">
        <f>IFERROR(VLOOKUP(B34,[3]mapping_one_neo!A:B,2,FALSE),"")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>
        <v>-22.425000000000001</v>
      </c>
      <c r="V34" s="362"/>
      <c r="W34" s="362"/>
      <c r="X34" s="362"/>
      <c r="Y34" s="363">
        <v>-22.425000000000001</v>
      </c>
      <c r="Z34" s="363"/>
      <c r="AA34" s="363"/>
      <c r="AB34" s="363">
        <v>-22.425000000000001</v>
      </c>
      <c r="AC34" s="355"/>
      <c r="AD34" s="334"/>
    </row>
    <row r="35" spans="1:30" s="352" customFormat="1" x14ac:dyDescent="0.2">
      <c r="A35" s="320">
        <f>IFERROR(VLOOKUP(B35,[3]mapping_one_neo!A:B,2,FALSE),"")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>SUM(Y35:AA35)</f>
        <v>0</v>
      </c>
      <c r="AC35" s="355"/>
      <c r="AD35" s="334"/>
    </row>
    <row r="36" spans="1:30" s="352" customFormat="1" x14ac:dyDescent="0.2">
      <c r="A36" s="320">
        <f>IFERROR(VLOOKUP(B36,[3]mapping_one_neo!A:B,2,FALSE),"")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>SUM(Y36:AA36)</f>
        <v>0</v>
      </c>
      <c r="AC36" s="355"/>
      <c r="AD36" s="334"/>
    </row>
    <row r="37" spans="1:30" s="352" customFormat="1" x14ac:dyDescent="0.2">
      <c r="A37" s="320" t="str">
        <f>IFERROR(VLOOKUP(B37,[3]mapping_one_neo!A:B,2,FALSE),"")</f>
        <v>Car costs/leases</v>
      </c>
      <c r="B37" s="332" t="s">
        <v>26</v>
      </c>
      <c r="C37" s="353"/>
      <c r="E37" s="359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-32.736530000000002</v>
      </c>
      <c r="V37" s="351"/>
      <c r="W37" s="351"/>
      <c r="X37" s="351">
        <v>0</v>
      </c>
      <c r="Y37" s="363">
        <v>-32.736530000000002</v>
      </c>
      <c r="Z37" s="363"/>
      <c r="AA37" s="363"/>
      <c r="AB37" s="363">
        <v>-32.736530000000002</v>
      </c>
      <c r="AC37" s="355"/>
      <c r="AD37" s="334"/>
    </row>
    <row r="38" spans="1:30" x14ac:dyDescent="0.2">
      <c r="A38" s="320">
        <f>IFERROR(VLOOKUP(B38,[3]mapping_one_neo!A:B,2,FALSE),"")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-24.727170000000001</v>
      </c>
      <c r="V38" s="351"/>
      <c r="W38" s="351"/>
      <c r="X38" s="351">
        <v>0</v>
      </c>
      <c r="Y38" s="363"/>
      <c r="Z38" s="363"/>
      <c r="AA38" s="363"/>
      <c r="AB38" s="363">
        <f>SUM(Y38:AA38)</f>
        <v>0</v>
      </c>
      <c r="AC38" s="350"/>
    </row>
    <row r="39" spans="1:30" x14ac:dyDescent="0.2">
      <c r="A39" s="320">
        <f>IFERROR(VLOOKUP(B39,[3]mapping_one_neo!A:B,2,FALSE),"")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-3.7546499999999998</v>
      </c>
      <c r="V39" s="351"/>
      <c r="W39" s="351"/>
      <c r="X39" s="351">
        <v>0</v>
      </c>
      <c r="Y39" s="363"/>
      <c r="Z39" s="363"/>
      <c r="AA39" s="363"/>
      <c r="AB39" s="363">
        <f>SUM(Y39:AA39)</f>
        <v>0</v>
      </c>
      <c r="AC39" s="350"/>
    </row>
    <row r="40" spans="1:30" x14ac:dyDescent="0.2">
      <c r="A40" s="320">
        <f>IFERROR(VLOOKUP(B40,[3]mapping_one_neo!A:B,2,FALSE),"")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-2.34409</v>
      </c>
      <c r="V40" s="362"/>
      <c r="W40" s="351"/>
      <c r="X40" s="351">
        <v>0</v>
      </c>
      <c r="Y40" s="363"/>
      <c r="Z40" s="363"/>
      <c r="AA40" s="363"/>
      <c r="AB40" s="363">
        <f>SUM(Y40:AA40)</f>
        <v>0</v>
      </c>
      <c r="AC40" s="350"/>
      <c r="AD40" s="334" t="s">
        <v>134</v>
      </c>
    </row>
    <row r="41" spans="1:30" x14ac:dyDescent="0.2">
      <c r="A41" s="320">
        <f>IFERROR(VLOOKUP(B41,[3]mapping_one_neo!A:B,2,FALSE),"")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-1.91062</v>
      </c>
      <c r="V41" s="362"/>
      <c r="W41" s="362"/>
      <c r="X41" s="351"/>
      <c r="Y41" s="363"/>
      <c r="Z41" s="363"/>
      <c r="AA41" s="363"/>
      <c r="AB41" s="363">
        <f>SUM(Y41:AA41)</f>
        <v>0</v>
      </c>
      <c r="AC41" s="350"/>
    </row>
    <row r="42" spans="1:30" s="352" customFormat="1" x14ac:dyDescent="0.2">
      <c r="A42" s="320" t="str">
        <f>IFERROR(VLOOKUP(B42,[3]mapping_one_neo!A:B,2,FALSE),"")</f>
        <v>Pensions - defined benefit schemes</v>
      </c>
      <c r="B42" s="352" t="s">
        <v>31</v>
      </c>
      <c r="C42" s="337">
        <v>681520</v>
      </c>
      <c r="E42" s="359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-9.18</v>
      </c>
      <c r="V42" s="362"/>
      <c r="W42" s="362"/>
      <c r="X42" s="351">
        <v>0</v>
      </c>
      <c r="Y42" s="363">
        <v>-9.18</v>
      </c>
      <c r="Z42" s="363"/>
      <c r="AA42" s="363"/>
      <c r="AB42" s="363">
        <v>-9.18</v>
      </c>
      <c r="AC42" s="355"/>
      <c r="AD42" s="334"/>
    </row>
    <row r="43" spans="1:30" s="352" customFormat="1" x14ac:dyDescent="0.2">
      <c r="A43" s="320">
        <f>IFERROR(VLOOKUP(B43,[3]mapping_one_neo!A:B,2,FALSE),"")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v>0</v>
      </c>
      <c r="AC43" s="355"/>
      <c r="AD43" s="334"/>
    </row>
    <row r="44" spans="1:30" x14ac:dyDescent="0.2">
      <c r="A44" s="320" t="str">
        <f>IFERROR(VLOOKUP(B44,[3]mapping_one_neo!A:B,2,FALSE),"")</f>
        <v>Holiday Pay</v>
      </c>
      <c r="B44" s="370" t="s">
        <v>33</v>
      </c>
      <c r="C44" s="373">
        <v>641200</v>
      </c>
      <c r="E44" s="359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25.931000000000001</v>
      </c>
      <c r="V44" s="351"/>
      <c r="W44" s="351"/>
      <c r="X44" s="351"/>
      <c r="Y44" s="363">
        <v>25.931000000000001</v>
      </c>
      <c r="Z44" s="363"/>
      <c r="AA44" s="363"/>
      <c r="AB44" s="363">
        <v>25.931000000000001</v>
      </c>
      <c r="AC44" s="350"/>
    </row>
    <row r="45" spans="1:30" x14ac:dyDescent="0.2">
      <c r="A45" s="321" t="str">
        <f>IFERROR(VLOOKUP(B45,[3]mapping_one_neo!A:B,2,FALSE),"")</f>
        <v>Holiday Pay</v>
      </c>
      <c r="B45" s="370" t="s">
        <v>34</v>
      </c>
      <c r="C45" s="373">
        <v>641200</v>
      </c>
      <c r="E45" s="359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>
        <v>0.17200000000000015</v>
      </c>
      <c r="V45" s="351"/>
      <c r="W45" s="351"/>
      <c r="X45" s="351"/>
      <c r="Y45" s="363">
        <v>0.17200000000000015</v>
      </c>
      <c r="Z45" s="363"/>
      <c r="AA45" s="363"/>
      <c r="AB45" s="363">
        <v>0.17200000000000015</v>
      </c>
      <c r="AC45" s="350"/>
      <c r="AD45" s="334" t="s">
        <v>134</v>
      </c>
    </row>
    <row r="46" spans="1:30" s="342" customFormat="1" x14ac:dyDescent="0.2">
      <c r="A46" s="321" t="str">
        <f>IFERROR(VLOOKUP(B46,[3]mapping_one_neo!A:B,2,FALSE),"")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>SUM(Y46:AA46)</f>
        <v>0</v>
      </c>
      <c r="AC46" s="377"/>
      <c r="AD46" s="334"/>
    </row>
    <row r="47" spans="1:30" s="342" customFormat="1" x14ac:dyDescent="0.2">
      <c r="A47" s="321">
        <f>IFERROR(VLOOKUP(B47,[3]mapping_one_neo!A:B,2,FALSE),"")</f>
        <v>0</v>
      </c>
      <c r="B47" s="352" t="s">
        <v>24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>
        <v>412.01866606660121</v>
      </c>
      <c r="AA47" s="363">
        <v>0.38008130081300862</v>
      </c>
      <c r="AB47" s="363">
        <v>412.39874736741422</v>
      </c>
      <c r="AC47" s="377"/>
      <c r="AD47" s="334"/>
    </row>
    <row r="48" spans="1:30" s="342" customFormat="1" x14ac:dyDescent="0.2">
      <c r="A48" s="320" t="str">
        <f>IFERROR(VLOOKUP(B48,[3]mapping_one_neo!A:B,2,FALSE),"")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IFERROR(VLOOKUP(B49,[3]mapping_one_neo!A:B,2,FALSE),"")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SUM(U9:U37,U42,U44:U45)</f>
        <v>-2742.4909599999996</v>
      </c>
      <c r="V49" s="383">
        <f>SUM(V8:V20)</f>
        <v>59.169422750000003</v>
      </c>
      <c r="W49" s="383">
        <v>0</v>
      </c>
      <c r="X49" s="383">
        <f>SUM(X8:X47)</f>
        <v>0</v>
      </c>
      <c r="Y49" s="383">
        <f>SUM(Y8:Y47)</f>
        <v>-2684.7825372499997</v>
      </c>
      <c r="Z49" s="383">
        <f>SUM(Z7:Z47)</f>
        <v>412.01866606660121</v>
      </c>
      <c r="AA49" s="383">
        <f>SUM(AA7:AA47)</f>
        <v>22.580081300813006</v>
      </c>
      <c r="AB49" s="444">
        <f>SUM(AB7:AB47)</f>
        <v>-2250.1837898825852</v>
      </c>
      <c r="AC49" s="377"/>
      <c r="AD49" s="382" t="s">
        <v>134</v>
      </c>
    </row>
    <row r="50" spans="1:30" s="342" customFormat="1" x14ac:dyDescent="0.2">
      <c r="A50" s="320" t="str">
        <f>IFERROR(VLOOKUP(B50,[3]mapping_one_neo!A:B,2,FALSE),"")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IFERROR(VLOOKUP(B51,[3]mapping_one_neo!A:B,2,FALSE),"")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IFERROR(VLOOKUP(B52,[3]mapping_one_neo!A:B,2,FALSE),"")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-150.00300000000001</v>
      </c>
      <c r="V52" s="362"/>
      <c r="W52" s="362"/>
      <c r="X52" s="362"/>
      <c r="Y52" s="363">
        <v>-150.00300000000001</v>
      </c>
      <c r="Z52" s="363"/>
      <c r="AA52" s="363"/>
      <c r="AB52" s="363">
        <f>SUM(Y52:AA52)</f>
        <v>-150.00300000000001</v>
      </c>
      <c r="AC52" s="355"/>
      <c r="AD52" s="334"/>
    </row>
    <row r="53" spans="1:30" s="352" customFormat="1" x14ac:dyDescent="0.2">
      <c r="A53" s="320" t="str">
        <f>IFERROR(VLOOKUP(B53,[3]mapping_one_neo!A:B,2,FALSE),"")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-36</v>
      </c>
      <c r="V53" s="362"/>
      <c r="W53" s="362"/>
      <c r="X53" s="362"/>
      <c r="Y53" s="363">
        <v>-36</v>
      </c>
      <c r="Z53" s="363"/>
      <c r="AA53" s="363"/>
      <c r="AB53" s="363">
        <f t="shared" ref="AB53:AB57" si="0">SUM(Y53:AA53)</f>
        <v>-36</v>
      </c>
      <c r="AC53" s="355"/>
      <c r="AD53" s="334"/>
    </row>
    <row r="54" spans="1:30" s="352" customFormat="1" x14ac:dyDescent="0.2">
      <c r="A54" s="320" t="str">
        <f>IFERROR(VLOOKUP(B54,[3]mapping_one_neo!A:B,2,FALSE),"")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-21.753</v>
      </c>
      <c r="V54" s="362"/>
      <c r="W54" s="362"/>
      <c r="X54" s="362"/>
      <c r="Y54" s="363">
        <v>-21.753</v>
      </c>
      <c r="Z54" s="363"/>
      <c r="AA54" s="363"/>
      <c r="AB54" s="363">
        <f t="shared" si="0"/>
        <v>-21.753</v>
      </c>
      <c r="AC54" s="355"/>
      <c r="AD54" s="334"/>
    </row>
    <row r="55" spans="1:30" s="352" customFormat="1" x14ac:dyDescent="0.2">
      <c r="A55" s="320" t="str">
        <f>IFERROR(VLOOKUP(B55,[3]mapping_one_neo!A:B,2,FALSE),"")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-1.8875200000000001</v>
      </c>
      <c r="V55" s="362"/>
      <c r="W55" s="362"/>
      <c r="X55" s="362"/>
      <c r="Y55" s="363">
        <v>-1.8875200000000001</v>
      </c>
      <c r="Z55" s="363"/>
      <c r="AA55" s="363"/>
      <c r="AB55" s="363">
        <f t="shared" si="0"/>
        <v>-1.8875200000000001</v>
      </c>
      <c r="AC55" s="355"/>
      <c r="AD55" s="334" t="s">
        <v>134</v>
      </c>
    </row>
    <row r="56" spans="1:30" s="352" customFormat="1" x14ac:dyDescent="0.2">
      <c r="A56" s="320" t="str">
        <f>IFERROR(VLOOKUP(B56,[3]mapping_one_neo!A:B,2,FALSE),"")</f>
        <v/>
      </c>
      <c r="B56" s="352" t="s">
        <v>595</v>
      </c>
      <c r="C56" s="353" t="s">
        <v>784</v>
      </c>
      <c r="E56" s="356">
        <v>-1</v>
      </c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v>0</v>
      </c>
      <c r="Z56" s="363">
        <v>34.574341342479904</v>
      </c>
      <c r="AA56" s="363">
        <v>13.130081300813012</v>
      </c>
      <c r="AB56" s="363">
        <f t="shared" si="0"/>
        <v>47.704422643292915</v>
      </c>
      <c r="AC56" s="355"/>
      <c r="AD56" s="334"/>
    </row>
    <row r="57" spans="1:30" s="352" customFormat="1" x14ac:dyDescent="0.2">
      <c r="A57" s="320" t="str">
        <f>IFERROR(VLOOKUP(B57,[3]mapping_one_neo!A:B,2,FALSE),"")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-4</v>
      </c>
      <c r="V57" s="362"/>
      <c r="W57" s="362"/>
      <c r="X57" s="362"/>
      <c r="Y57" s="363">
        <v>-4</v>
      </c>
      <c r="Z57" s="363"/>
      <c r="AA57" s="363"/>
      <c r="AB57" s="363">
        <f t="shared" si="0"/>
        <v>-4</v>
      </c>
      <c r="AC57" s="355"/>
      <c r="AD57" s="334"/>
    </row>
    <row r="58" spans="1:30" s="352" customFormat="1" x14ac:dyDescent="0.2">
      <c r="A58" s="320" t="str">
        <f>IFERROR(VLOOKUP(B58,[3]mapping_one_neo!A:B,2,FALSE),"")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-213.64352000000002</v>
      </c>
      <c r="V58" s="354">
        <v>0</v>
      </c>
      <c r="W58" s="354">
        <v>0</v>
      </c>
      <c r="X58" s="354"/>
      <c r="Y58" s="357">
        <f>SUM(Y52:Y57)</f>
        <v>-213.64352000000002</v>
      </c>
      <c r="Z58" s="357">
        <f>SUM(Z52:Z57)</f>
        <v>34.574341342479904</v>
      </c>
      <c r="AA58" s="357">
        <f>SUM(AA52:AA57)</f>
        <v>13.130081300813012</v>
      </c>
      <c r="AB58" s="357">
        <f>SUM(AB52:AB57)</f>
        <v>-165.93909735670712</v>
      </c>
      <c r="AC58" s="355"/>
      <c r="AD58" s="334"/>
    </row>
    <row r="59" spans="1:30" x14ac:dyDescent="0.2">
      <c r="A59" s="320" t="str">
        <f>IFERROR(VLOOKUP(B59,[3]mapping_one_neo!A:B,2,FALSE),"")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IFERROR(VLOOKUP(B60,[3]mapping_one_neo!A:B,2,FALSE),"")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IFERROR(VLOOKUP(B61,[3]mapping_one_neo!A:B,2,FALSE),"")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IFERROR(VLOOKUP(B62,[3]mapping_one_neo!A:B,2,FALSE),"")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-9.00962</v>
      </c>
      <c r="V62" s="351">
        <v>-18.445039999999999</v>
      </c>
      <c r="W62" s="351"/>
      <c r="X62" s="351"/>
      <c r="Y62" s="363">
        <v>-27.454659999999997</v>
      </c>
      <c r="Z62" s="363"/>
      <c r="AA62" s="363"/>
      <c r="AB62" s="363">
        <v>-27.454659999999997</v>
      </c>
      <c r="AC62" s="355"/>
      <c r="AD62" s="334"/>
    </row>
    <row r="63" spans="1:30" s="352" customFormat="1" ht="15" customHeight="1" x14ac:dyDescent="0.2">
      <c r="A63" s="320" t="str">
        <f>IFERROR(VLOOKUP(B63,[3]mapping_one_neo!A:B,2,FALSE),"")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-104.15951000000001</v>
      </c>
      <c r="W63" s="351"/>
      <c r="X63" s="351"/>
      <c r="Y63" s="363">
        <v>-104.15951000000001</v>
      </c>
      <c r="Z63" s="363"/>
      <c r="AA63" s="363"/>
      <c r="AB63" s="363">
        <v>-104.15951000000001</v>
      </c>
      <c r="AC63" s="355"/>
      <c r="AD63" s="334"/>
    </row>
    <row r="64" spans="1:30" s="352" customFormat="1" x14ac:dyDescent="0.2">
      <c r="A64" s="320" t="str">
        <f>IFERROR(VLOOKUP(B64,[3]mapping_one_neo!A:B,2,FALSE),"")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-8.7029999999999994</v>
      </c>
      <c r="V64" s="351"/>
      <c r="W64" s="351"/>
      <c r="X64" s="351">
        <v>0</v>
      </c>
      <c r="Y64" s="363">
        <v>-8.7029999999999994</v>
      </c>
      <c r="Z64" s="363"/>
      <c r="AA64" s="363"/>
      <c r="AB64" s="363">
        <v>-8.7029999999999994</v>
      </c>
      <c r="AC64" s="355"/>
      <c r="AD64" s="334"/>
    </row>
    <row r="65" spans="1:30" s="352" customFormat="1" x14ac:dyDescent="0.2">
      <c r="A65" s="320" t="str">
        <f>IFERROR(VLOOKUP(B65,[3]mapping_one_neo!A:B,2,FALSE),"")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-1.728</v>
      </c>
      <c r="V65" s="351"/>
      <c r="W65" s="351"/>
      <c r="X65" s="351">
        <v>0</v>
      </c>
      <c r="Y65" s="363">
        <v>-1.728</v>
      </c>
      <c r="Z65" s="363"/>
      <c r="AA65" s="363"/>
      <c r="AB65" s="363">
        <v>-1.728</v>
      </c>
      <c r="AC65" s="355"/>
      <c r="AD65" s="334"/>
    </row>
    <row r="66" spans="1:30" s="352" customFormat="1" x14ac:dyDescent="0.2">
      <c r="A66" s="320" t="str">
        <f>IFERROR(VLOOKUP(B66,[3]mapping_one_neo!A:B,2,FALSE),"")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v>0</v>
      </c>
      <c r="Z66" s="363"/>
      <c r="AA66" s="363"/>
      <c r="AB66" s="363">
        <v>0</v>
      </c>
      <c r="AC66" s="355"/>
      <c r="AD66" s="334"/>
    </row>
    <row r="67" spans="1:30" s="352" customFormat="1" x14ac:dyDescent="0.2">
      <c r="A67" s="320" t="str">
        <f>IFERROR(VLOOKUP(B67,[3]mapping_one_neo!A:B,2,FALSE),"")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-3.6040000000000001</v>
      </c>
      <c r="V67" s="351"/>
      <c r="W67" s="351"/>
      <c r="X67" s="351">
        <v>0</v>
      </c>
      <c r="Y67" s="363">
        <v>-3.6040000000000001</v>
      </c>
      <c r="Z67" s="363"/>
      <c r="AA67" s="363"/>
      <c r="AB67" s="363">
        <v>-3.6040000000000001</v>
      </c>
      <c r="AC67" s="355"/>
      <c r="AD67" s="334"/>
    </row>
    <row r="68" spans="1:30" s="352" customFormat="1" x14ac:dyDescent="0.2">
      <c r="A68" s="320" t="str">
        <f>IFERROR(VLOOKUP(B68,[3]mapping_one_neo!A:B,2,FALSE),"")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-3.5421099999999996</v>
      </c>
      <c r="V68" s="351"/>
      <c r="W68" s="351"/>
      <c r="X68" s="351"/>
      <c r="Y68" s="363">
        <v>-3.5421099999999996</v>
      </c>
      <c r="Z68" s="363"/>
      <c r="AA68" s="363"/>
      <c r="AB68" s="363">
        <v>-3.5421099999999996</v>
      </c>
      <c r="AC68" s="355"/>
      <c r="AD68" s="334"/>
    </row>
    <row r="69" spans="1:30" s="352" customFormat="1" x14ac:dyDescent="0.2">
      <c r="A69" s="320" t="str">
        <f>IFERROR(VLOOKUP(B69,[3]mapping_one_neo!A:B,2,FALSE),"")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-1.7524100000000007</v>
      </c>
      <c r="V69" s="351"/>
      <c r="W69" s="351"/>
      <c r="X69" s="351"/>
      <c r="Y69" s="363">
        <v>-1.7524100000000007</v>
      </c>
      <c r="Z69" s="363"/>
      <c r="AA69" s="363"/>
      <c r="AB69" s="363">
        <v>-1.7524100000000007</v>
      </c>
      <c r="AC69" s="355"/>
      <c r="AD69" s="334"/>
    </row>
    <row r="70" spans="1:30" s="352" customFormat="1" x14ac:dyDescent="0.2">
      <c r="A70" s="320" t="str">
        <f>IFERROR(VLOOKUP(B70,[3]mapping_one_neo!A:B,2,FALSE),"")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-10.125</v>
      </c>
      <c r="V70" s="351"/>
      <c r="W70" s="351"/>
      <c r="X70" s="351"/>
      <c r="Y70" s="363">
        <v>-10.125</v>
      </c>
      <c r="Z70" s="363"/>
      <c r="AA70" s="363"/>
      <c r="AB70" s="363">
        <v>-10.125</v>
      </c>
      <c r="AC70" s="355"/>
      <c r="AD70" s="334"/>
    </row>
    <row r="71" spans="1:30" s="352" customFormat="1" x14ac:dyDescent="0.2">
      <c r="A71" s="320" t="str">
        <f>IFERROR(VLOOKUP(B71,[3]mapping_one_neo!A:B,2,FALSE),"")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IFERROR(VLOOKUP(B72,[3]mapping_one_neo!A:B,2,FALSE),"")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-38.46414</v>
      </c>
      <c r="V72" s="393">
        <f t="shared" ref="V72:AB72" si="1">SUM(V62:V71)</f>
        <v>-122.60455000000002</v>
      </c>
      <c r="W72" s="393">
        <f t="shared" si="1"/>
        <v>0</v>
      </c>
      <c r="X72" s="393">
        <f t="shared" si="1"/>
        <v>0</v>
      </c>
      <c r="Y72" s="395">
        <f t="shared" si="1"/>
        <v>-161.06869000000003</v>
      </c>
      <c r="Z72" s="395">
        <f t="shared" si="1"/>
        <v>0</v>
      </c>
      <c r="AA72" s="395">
        <f t="shared" si="1"/>
        <v>0</v>
      </c>
      <c r="AB72" s="395">
        <f t="shared" si="1"/>
        <v>-161.06869000000003</v>
      </c>
      <c r="AC72" s="394"/>
      <c r="AD72" s="334"/>
    </row>
    <row r="73" spans="1:30" x14ac:dyDescent="0.2">
      <c r="A73" s="320" t="str">
        <f>IFERROR(VLOOKUP(B73,[3]mapping_one_neo!A:B,2,FALSE),"")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IFERROR(VLOOKUP(B74,[3]mapping_one_neo!A:B,2,FALSE),"")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IFERROR(VLOOKUP(B75,[3]mapping_one_neo!A:B,2,FALSE),"")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-16.37444</v>
      </c>
      <c r="V75" s="351"/>
      <c r="W75" s="351"/>
      <c r="X75" s="351"/>
      <c r="Y75" s="363">
        <v>-16.37444</v>
      </c>
      <c r="Z75" s="363"/>
      <c r="AA75" s="363"/>
      <c r="AB75" s="363">
        <f>SUM(Y75:AA75)</f>
        <v>-16.37444</v>
      </c>
      <c r="AC75" s="355" t="s">
        <v>134</v>
      </c>
      <c r="AD75" s="334"/>
    </row>
    <row r="76" spans="1:30" s="352" customFormat="1" x14ac:dyDescent="0.2">
      <c r="A76" s="320" t="str">
        <f>IFERROR(VLOOKUP(B76,[3]mapping_one_neo!A:B,2,FALSE),"")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-5.9386099999999997</v>
      </c>
      <c r="V76" s="351"/>
      <c r="W76" s="351"/>
      <c r="X76" s="351"/>
      <c r="Y76" s="363">
        <v>-5.9386099999999997</v>
      </c>
      <c r="Z76" s="363"/>
      <c r="AA76" s="363"/>
      <c r="AB76" s="363">
        <f>SUM(Y76:AA76)</f>
        <v>-5.9386099999999997</v>
      </c>
      <c r="AC76" s="355"/>
      <c r="AD76" s="334"/>
    </row>
    <row r="77" spans="1:30" s="352" customFormat="1" x14ac:dyDescent="0.2">
      <c r="A77" s="320" t="str">
        <f>IFERROR(VLOOKUP(B77,[3]mapping_one_neo!A:B,2,FALSE),"")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-7.1307099999999997</v>
      </c>
      <c r="V77" s="351"/>
      <c r="W77" s="351"/>
      <c r="X77" s="351"/>
      <c r="Y77" s="363">
        <v>-7.1307099999999997</v>
      </c>
      <c r="Z77" s="363"/>
      <c r="AA77" s="363"/>
      <c r="AB77" s="363">
        <f>SUM(Y77:AA77)</f>
        <v>-7.1307099999999997</v>
      </c>
      <c r="AC77" s="355"/>
      <c r="AD77" s="334"/>
    </row>
    <row r="78" spans="1:30" s="352" customFormat="1" x14ac:dyDescent="0.2">
      <c r="A78" s="320" t="str">
        <f>IFERROR(VLOOKUP(B78,[3]mapping_one_neo!A:B,2,FALSE),"")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-4.9361600000000001</v>
      </c>
      <c r="V78" s="351"/>
      <c r="W78" s="351"/>
      <c r="X78" s="351">
        <v>0</v>
      </c>
      <c r="Y78" s="363">
        <v>-4.9361600000000001</v>
      </c>
      <c r="Z78" s="363"/>
      <c r="AA78" s="363"/>
      <c r="AB78" s="363">
        <f>SUM(Y78:AA78)</f>
        <v>-4.9361600000000001</v>
      </c>
      <c r="AC78" s="355"/>
      <c r="AD78" s="334"/>
    </row>
    <row r="79" spans="1:30" s="387" customFormat="1" x14ac:dyDescent="0.2">
      <c r="A79" s="320" t="str">
        <f>IFERROR(VLOOKUP(B79,[3]mapping_one_neo!A:B,2,FALSE),"")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-34.379919999999998</v>
      </c>
      <c r="V79" s="393">
        <f t="shared" ref="V79:AB79" si="2">SUM(V75:V78)</f>
        <v>0</v>
      </c>
      <c r="W79" s="393">
        <f t="shared" si="2"/>
        <v>0</v>
      </c>
      <c r="X79" s="393">
        <f t="shared" si="2"/>
        <v>0</v>
      </c>
      <c r="Y79" s="393">
        <f t="shared" si="2"/>
        <v>-34.379919999999998</v>
      </c>
      <c r="Z79" s="393">
        <f t="shared" si="2"/>
        <v>0</v>
      </c>
      <c r="AA79" s="393">
        <f t="shared" si="2"/>
        <v>0</v>
      </c>
      <c r="AB79" s="393">
        <f t="shared" si="2"/>
        <v>-34.379919999999998</v>
      </c>
      <c r="AC79" s="394"/>
      <c r="AD79" s="334"/>
    </row>
    <row r="80" spans="1:30" s="387" customFormat="1" x14ac:dyDescent="0.2">
      <c r="A80" s="320"/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387" customFormat="1" x14ac:dyDescent="0.2">
      <c r="A81" s="320"/>
      <c r="B81" s="387" t="s">
        <v>747</v>
      </c>
      <c r="C81" s="392"/>
      <c r="E81" s="39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349"/>
      <c r="T81" s="346"/>
      <c r="U81" s="397"/>
      <c r="V81" s="397"/>
      <c r="W81" s="397"/>
      <c r="X81" s="397"/>
      <c r="Y81" s="397"/>
      <c r="Z81" s="397">
        <v>26.734227975110699</v>
      </c>
      <c r="AA81" s="397"/>
      <c r="AB81" s="397">
        <f>Z81</f>
        <v>26.734227975110699</v>
      </c>
      <c r="AC81" s="394"/>
      <c r="AD81" s="334"/>
    </row>
    <row r="82" spans="1:30" x14ac:dyDescent="0.2">
      <c r="A82" s="320" t="str">
        <f>IFERROR(VLOOKUP(B82,[3]mapping_one_neo!A:B,2,FALSE),"")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IFERROR(VLOOKUP(B83,[3]mapping_one_neo!A:B,2,FALSE),"")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-72.844059999999999</v>
      </c>
      <c r="V83" s="354">
        <f t="shared" ref="V83:AA83" si="3">V72+V79</f>
        <v>-122.60455000000002</v>
      </c>
      <c r="W83" s="354">
        <f t="shared" si="3"/>
        <v>0</v>
      </c>
      <c r="X83" s="354">
        <f t="shared" si="3"/>
        <v>0</v>
      </c>
      <c r="Y83" s="354">
        <f t="shared" si="3"/>
        <v>-195.44861000000003</v>
      </c>
      <c r="Z83" s="354">
        <f>Z81</f>
        <v>26.734227975110699</v>
      </c>
      <c r="AA83" s="354">
        <f t="shared" si="3"/>
        <v>0</v>
      </c>
      <c r="AB83" s="354">
        <f>AB72+AB79+AB81</f>
        <v>-168.71438202488935</v>
      </c>
      <c r="AC83" s="350"/>
    </row>
    <row r="84" spans="1:30" x14ac:dyDescent="0.2">
      <c r="A84" s="320" t="str">
        <f>IFERROR(VLOOKUP(B84,[3]mapping_one_neo!A:B,2,FALSE),"")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IFERROR(VLOOKUP(B85,[3]mapping_one_neo!A:B,2,FALSE),"")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IFERROR(VLOOKUP(B86,[3]mapping_one_neo!A:B,2,FALSE),"")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IFERROR(VLOOKUP(B87,[3]mapping_one_neo!A:B,2,FALSE),"")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>
        <v>-1.7</v>
      </c>
      <c r="V87" s="351"/>
      <c r="W87" s="351">
        <v>0.85</v>
      </c>
      <c r="X87" s="351"/>
      <c r="Y87" s="363">
        <v>-0.85</v>
      </c>
      <c r="Z87" s="363"/>
      <c r="AA87" s="363"/>
      <c r="AB87" s="363">
        <v>-0.85</v>
      </c>
      <c r="AC87" s="355"/>
      <c r="AD87" s="334"/>
    </row>
    <row r="88" spans="1:30" s="352" customFormat="1" x14ac:dyDescent="0.2">
      <c r="A88" s="320" t="str">
        <f>IFERROR(VLOOKUP(B88,[3]mapping_one_neo!A:B,2,FALSE),"")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>
        <v>0</v>
      </c>
      <c r="V88" s="351"/>
      <c r="W88" s="351"/>
      <c r="X88" s="351"/>
      <c r="Y88" s="363">
        <v>0</v>
      </c>
      <c r="Z88" s="363"/>
      <c r="AA88" s="363"/>
      <c r="AB88" s="363">
        <v>0</v>
      </c>
      <c r="AC88" s="355"/>
      <c r="AD88" s="334"/>
    </row>
    <row r="89" spans="1:30" s="352" customFormat="1" x14ac:dyDescent="0.2">
      <c r="A89" s="320" t="str">
        <f>IFERROR(VLOOKUP(B89,[3]mapping_one_neo!A:B,2,FALSE),"")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-2.0585900000000001</v>
      </c>
      <c r="V89" s="351"/>
      <c r="W89" s="351"/>
      <c r="X89" s="351"/>
      <c r="Y89" s="363">
        <v>-2.00827</v>
      </c>
      <c r="Z89" s="363"/>
      <c r="AA89" s="363"/>
      <c r="AB89" s="363">
        <v>-2.00827</v>
      </c>
      <c r="AC89" s="355"/>
      <c r="AD89" s="334"/>
    </row>
    <row r="90" spans="1:30" s="387" customFormat="1" x14ac:dyDescent="0.2">
      <c r="A90" s="320">
        <f>IFERROR(VLOOKUP(B90,[3]mapping_one_neo!A:B,2,FALSE),"")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SUM(U87:U89)</f>
        <v>-3.7585899999999999</v>
      </c>
      <c r="V90" s="393">
        <f t="shared" ref="V90:AA90" si="4">SUM(V88:V89)</f>
        <v>0</v>
      </c>
      <c r="W90" s="393">
        <f>SUM(W87:W89)</f>
        <v>0.85</v>
      </c>
      <c r="X90" s="393">
        <f>SUM(X87:X89)</f>
        <v>0</v>
      </c>
      <c r="Y90" s="395">
        <f>SUM(Y87:Y89)</f>
        <v>-2.8582700000000001</v>
      </c>
      <c r="Z90" s="395">
        <f t="shared" si="4"/>
        <v>0</v>
      </c>
      <c r="AA90" s="395">
        <f t="shared" si="4"/>
        <v>0</v>
      </c>
      <c r="AB90" s="395">
        <f>SUM(AB87:AB89)</f>
        <v>-2.8582700000000001</v>
      </c>
      <c r="AC90" s="394"/>
      <c r="AD90" s="334"/>
    </row>
    <row r="91" spans="1:30" x14ac:dyDescent="0.2">
      <c r="A91" s="320" t="str">
        <f>IFERROR(VLOOKUP(B91,[3]mapping_one_neo!A:B,2,FALSE),"")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IFERROR(VLOOKUP(B92,[3]mapping_one_neo!A:B,2,FALSE),"")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IFERROR(VLOOKUP(B93,[3]mapping_one_neo!A:B,2,FALSE),"")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v>-2.8881200000000002</v>
      </c>
      <c r="V93" s="351"/>
      <c r="W93" s="351"/>
      <c r="X93" s="351"/>
      <c r="Y93" s="363">
        <v>-2.8881200000000002</v>
      </c>
      <c r="Z93" s="363"/>
      <c r="AA93" s="363"/>
      <c r="AB93" s="363">
        <v>-2.8881200000000002</v>
      </c>
      <c r="AC93" s="355"/>
    </row>
    <row r="94" spans="1:30" s="352" customFormat="1" x14ac:dyDescent="0.2">
      <c r="A94" s="320" t="str">
        <f>IFERROR(VLOOKUP(B94,[3]mapping_one_neo!A:B,2,FALSE),"")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/>
      <c r="Y94" s="363">
        <v>0.90203999999999995</v>
      </c>
      <c r="Z94" s="363"/>
      <c r="AA94" s="363"/>
      <c r="AB94" s="363">
        <v>0.90203999999999995</v>
      </c>
      <c r="AC94" s="355"/>
      <c r="AD94" s="334"/>
    </row>
    <row r="95" spans="1:30" s="387" customFormat="1" x14ac:dyDescent="0.2">
      <c r="A95" s="320">
        <f>IFERROR(VLOOKUP(B95,[3]mapping_one_neo!A:B,2,FALSE),"")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-1.9860800000000003</v>
      </c>
      <c r="V95" s="393">
        <f t="shared" ref="V95:AB95" si="5">SUM(V93:V94)</f>
        <v>0</v>
      </c>
      <c r="W95" s="393">
        <f t="shared" si="5"/>
        <v>0</v>
      </c>
      <c r="X95" s="393">
        <f t="shared" si="5"/>
        <v>0</v>
      </c>
      <c r="Y95" s="393">
        <f t="shared" si="5"/>
        <v>-1.9860800000000003</v>
      </c>
      <c r="Z95" s="393">
        <f t="shared" si="5"/>
        <v>0</v>
      </c>
      <c r="AA95" s="393">
        <f t="shared" si="5"/>
        <v>0</v>
      </c>
      <c r="AB95" s="393">
        <f t="shared" si="5"/>
        <v>-1.9860800000000003</v>
      </c>
      <c r="AC95" s="394"/>
      <c r="AD95" s="334"/>
    </row>
    <row r="96" spans="1:30" x14ac:dyDescent="0.2">
      <c r="A96" s="320" t="str">
        <f>IFERROR(VLOOKUP(B96,[3]mapping_one_neo!A:B,2,FALSE),"")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IFERROR(VLOOKUP(B97,[3]mapping_one_neo!A:B,2,FALSE),"")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IFERROR(VLOOKUP(B98,[3]mapping_one_neo!A:B,2,FALSE),"")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v>-207.38996</v>
      </c>
      <c r="V98" s="362"/>
      <c r="W98" s="362"/>
      <c r="X98" s="351"/>
      <c r="Y98" s="363">
        <v>-207.38996</v>
      </c>
      <c r="Z98" s="363"/>
      <c r="AA98" s="363"/>
      <c r="AB98" s="363">
        <v>-207.38996</v>
      </c>
      <c r="AC98" s="355"/>
      <c r="AD98" s="334"/>
    </row>
    <row r="99" spans="1:30" s="352" customFormat="1" x14ac:dyDescent="0.2">
      <c r="A99" s="320" t="str">
        <f>IFERROR(VLOOKUP(B99,[3]mapping_one_neo!A:B,2,FALSE),"")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-46.503</v>
      </c>
      <c r="V99" s="362"/>
      <c r="W99" s="362"/>
      <c r="X99" s="362"/>
      <c r="Y99" s="363">
        <v>-46.503</v>
      </c>
      <c r="Z99" s="363"/>
      <c r="AA99" s="363"/>
      <c r="AB99" s="363">
        <v>-46.503</v>
      </c>
      <c r="AC99" s="355"/>
      <c r="AD99" s="334"/>
    </row>
    <row r="100" spans="1:30" s="387" customFormat="1" x14ac:dyDescent="0.2">
      <c r="A100" s="320">
        <f>IFERROR(VLOOKUP(B100,[3]mapping_one_neo!A:B,2,FALSE),"")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-253.89296000000002</v>
      </c>
      <c r="V100" s="393">
        <f t="shared" ref="V100:AB100" si="6">SUM(V98:V99)</f>
        <v>0</v>
      </c>
      <c r="W100" s="393">
        <f t="shared" si="6"/>
        <v>0</v>
      </c>
      <c r="X100" s="393">
        <f t="shared" si="6"/>
        <v>0</v>
      </c>
      <c r="Y100" s="393">
        <f t="shared" si="6"/>
        <v>-253.89296000000002</v>
      </c>
      <c r="Z100" s="393">
        <f t="shared" si="6"/>
        <v>0</v>
      </c>
      <c r="AA100" s="393">
        <f t="shared" si="6"/>
        <v>0</v>
      </c>
      <c r="AB100" s="393">
        <f t="shared" si="6"/>
        <v>-253.89296000000002</v>
      </c>
      <c r="AC100" s="394"/>
      <c r="AD100" s="334"/>
    </row>
    <row r="101" spans="1:30" x14ac:dyDescent="0.2">
      <c r="A101" s="320" t="str">
        <f>IFERROR(VLOOKUP(B101,[3]mapping_one_neo!A:B,2,FALSE),"")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x14ac:dyDescent="0.2">
      <c r="A102" s="320">
        <f>IFERROR(VLOOKUP(B102,[3]mapping_one_neo!A:B,2,FALSE),"")</f>
        <v>0</v>
      </c>
      <c r="B102" s="334" t="s">
        <v>70</v>
      </c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349"/>
      <c r="T102" s="346"/>
      <c r="U102" s="351"/>
      <c r="V102" s="351"/>
      <c r="W102" s="351"/>
      <c r="X102" s="351"/>
      <c r="Y102" s="358"/>
      <c r="Z102" s="358">
        <v>55.473654459635604</v>
      </c>
      <c r="AA102" s="358"/>
      <c r="AB102" s="363">
        <v>55.473654459635604</v>
      </c>
      <c r="AC102" s="350"/>
    </row>
    <row r="103" spans="1:30" x14ac:dyDescent="0.2">
      <c r="A103" s="320" t="str">
        <f>IFERROR(VLOOKUP(B103,[3]mapping_one_neo!A:B,2,FALSE),"")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IFERROR(VLOOKUP(B104,[3]mapping_one_neo!A:B,2,FALSE),"")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-259.63763</v>
      </c>
      <c r="V104" s="354">
        <f>V95+V100</f>
        <v>0</v>
      </c>
      <c r="W104" s="354">
        <f>W95+W100+W90</f>
        <v>0.85</v>
      </c>
      <c r="X104" s="354">
        <f>X95+X100+X90</f>
        <v>0</v>
      </c>
      <c r="Y104" s="354">
        <f>Y95+Y100+Y90</f>
        <v>-258.73730999999998</v>
      </c>
      <c r="Z104" s="354">
        <f>Z95+Z100+Z102</f>
        <v>55.473654459635604</v>
      </c>
      <c r="AA104" s="354">
        <f>AA95+AA100</f>
        <v>0</v>
      </c>
      <c r="AB104" s="354">
        <f>AB95+AB100+AB90+AB102</f>
        <v>-203.26365554036437</v>
      </c>
      <c r="AC104" s="350"/>
    </row>
    <row r="105" spans="1:30" x14ac:dyDescent="0.2">
      <c r="A105" s="320" t="str">
        <f>IFERROR(VLOOKUP(B105,[3]mapping_one_neo!A:B,2,FALSE),"")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IFERROR(VLOOKUP(B106,[3]mapping_one_neo!A:B,2,FALSE),"")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IFERROR(VLOOKUP(B107,[3]mapping_one_neo!A:B,2,FALSE),"")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IFERROR(VLOOKUP(B108,[3]mapping_one_neo!A:B,2,FALSE),"")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IFERROR(VLOOKUP(B109,[3]mapping_one_neo!A:B,2,FALSE),"")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-0.76568999999999976</v>
      </c>
      <c r="V109" s="351"/>
      <c r="W109" s="351"/>
      <c r="X109" s="351">
        <v>0</v>
      </c>
      <c r="Y109" s="363">
        <v>-0.76568999999999976</v>
      </c>
      <c r="Z109" s="363"/>
      <c r="AA109" s="363"/>
      <c r="AB109" s="363">
        <v>-0.76568999999999976</v>
      </c>
      <c r="AC109" s="355"/>
      <c r="AD109" s="334"/>
    </row>
    <row r="110" spans="1:30" s="352" customFormat="1" x14ac:dyDescent="0.2">
      <c r="A110" s="320" t="str">
        <f>IFERROR(VLOOKUP(B110,[3]mapping_one_neo!A:B,2,FALSE),"")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-1.5030000000000001</v>
      </c>
      <c r="V110" s="351"/>
      <c r="W110" s="351"/>
      <c r="X110" s="351">
        <v>0</v>
      </c>
      <c r="Y110" s="363">
        <v>-1.5030000000000001</v>
      </c>
      <c r="Z110" s="363"/>
      <c r="AA110" s="363">
        <v>0.43647880980100545</v>
      </c>
      <c r="AB110" s="363">
        <v>-1.0665211901989946</v>
      </c>
      <c r="AC110" s="355"/>
      <c r="AD110" s="334"/>
    </row>
    <row r="111" spans="1:30" s="352" customFormat="1" x14ac:dyDescent="0.2">
      <c r="A111" s="320" t="str">
        <f>IFERROR(VLOOKUP(B111,[3]mapping_one_neo!A:B,2,FALSE),"")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v>1.173</v>
      </c>
      <c r="Z111" s="363"/>
      <c r="AA111" s="363">
        <v>0.15548780487804872</v>
      </c>
      <c r="AB111" s="363">
        <v>1.3284878048780489</v>
      </c>
      <c r="AC111" s="355"/>
      <c r="AD111" s="334"/>
    </row>
    <row r="112" spans="1:30" s="387" customFormat="1" x14ac:dyDescent="0.2">
      <c r="A112" s="320">
        <f>IFERROR(VLOOKUP(B112,[3]mapping_one_neo!A:B,2,FALSE),"")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-1.0956899999999998</v>
      </c>
      <c r="V112" s="393">
        <f t="shared" ref="V112:AB112" si="7">SUM(V109:V111)</f>
        <v>0</v>
      </c>
      <c r="W112" s="393">
        <f t="shared" si="7"/>
        <v>0</v>
      </c>
      <c r="X112" s="393">
        <f t="shared" si="7"/>
        <v>0</v>
      </c>
      <c r="Y112" s="393">
        <f t="shared" si="7"/>
        <v>-1.0956899999999998</v>
      </c>
      <c r="Z112" s="393">
        <f t="shared" si="7"/>
        <v>0</v>
      </c>
      <c r="AA112" s="393">
        <f t="shared" si="7"/>
        <v>0.5919666146790542</v>
      </c>
      <c r="AB112" s="393">
        <f t="shared" si="7"/>
        <v>-0.50372338532094552</v>
      </c>
      <c r="AC112" s="394"/>
      <c r="AD112" s="334"/>
    </row>
    <row r="113" spans="1:30" s="387" customFormat="1" x14ac:dyDescent="0.2">
      <c r="A113" s="320" t="str">
        <f>IFERROR(VLOOKUP(B113,[3]mapping_one_neo!A:B,2,FALSE),"")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IFERROR(VLOOKUP(B114,[3]mapping_one_neo!A:B,2,FALSE),"")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IFERROR(VLOOKUP(B115,[3]mapping_one_neo!A:B,2,FALSE),"")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-0.42608000000000001</v>
      </c>
      <c r="V115" s="351"/>
      <c r="W115" s="351"/>
      <c r="X115" s="351"/>
      <c r="Y115" s="363">
        <v>-0.42608000000000001</v>
      </c>
      <c r="Z115" s="363"/>
      <c r="AA115" s="363"/>
      <c r="AB115" s="363">
        <v>-0.42608000000000001</v>
      </c>
      <c r="AC115" s="355"/>
      <c r="AD115" s="334"/>
    </row>
    <row r="116" spans="1:30" s="352" customFormat="1" x14ac:dyDescent="0.2">
      <c r="A116" s="320" t="str">
        <f>IFERROR(VLOOKUP(B116,[3]mapping_one_neo!A:B,2,FALSE),"")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-0.30053000000000002</v>
      </c>
      <c r="V116" s="351"/>
      <c r="W116" s="351"/>
      <c r="X116" s="351"/>
      <c r="Y116" s="363">
        <v>-0.30053000000000002</v>
      </c>
      <c r="Z116" s="363"/>
      <c r="AA116" s="363"/>
      <c r="AB116" s="363">
        <v>-0.30053000000000002</v>
      </c>
      <c r="AC116" s="355"/>
      <c r="AD116" s="334"/>
    </row>
    <row r="117" spans="1:30" s="387" customFormat="1" x14ac:dyDescent="0.2">
      <c r="A117" s="320">
        <f>IFERROR(VLOOKUP(B117,[3]mapping_one_neo!A:B,2,FALSE),"")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-0.72660999999999998</v>
      </c>
      <c r="V117" s="424">
        <f t="shared" ref="V117:AA117" si="8">SUM(V116)</f>
        <v>0</v>
      </c>
      <c r="W117" s="424">
        <f t="shared" si="8"/>
        <v>0</v>
      </c>
      <c r="X117" s="424">
        <f>SUM(X115:X116)</f>
        <v>0</v>
      </c>
      <c r="Y117" s="424">
        <f>SUM(Y115:Y116)</f>
        <v>-0.72660999999999998</v>
      </c>
      <c r="Z117" s="424">
        <f t="shared" si="8"/>
        <v>0</v>
      </c>
      <c r="AA117" s="424">
        <f t="shared" si="8"/>
        <v>0</v>
      </c>
      <c r="AB117" s="424">
        <f>SUM(AB115:AB116)</f>
        <v>-0.72660999999999998</v>
      </c>
      <c r="AC117" s="394"/>
      <c r="AD117" s="334"/>
    </row>
    <row r="118" spans="1:30" s="387" customFormat="1" x14ac:dyDescent="0.2">
      <c r="A118" s="320" t="str">
        <f>IFERROR(VLOOKUP(B118,[3]mapping_one_neo!A:B,2,FALSE),"")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IFERROR(VLOOKUP(B119,[3]mapping_one_neo!A:B,2,FALSE),"")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IFERROR(VLOOKUP(B120,[3]mapping_one_neo!A:B,2,FALSE),"")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IFERROR(VLOOKUP(B121,[3]mapping_one_neo!A:B,2,FALSE),"")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IFERROR(VLOOKUP(B122,[3]mapping_one_neo!A:B,2,FALSE),"")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B122" si="9">SUM(V120:V121)</f>
        <v>0</v>
      </c>
      <c r="W122" s="393">
        <f t="shared" si="9"/>
        <v>0</v>
      </c>
      <c r="X122" s="393">
        <f t="shared" si="9"/>
        <v>0</v>
      </c>
      <c r="Y122" s="393">
        <f t="shared" si="9"/>
        <v>-1.173</v>
      </c>
      <c r="Z122" s="393">
        <f t="shared" si="9"/>
        <v>0</v>
      </c>
      <c r="AA122" s="393">
        <f t="shared" si="9"/>
        <v>0</v>
      </c>
      <c r="AB122" s="393">
        <f t="shared" si="9"/>
        <v>-1.173</v>
      </c>
      <c r="AC122" s="394"/>
      <c r="AD122" s="334"/>
    </row>
    <row r="123" spans="1:30" s="387" customFormat="1" x14ac:dyDescent="0.2">
      <c r="A123" s="320" t="str">
        <f>IFERROR(VLOOKUP(B123,[3]mapping_one_neo!A:B,2,FALSE),"")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IFERROR(VLOOKUP(B124,[3]mapping_one_neo!A:B,2,FALSE),"")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IFERROR(VLOOKUP(B125,[3]mapping_one_neo!A:B,2,FALSE),"")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-2.6202899999999998</v>
      </c>
      <c r="V125" s="351"/>
      <c r="W125" s="351"/>
      <c r="X125" s="351"/>
      <c r="Y125" s="363">
        <v>-2.6202899999999998</v>
      </c>
      <c r="Z125" s="363"/>
      <c r="AA125" s="363"/>
      <c r="AB125" s="363">
        <v>-2.6202899999999998</v>
      </c>
      <c r="AC125" s="355"/>
      <c r="AD125" s="334" t="s">
        <v>134</v>
      </c>
    </row>
    <row r="126" spans="1:30" s="352" customFormat="1" x14ac:dyDescent="0.2">
      <c r="A126" s="320" t="str">
        <f>IFERROR(VLOOKUP(B126,[3]mapping_one_neo!A:B,2,FALSE),"")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-82.503</v>
      </c>
      <c r="V126" s="351">
        <v>-7.4999999999999997E-2</v>
      </c>
      <c r="W126" s="351"/>
      <c r="X126" s="351"/>
      <c r="Y126" s="363">
        <v>-82.578000000000003</v>
      </c>
      <c r="Z126" s="363"/>
      <c r="AA126" s="363"/>
      <c r="AB126" s="363">
        <v>-82.578000000000003</v>
      </c>
      <c r="AC126" s="355"/>
      <c r="AD126" s="334"/>
    </row>
    <row r="127" spans="1:30" s="352" customFormat="1" ht="14.25" customHeight="1" x14ac:dyDescent="0.2">
      <c r="A127" s="320" t="str">
        <f>IFERROR(VLOOKUP(B127,[3]mapping_one_neo!A:B,2,FALSE),"")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-3.9780000000000002</v>
      </c>
      <c r="V127" s="351"/>
      <c r="W127" s="351"/>
      <c r="X127" s="351"/>
      <c r="Y127" s="363">
        <v>-3.9780000000000002</v>
      </c>
      <c r="Z127" s="363"/>
      <c r="AA127" s="363"/>
      <c r="AB127" s="363">
        <v>-3.9780000000000002</v>
      </c>
      <c r="AC127" s="355"/>
      <c r="AD127" s="334"/>
    </row>
    <row r="128" spans="1:30" s="352" customFormat="1" ht="14.25" customHeight="1" x14ac:dyDescent="0.2">
      <c r="A128" s="320" t="str">
        <f>IFERROR(VLOOKUP(B128,[3]mapping_one_neo!A:B,2,FALSE),"")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-0.11899999999999999</v>
      </c>
      <c r="V128" s="351"/>
      <c r="W128" s="351"/>
      <c r="X128" s="351"/>
      <c r="Y128" s="363">
        <v>-0.11899999999999999</v>
      </c>
      <c r="Z128" s="363"/>
      <c r="AA128" s="363"/>
      <c r="AB128" s="363">
        <v>-0.11899999999999999</v>
      </c>
      <c r="AC128" s="355"/>
      <c r="AD128" s="334"/>
    </row>
    <row r="129" spans="1:30" s="352" customFormat="1" x14ac:dyDescent="0.2">
      <c r="A129" s="320" t="str">
        <f>IFERROR(VLOOKUP(B129,[3]mapping_one_neo!A:B,2,FALSE),"")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v>0</v>
      </c>
      <c r="AC129" s="355"/>
      <c r="AD129" s="334"/>
    </row>
    <row r="130" spans="1:30" s="352" customFormat="1" x14ac:dyDescent="0.2">
      <c r="A130" s="320" t="str">
        <f>IFERROR(VLOOKUP(B130,[3]mapping_one_neo!A:B,2,FALSE),"")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-2.9969999999999999</v>
      </c>
      <c r="V130" s="351"/>
      <c r="W130" s="351"/>
      <c r="X130" s="351"/>
      <c r="Y130" s="363">
        <v>-2.9969999999999999</v>
      </c>
      <c r="Z130" s="363"/>
      <c r="AA130" s="363"/>
      <c r="AB130" s="363">
        <v>-2.9969999999999999</v>
      </c>
      <c r="AC130" s="355"/>
      <c r="AD130" s="334"/>
    </row>
    <row r="131" spans="1:30" s="352" customFormat="1" x14ac:dyDescent="0.2">
      <c r="A131" s="320" t="str">
        <f>IFERROR(VLOOKUP(B131,[3]mapping_one_neo!A:B,2,FALSE),"")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-7.62E-3</v>
      </c>
      <c r="V131" s="351"/>
      <c r="W131" s="351"/>
      <c r="X131" s="351"/>
      <c r="Y131" s="363">
        <v>-7.62E-3</v>
      </c>
      <c r="Z131" s="363"/>
      <c r="AA131" s="363"/>
      <c r="AB131" s="363">
        <v>-7.62E-3</v>
      </c>
      <c r="AC131" s="355"/>
      <c r="AD131" s="334"/>
    </row>
    <row r="132" spans="1:30" s="352" customFormat="1" x14ac:dyDescent="0.2">
      <c r="A132" s="320" t="str">
        <f>IFERROR(VLOOKUP(B132,[3]mapping_one_neo!A:B,2,FALSE),"")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-2.55219</v>
      </c>
      <c r="V132" s="351"/>
      <c r="W132" s="351"/>
      <c r="X132" s="351"/>
      <c r="Y132" s="363">
        <v>-2.55219</v>
      </c>
      <c r="Z132" s="363"/>
      <c r="AA132" s="363"/>
      <c r="AB132" s="363">
        <v>-2.55219</v>
      </c>
      <c r="AC132" s="355"/>
      <c r="AD132" s="334"/>
    </row>
    <row r="133" spans="1:30" s="352" customFormat="1" x14ac:dyDescent="0.2">
      <c r="A133" s="320" t="str">
        <f>IFERROR(VLOOKUP(B133,[3]mapping_one_neo!A:B,2,FALSE),"")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IFERROR(VLOOKUP(B134,[3]mapping_one_neo!A:B,2,FALSE),"")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IFERROR(VLOOKUP(B135,[3]mapping_one_neo!A:B,2,FALSE),"")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-94.77709999999999</v>
      </c>
      <c r="V135" s="393">
        <f t="shared" ref="V135:AB135" si="10">SUM(V125:V134)</f>
        <v>-7.4999999999999997E-2</v>
      </c>
      <c r="W135" s="393">
        <f t="shared" si="10"/>
        <v>0</v>
      </c>
      <c r="X135" s="393">
        <f t="shared" si="10"/>
        <v>0</v>
      </c>
      <c r="Y135" s="393">
        <f t="shared" si="10"/>
        <v>-94.852099999999993</v>
      </c>
      <c r="Z135" s="393">
        <f t="shared" si="10"/>
        <v>0</v>
      </c>
      <c r="AA135" s="393">
        <f t="shared" si="10"/>
        <v>0</v>
      </c>
      <c r="AB135" s="393">
        <f t="shared" si="10"/>
        <v>-94.852099999999993</v>
      </c>
      <c r="AC135" s="394"/>
      <c r="AD135" s="334"/>
    </row>
    <row r="136" spans="1:30" s="387" customFormat="1" x14ac:dyDescent="0.2">
      <c r="A136" s="320"/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387" customFormat="1" x14ac:dyDescent="0.2">
      <c r="A137" s="320"/>
      <c r="B137" s="387" t="s">
        <v>811</v>
      </c>
      <c r="C137" s="392"/>
      <c r="E137" s="39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349"/>
      <c r="T137" s="346"/>
      <c r="U137" s="397"/>
      <c r="V137" s="397"/>
      <c r="W137" s="397"/>
      <c r="X137" s="397"/>
      <c r="Y137" s="397"/>
      <c r="Z137" s="397">
        <v>12.292463131109439</v>
      </c>
      <c r="AA137" s="397"/>
      <c r="AB137" s="397">
        <v>12.292463131109439</v>
      </c>
      <c r="AC137" s="394"/>
      <c r="AD137" s="334"/>
    </row>
    <row r="138" spans="1:30" s="387" customFormat="1" x14ac:dyDescent="0.2">
      <c r="A138" s="320" t="str">
        <f>IFERROR(VLOOKUP(B138,[3]mapping_one_neo!A:B,2,FALSE),"")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IFERROR(VLOOKUP(B139,[3]mapping_one_neo!A:B,2,FALSE),"")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-97.77239999999999</v>
      </c>
      <c r="V139" s="354">
        <f t="shared" ref="V139:AA139" si="11">V135+V122+V117+V112</f>
        <v>-7.4999999999999997E-2</v>
      </c>
      <c r="W139" s="354">
        <f t="shared" si="11"/>
        <v>0</v>
      </c>
      <c r="X139" s="354">
        <f t="shared" si="11"/>
        <v>0</v>
      </c>
      <c r="Y139" s="354">
        <f t="shared" si="11"/>
        <v>-97.847399999999993</v>
      </c>
      <c r="Z139" s="354">
        <f>Z135+Z122+Z117+Z112+Z137</f>
        <v>12.292463131109439</v>
      </c>
      <c r="AA139" s="354">
        <f t="shared" si="11"/>
        <v>0.5919666146790542</v>
      </c>
      <c r="AB139" s="385">
        <f>AB135+AB122+AB117+AB112+AB137</f>
        <v>-84.962970254211484</v>
      </c>
      <c r="AC139" s="350"/>
    </row>
    <row r="140" spans="1:30" x14ac:dyDescent="0.2">
      <c r="A140" s="320" t="str">
        <f>IFERROR(VLOOKUP(B140,[3]mapping_one_neo!A:B,2,FALSE),"")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IFERROR(VLOOKUP(B141,[3]mapping_one_neo!A:B,2,FALSE),"")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v>-5.3582199999999993</v>
      </c>
      <c r="V141" s="351"/>
      <c r="W141" s="351"/>
      <c r="X141" s="351"/>
      <c r="Y141" s="468">
        <v>-5.3582199999999993</v>
      </c>
      <c r="Z141" s="363"/>
      <c r="AA141" s="363"/>
      <c r="AB141" s="363">
        <v>-5.3582199999999993</v>
      </c>
      <c r="AC141" s="355"/>
      <c r="AD141" s="334"/>
    </row>
    <row r="142" spans="1:30" s="352" customFormat="1" x14ac:dyDescent="0.2">
      <c r="A142" s="320" t="str">
        <f>IFERROR(VLOOKUP(B142,[3]mapping_one_neo!A:B,2,FALSE),"")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-4.8780000000000001</v>
      </c>
      <c r="V142" s="351"/>
      <c r="W142" s="351"/>
      <c r="X142" s="351"/>
      <c r="Y142" s="468">
        <v>-4.8780000000000001</v>
      </c>
      <c r="Z142" s="363"/>
      <c r="AA142" s="443">
        <v>0.19073416639956781</v>
      </c>
      <c r="AB142" s="363">
        <v>-4.6872658336004323</v>
      </c>
      <c r="AC142" s="355"/>
      <c r="AD142" s="334"/>
    </row>
    <row r="143" spans="1:30" x14ac:dyDescent="0.2">
      <c r="A143" s="320" t="str">
        <f>IFERROR(VLOOKUP(B143,[3]mapping_one_neo!A:B,2,FALSE),"")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ref="AB143:AB147" si="12">SUM(Y143:AA143)</f>
        <v>0</v>
      </c>
      <c r="AC143" s="350"/>
    </row>
    <row r="144" spans="1:30" s="352" customFormat="1" x14ac:dyDescent="0.2">
      <c r="A144" s="320" t="str">
        <f>IFERROR(VLOOKUP(B144,[3]mapping_one_neo!A:B,2,FALSE),"")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12"/>
        <v>0</v>
      </c>
      <c r="AC144" s="355"/>
      <c r="AD144" s="334"/>
    </row>
    <row r="145" spans="1:30" s="352" customFormat="1" x14ac:dyDescent="0.2">
      <c r="A145" s="320" t="str">
        <f>IFERROR(VLOOKUP(B145,[3]mapping_one_neo!A:B,2,FALSE),"")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-0.747</v>
      </c>
      <c r="V145" s="362"/>
      <c r="W145" s="351"/>
      <c r="X145" s="351"/>
      <c r="Y145" s="468">
        <v>-0.747</v>
      </c>
      <c r="Z145" s="363"/>
      <c r="AA145" s="363"/>
      <c r="AB145" s="363">
        <f t="shared" si="12"/>
        <v>-0.747</v>
      </c>
      <c r="AC145" s="355"/>
      <c r="AD145" s="334"/>
    </row>
    <row r="146" spans="1:30" x14ac:dyDescent="0.2">
      <c r="A146" s="320" t="str">
        <f>IFERROR(VLOOKUP(B146,[3]mapping_one_neo!A:B,2,FALSE),"")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12"/>
        <v>0</v>
      </c>
      <c r="AC146" s="350"/>
    </row>
    <row r="147" spans="1:30" x14ac:dyDescent="0.2">
      <c r="A147" s="320">
        <f>IFERROR(VLOOKUP(B147,[3]mapping_one_neo!A:B,2,FALSE),"")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12"/>
        <v>0</v>
      </c>
      <c r="AC147" s="350"/>
    </row>
    <row r="148" spans="1:30" s="352" customFormat="1" x14ac:dyDescent="0.2">
      <c r="A148" s="320" t="str">
        <f>IFERROR(VLOOKUP(B148,[3]mapping_one_neo!A:B,2,FALSE),"")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/>
      <c r="AC148" s="355"/>
      <c r="AD148" s="334"/>
    </row>
    <row r="149" spans="1:30" s="352" customFormat="1" x14ac:dyDescent="0.2">
      <c r="A149" s="320" t="str">
        <f>IFERROR(VLOOKUP(B149,[3]mapping_one_neo!A:B,2,FALSE),"")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-15.75</v>
      </c>
      <c r="V149" s="351"/>
      <c r="W149" s="351"/>
      <c r="X149" s="351"/>
      <c r="Y149" s="468">
        <v>-15.75</v>
      </c>
      <c r="Z149" s="363"/>
      <c r="AA149" s="363"/>
      <c r="AB149" s="363">
        <v>-15.75</v>
      </c>
      <c r="AC149" s="355"/>
      <c r="AD149" s="334"/>
    </row>
    <row r="150" spans="1:30" s="352" customFormat="1" x14ac:dyDescent="0.2">
      <c r="A150" s="320" t="str">
        <f>IFERROR(VLOOKUP(B150,[3]mapping_one_neo!A:B,2,FALSE),"")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-0.52200000000000002</v>
      </c>
      <c r="V150" s="351"/>
      <c r="W150" s="351"/>
      <c r="X150" s="351"/>
      <c r="Y150" s="468">
        <v>-0.52200000000000002</v>
      </c>
      <c r="Z150" s="363"/>
      <c r="AA150" s="363"/>
      <c r="AB150" s="363">
        <v>-0.52200000000000002</v>
      </c>
      <c r="AC150" s="355"/>
      <c r="AD150" s="334"/>
    </row>
    <row r="151" spans="1:30" s="352" customFormat="1" x14ac:dyDescent="0.2">
      <c r="A151" s="320" t="str">
        <f>IFERROR(VLOOKUP(B151,[3]mapping_one_neo!A:B,2,FALSE),"")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-5.0660700000000043</v>
      </c>
      <c r="V151" s="351"/>
      <c r="W151" s="351"/>
      <c r="X151" s="351"/>
      <c r="Y151" s="468">
        <v>-5.0660700000000043</v>
      </c>
      <c r="Z151" s="363"/>
      <c r="AA151" s="363"/>
      <c r="AB151" s="363">
        <v>-5.0660700000000043</v>
      </c>
      <c r="AC151" s="355"/>
      <c r="AD151" s="334"/>
    </row>
    <row r="152" spans="1:30" s="352" customFormat="1" x14ac:dyDescent="0.2">
      <c r="A152" s="320" t="str">
        <f>IFERROR(VLOOKUP(B152,[3]mapping_one_neo!A:B,2,FALSE),"")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-22.5</v>
      </c>
      <c r="V152" s="351"/>
      <c r="W152" s="351"/>
      <c r="X152" s="351"/>
      <c r="Y152" s="468">
        <v>-22.5</v>
      </c>
      <c r="Z152" s="363"/>
      <c r="AA152" s="363"/>
      <c r="AB152" s="363">
        <v>-22.5</v>
      </c>
      <c r="AC152" s="355"/>
      <c r="AD152" s="334"/>
    </row>
    <row r="153" spans="1:30" s="352" customFormat="1" x14ac:dyDescent="0.2">
      <c r="A153" s="320" t="str">
        <f>IFERROR(VLOOKUP(B153,[3]mapping_one_neo!A:B,2,FALSE),"")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-4.7250000000000005</v>
      </c>
      <c r="V153" s="351"/>
      <c r="W153" s="351"/>
      <c r="X153" s="351"/>
      <c r="Y153" s="468">
        <v>-4.7250000000000005</v>
      </c>
      <c r="Z153" s="363"/>
      <c r="AA153" s="363"/>
      <c r="AB153" s="363">
        <v>-4.7250000000000005</v>
      </c>
      <c r="AC153" s="355"/>
      <c r="AD153" s="334" t="s">
        <v>134</v>
      </c>
    </row>
    <row r="154" spans="1:30" s="352" customFormat="1" x14ac:dyDescent="0.2">
      <c r="A154" s="320" t="str">
        <f>IFERROR(VLOOKUP(B154,[3]mapping_one_neo!A:B,2,FALSE),"")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468"/>
      <c r="Z154" s="363"/>
      <c r="AA154" s="363"/>
      <c r="AB154" s="363"/>
      <c r="AC154" s="355"/>
      <c r="AD154" s="334"/>
    </row>
    <row r="155" spans="1:30" s="352" customFormat="1" x14ac:dyDescent="0.2">
      <c r="A155" s="320" t="str">
        <f>IFERROR(VLOOKUP(B155,[3]mapping_one_neo!A:B,2,FALSE),"")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468">
        <v>0</v>
      </c>
      <c r="Z155" s="363"/>
      <c r="AA155" s="363"/>
      <c r="AB155" s="363">
        <v>0</v>
      </c>
      <c r="AC155" s="355"/>
      <c r="AD155" s="334"/>
    </row>
    <row r="156" spans="1:30" s="352" customFormat="1" x14ac:dyDescent="0.2">
      <c r="A156" s="320" t="str">
        <f>IFERROR(VLOOKUP(B156,[3]mapping_one_neo!A:B,2,FALSE),"")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-3.375</v>
      </c>
      <c r="W156" s="351"/>
      <c r="X156" s="351"/>
      <c r="Y156" s="468">
        <v>-3.375</v>
      </c>
      <c r="Z156" s="363"/>
      <c r="AA156" s="363"/>
      <c r="AB156" s="363">
        <v>-3.375</v>
      </c>
      <c r="AC156" s="355"/>
      <c r="AD156" s="334"/>
    </row>
    <row r="157" spans="1:30" s="352" customFormat="1" x14ac:dyDescent="0.2">
      <c r="A157" s="320" t="str">
        <f>IFERROR(VLOOKUP(B157,[3]mapping_one_neo!A:B,2,FALSE),"")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351">
        <v>-17.250000000000032</v>
      </c>
      <c r="Y157" s="468">
        <v>-17.250000000000032</v>
      </c>
      <c r="Z157" s="363"/>
      <c r="AA157" s="363"/>
      <c r="AB157" s="363">
        <v>-17.250000000000032</v>
      </c>
      <c r="AC157" s="355"/>
      <c r="AD157" s="334"/>
    </row>
    <row r="158" spans="1:30" s="387" customFormat="1" x14ac:dyDescent="0.2">
      <c r="A158" s="320">
        <f>IFERROR(VLOOKUP(B158,[3]mapping_one_neo!A:B,2,FALSE),"")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-48.563070000000003</v>
      </c>
      <c r="V158" s="393">
        <f t="shared" ref="V158:AB158" si="13">SUM(V148:V157)</f>
        <v>-3.375</v>
      </c>
      <c r="W158" s="393">
        <f t="shared" si="13"/>
        <v>0</v>
      </c>
      <c r="X158" s="393">
        <f t="shared" si="13"/>
        <v>-17.250000000000032</v>
      </c>
      <c r="Y158" s="393">
        <f t="shared" si="13"/>
        <v>-69.188070000000039</v>
      </c>
      <c r="Z158" s="393">
        <f t="shared" si="13"/>
        <v>0</v>
      </c>
      <c r="AA158" s="393">
        <f t="shared" si="13"/>
        <v>0</v>
      </c>
      <c r="AB158" s="393">
        <f t="shared" si="13"/>
        <v>-69.188070000000039</v>
      </c>
      <c r="AC158" s="394"/>
      <c r="AD158" s="334"/>
    </row>
    <row r="159" spans="1:30" s="387" customFormat="1" x14ac:dyDescent="0.2">
      <c r="A159" s="320" t="str">
        <f>IFERROR(VLOOKUP(B159,[3]mapping_one_neo!A:B,2,FALSE),"")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IFERROR(VLOOKUP(B160,[3]mapping_one_neo!A:B,2,FALSE),"")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-0.9</v>
      </c>
      <c r="V160" s="351"/>
      <c r="W160" s="351"/>
      <c r="X160" s="351"/>
      <c r="Y160" s="468">
        <v>-0.9</v>
      </c>
      <c r="Z160" s="363"/>
      <c r="AA160" s="363">
        <v>0.28610110277140743</v>
      </c>
      <c r="AB160" s="363">
        <v>-0.61389889722859259</v>
      </c>
      <c r="AC160" s="355"/>
      <c r="AD160" s="334"/>
    </row>
    <row r="161" spans="1:30" s="352" customFormat="1" x14ac:dyDescent="0.2">
      <c r="A161" s="320" t="str">
        <f>IFERROR(VLOOKUP(B161,[3]mapping_one_neo!A:B,2,FALSE),"")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>
        <v>-1.758</v>
      </c>
      <c r="V161" s="351"/>
      <c r="W161" s="351"/>
      <c r="X161" s="351"/>
      <c r="Y161" s="468">
        <v>-1.758</v>
      </c>
      <c r="Z161" s="363"/>
      <c r="AA161" s="363"/>
      <c r="AB161" s="363">
        <v>-1.758</v>
      </c>
      <c r="AC161" s="355"/>
      <c r="AD161" s="334" t="s">
        <v>792</v>
      </c>
    </row>
    <row r="162" spans="1:30" s="352" customFormat="1" x14ac:dyDescent="0.2">
      <c r="A162" s="320" t="str">
        <f>IFERROR(VLOOKUP(B162,[3]mapping_one_neo!A:B,2,FALSE),"")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-5.6970000000000001</v>
      </c>
      <c r="V162" s="351"/>
      <c r="W162" s="351"/>
      <c r="X162" s="351"/>
      <c r="Y162" s="468">
        <v>-5.6970000000000001</v>
      </c>
      <c r="Z162" s="363"/>
      <c r="AA162" s="363"/>
      <c r="AB162" s="363">
        <v>-5.6970000000000001</v>
      </c>
      <c r="AC162" s="355"/>
      <c r="AD162" s="334"/>
    </row>
    <row r="163" spans="1:30" s="352" customFormat="1" x14ac:dyDescent="0.2">
      <c r="A163" s="320" t="str">
        <f>IFERROR(VLOOKUP(B163,[3]mapping_one_neo!A:B,2,FALSE),"")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-2.25</v>
      </c>
      <c r="V163" s="351"/>
      <c r="W163" s="351"/>
      <c r="X163" s="351"/>
      <c r="Y163" s="468">
        <v>-2.25</v>
      </c>
      <c r="Z163" s="363"/>
      <c r="AA163" s="363"/>
      <c r="AB163" s="363">
        <v>-2.25</v>
      </c>
      <c r="AC163" s="355"/>
      <c r="AD163" s="334"/>
    </row>
    <row r="164" spans="1:30" s="352" customFormat="1" x14ac:dyDescent="0.2">
      <c r="A164" s="320" t="str">
        <f>IFERROR(VLOOKUP(B164,[3]mapping_one_neo!A:B,2,FALSE),"")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-6.8515499999999996</v>
      </c>
      <c r="V164" s="351"/>
      <c r="W164" s="351"/>
      <c r="X164" s="351"/>
      <c r="Y164" s="468">
        <v>-6.8515499999999996</v>
      </c>
      <c r="Z164" s="363"/>
      <c r="AA164" s="363"/>
      <c r="AB164" s="363">
        <v>-6.8515499999999996</v>
      </c>
      <c r="AC164" s="355"/>
      <c r="AD164" s="334"/>
    </row>
    <row r="165" spans="1:30" s="387" customFormat="1" x14ac:dyDescent="0.2">
      <c r="A165" s="320">
        <f>IFERROR(VLOOKUP(B165,[3]mapping_one_neo!A:B,2,FALSE),"")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-17.45655</v>
      </c>
      <c r="V165" s="393">
        <f>SUM(V160:V164)</f>
        <v>0</v>
      </c>
      <c r="W165" s="393">
        <f t="shared" ref="W165:AB165" si="14">SUM(W160:W164)</f>
        <v>0</v>
      </c>
      <c r="X165" s="393">
        <f t="shared" si="14"/>
        <v>0</v>
      </c>
      <c r="Y165" s="393">
        <f t="shared" si="14"/>
        <v>-17.45655</v>
      </c>
      <c r="Z165" s="393">
        <f t="shared" si="14"/>
        <v>0</v>
      </c>
      <c r="AA165" s="393">
        <f t="shared" si="14"/>
        <v>0.28610110277140743</v>
      </c>
      <c r="AB165" s="393">
        <f t="shared" si="14"/>
        <v>-17.170448897228592</v>
      </c>
      <c r="AC165" s="355"/>
      <c r="AD165" s="334"/>
    </row>
    <row r="166" spans="1:30" s="387" customFormat="1" x14ac:dyDescent="0.2">
      <c r="A166" s="320" t="str">
        <f>IFERROR(VLOOKUP(B166,[3]mapping_one_neo!A:B,2,FALSE),"")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387" customFormat="1" x14ac:dyDescent="0.2">
      <c r="A167" s="320" t="str">
        <f>IFERROR(VLOOKUP(B167,[3]mapping_one_neo!A:B,2,FALSE),"")</f>
        <v/>
      </c>
      <c r="C167" s="392"/>
      <c r="E167" s="39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349"/>
      <c r="T167" s="346"/>
      <c r="U167" s="397"/>
      <c r="V167" s="397"/>
      <c r="W167" s="397">
        <v>-14.02499999999997</v>
      </c>
      <c r="X167" s="397"/>
      <c r="Y167" s="469">
        <v>-14.02499999999997</v>
      </c>
      <c r="Z167" s="397">
        <v>14.80461642031084</v>
      </c>
      <c r="AA167" s="397"/>
      <c r="AB167" s="397">
        <f>SUM(Y167:AA167)</f>
        <v>0.77961642031086953</v>
      </c>
      <c r="AC167" s="394"/>
      <c r="AD167" s="334"/>
    </row>
    <row r="168" spans="1:30" s="400" customFormat="1" x14ac:dyDescent="0.2">
      <c r="A168" s="320" t="str">
        <f>IFERROR(VLOOKUP(B168,[3]mapping_one_neo!A:B,2,FALSE),"")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IFERROR(VLOOKUP(B169,[3]mapping_one_neo!A:B,2,FALSE),"")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IFERROR(VLOOKUP(B170,[3]mapping_one_neo!A:B,2,FALSE),"")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AB170" si="15">U165+U158+U145+U142+U141+U167</f>
        <v>-77.002840000000006</v>
      </c>
      <c r="V170" s="354">
        <f t="shared" si="15"/>
        <v>-3.375</v>
      </c>
      <c r="W170" s="354">
        <f t="shared" si="15"/>
        <v>-14.02499999999997</v>
      </c>
      <c r="X170" s="354">
        <f t="shared" si="15"/>
        <v>-17.250000000000032</v>
      </c>
      <c r="Y170" s="447">
        <f t="shared" si="15"/>
        <v>-111.65284</v>
      </c>
      <c r="Z170" s="357">
        <f t="shared" si="15"/>
        <v>14.80461642031084</v>
      </c>
      <c r="AA170" s="357">
        <f t="shared" si="15"/>
        <v>0.47683526917097524</v>
      </c>
      <c r="AB170" s="446">
        <f t="shared" si="15"/>
        <v>-96.371388310518199</v>
      </c>
      <c r="AC170" s="403"/>
    </row>
    <row r="171" spans="1:30" x14ac:dyDescent="0.2">
      <c r="A171" s="320" t="str">
        <f>IFERROR(VLOOKUP(B171,[3]mapping_one_neo!A:B,2,FALSE),"")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IFERROR(VLOOKUP(B172,[3]mapping_one_neo!A:B,2,FALSE),"")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IFERROR(VLOOKUP(B173,[3]mapping_one_neo!A:B,2,FALSE),"")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IFERROR(VLOOKUP(B174,[3]mapping_one_neo!A:B,2,FALSE),"")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-3.375</v>
      </c>
      <c r="V174" s="362"/>
      <c r="W174" s="362"/>
      <c r="X174" s="362"/>
      <c r="Y174" s="363">
        <v>-3.375</v>
      </c>
      <c r="Z174" s="363"/>
      <c r="AA174" s="363"/>
      <c r="AB174" s="363">
        <v>-3.375</v>
      </c>
      <c r="AC174" s="355"/>
      <c r="AD174" s="334"/>
    </row>
    <row r="175" spans="1:30" s="352" customFormat="1" x14ac:dyDescent="0.2">
      <c r="A175" s="320" t="str">
        <f>IFERROR(VLOOKUP(B175,[3]mapping_one_neo!A:B,2,FALSE),"")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v>-0.26600000000000001</v>
      </c>
      <c r="Z175" s="363"/>
      <c r="AA175" s="363"/>
      <c r="AB175" s="363">
        <v>-0.26600000000000001</v>
      </c>
      <c r="AC175" s="355"/>
      <c r="AD175" s="334"/>
    </row>
    <row r="176" spans="1:30" s="352" customFormat="1" x14ac:dyDescent="0.2">
      <c r="A176" s="320" t="str">
        <f>IFERROR(VLOOKUP(B176,[3]mapping_one_neo!A:B,2,FALSE),"")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v>-2.9999999999999969</v>
      </c>
      <c r="W176" s="351"/>
      <c r="X176" s="351"/>
      <c r="Y176" s="363">
        <v>-4.1478699999999966</v>
      </c>
      <c r="Z176" s="363"/>
      <c r="AA176" s="363"/>
      <c r="AB176" s="363">
        <v>-4.1478699999999966</v>
      </c>
      <c r="AC176" s="355"/>
      <c r="AD176" s="334"/>
    </row>
    <row r="177" spans="1:30" s="352" customFormat="1" x14ac:dyDescent="0.2">
      <c r="A177" s="320" t="str">
        <f>IFERROR(VLOOKUP(B177,[3]mapping_one_neo!A:B,2,FALSE),"")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-5.6044</v>
      </c>
      <c r="V177" s="351"/>
      <c r="W177" s="351"/>
      <c r="X177" s="351"/>
      <c r="Y177" s="363">
        <v>-5.6044</v>
      </c>
      <c r="Z177" s="363"/>
      <c r="AA177" s="363"/>
      <c r="AB177" s="363">
        <v>-5.6044</v>
      </c>
      <c r="AC177" s="355"/>
      <c r="AD177" s="334"/>
    </row>
    <row r="178" spans="1:30" s="352" customFormat="1" x14ac:dyDescent="0.2">
      <c r="A178" s="320" t="str">
        <f>IFERROR(VLOOKUP(B178,[3]mapping_one_neo!A:B,2,FALSE),"")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-2.4684400000000002</v>
      </c>
      <c r="V178" s="351"/>
      <c r="W178" s="351"/>
      <c r="X178" s="351"/>
      <c r="Y178" s="363">
        <v>-2.8540800000000002</v>
      </c>
      <c r="Z178" s="363"/>
      <c r="AA178" s="363"/>
      <c r="AB178" s="363">
        <v>-2.8540800000000002</v>
      </c>
      <c r="AC178" s="355"/>
      <c r="AD178" s="334"/>
    </row>
    <row r="179" spans="1:30" s="352" customFormat="1" x14ac:dyDescent="0.2">
      <c r="A179" s="320" t="str">
        <f>IFERROR(VLOOKUP(B179,[3]mapping_one_neo!A:B,2,FALSE),"")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>
        <v>-0.20399999999999999</v>
      </c>
      <c r="V179" s="351"/>
      <c r="W179" s="351"/>
      <c r="X179" s="351"/>
      <c r="Y179" s="363">
        <v>-0.20399999999999999</v>
      </c>
      <c r="Z179" s="363"/>
      <c r="AA179" s="363"/>
      <c r="AB179" s="363">
        <v>-0.20399999999999999</v>
      </c>
      <c r="AC179" s="355"/>
      <c r="AD179" s="334"/>
    </row>
    <row r="180" spans="1:30" s="352" customFormat="1" x14ac:dyDescent="0.2">
      <c r="A180" s="320" t="str">
        <f>IFERROR(VLOOKUP(B180,[3]mapping_one_neo!A:B,2,FALSE),"")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/>
      <c r="Y180" s="363">
        <v>-0.3</v>
      </c>
      <c r="Z180" s="363"/>
      <c r="AA180" s="363"/>
      <c r="AB180" s="363">
        <v>-0.3</v>
      </c>
      <c r="AC180" s="355"/>
      <c r="AD180" s="334"/>
    </row>
    <row r="181" spans="1:30" s="352" customFormat="1" x14ac:dyDescent="0.2">
      <c r="A181" s="320" t="str">
        <f>IFERROR(VLOOKUP(B181,[3]mapping_one_neo!A:B,2,FALSE),"")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>
        <v>2.0527700000000002</v>
      </c>
      <c r="V181" s="351"/>
      <c r="W181" s="351"/>
      <c r="X181" s="351"/>
      <c r="Y181" s="363">
        <v>2.0527700000000002</v>
      </c>
      <c r="Z181" s="363"/>
      <c r="AA181" s="363"/>
      <c r="AB181" s="363">
        <v>2.0527700000000002</v>
      </c>
      <c r="AC181" s="355"/>
      <c r="AD181" s="334"/>
    </row>
    <row r="182" spans="1:30" s="352" customFormat="1" x14ac:dyDescent="0.2">
      <c r="A182" s="320">
        <f>IFERROR(VLOOKUP(B182,[3]mapping_one_neo!A:B,2,FALSE),"")</f>
        <v>0</v>
      </c>
      <c r="B182" s="352" t="s">
        <v>127</v>
      </c>
      <c r="C182" s="353"/>
      <c r="E182" s="356">
        <v>0</v>
      </c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345"/>
      <c r="T182" s="361"/>
      <c r="U182" s="351"/>
      <c r="V182" s="351"/>
      <c r="W182" s="351"/>
      <c r="X182" s="351"/>
      <c r="Y182" s="363"/>
      <c r="Z182" s="363">
        <v>2.4487511003193081</v>
      </c>
      <c r="AA182" s="363"/>
      <c r="AB182" s="363">
        <v>2.4487511003193081</v>
      </c>
      <c r="AC182" s="355"/>
      <c r="AD182" s="334"/>
    </row>
    <row r="183" spans="1:30" x14ac:dyDescent="0.2">
      <c r="A183" s="320">
        <f>IFERROR(VLOOKUP(B183,[3]mapping_one_neo!A:B,2,FALSE),"")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SUM(U174:U181)</f>
        <v>-10.165070000000002</v>
      </c>
      <c r="V183" s="354">
        <f t="shared" ref="V183:AA183" si="16">SUM(V174:V180)</f>
        <v>-2.9999999999999969</v>
      </c>
      <c r="W183" s="354">
        <f t="shared" si="16"/>
        <v>0</v>
      </c>
      <c r="X183" s="354">
        <f t="shared" si="16"/>
        <v>0</v>
      </c>
      <c r="Y183" s="354">
        <f>SUM(Y174:Y181)</f>
        <v>-14.698579999999998</v>
      </c>
      <c r="Z183" s="354">
        <f>SUM(Z176:Z182)</f>
        <v>2.4487511003193081</v>
      </c>
      <c r="AA183" s="354">
        <f t="shared" si="16"/>
        <v>0</v>
      </c>
      <c r="AB183" s="445">
        <f>SUM(AB174:AB182)</f>
        <v>-12.24982889968069</v>
      </c>
      <c r="AC183" s="350"/>
    </row>
    <row r="184" spans="1:30" x14ac:dyDescent="0.2">
      <c r="A184" s="320" t="str">
        <f>IFERROR(VLOOKUP(B184,[3]mapping_one_neo!A:B,2,FALSE),"")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IFERROR(VLOOKUP(B185,[3]mapping_one_neo!A:B,2,FALSE),"")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-731.06551999999999</v>
      </c>
      <c r="V185" s="354">
        <f t="shared" ref="V185:AB185" si="17">V58+V83+V104+V139+V170+V183</f>
        <v>-129.05455000000001</v>
      </c>
      <c r="W185" s="354">
        <f t="shared" si="17"/>
        <v>-13.174999999999971</v>
      </c>
      <c r="X185" s="354">
        <f t="shared" si="17"/>
        <v>-17.250000000000032</v>
      </c>
      <c r="Y185" s="357">
        <f t="shared" si="17"/>
        <v>-892.02825999999993</v>
      </c>
      <c r="Z185" s="357">
        <f t="shared" si="17"/>
        <v>146.3280544289658</v>
      </c>
      <c r="AA185" s="357">
        <f t="shared" si="17"/>
        <v>14.198883184663041</v>
      </c>
      <c r="AB185" s="447">
        <f t="shared" si="17"/>
        <v>-731.50132238637116</v>
      </c>
      <c r="AC185" s="355"/>
      <c r="AD185" s="334"/>
    </row>
    <row r="186" spans="1:30" x14ac:dyDescent="0.2">
      <c r="A186" s="320" t="str">
        <f>IFERROR(VLOOKUP(B186,[3]mapping_one_neo!A:B,2,FALSE),"")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IFERROR(VLOOKUP(B187,[3]mapping_one_neo!A:B,2,FALSE),"")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-31.335999999999999</v>
      </c>
      <c r="V187" s="351">
        <v>0</v>
      </c>
      <c r="W187" s="351">
        <v>-320.06400000000002</v>
      </c>
      <c r="X187" s="351">
        <v>0</v>
      </c>
      <c r="Y187" s="358">
        <v>-351.40000000000003</v>
      </c>
      <c r="Z187" s="358"/>
      <c r="AA187" s="358"/>
      <c r="AB187" s="363">
        <v>-351.40000000000003</v>
      </c>
      <c r="AC187" s="350"/>
    </row>
    <row r="188" spans="1:30" x14ac:dyDescent="0.2">
      <c r="A188" s="320" t="str">
        <f>IFERROR(VLOOKUP(B188,[3]mapping_one_neo!A:B,2,FALSE),"")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IFERROR(VLOOKUP(B189,[3]mapping_one_neo!A:B,2,FALSE),"")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-243.54905366666947</v>
      </c>
      <c r="V189" s="406">
        <f t="shared" ref="V189:AB189" si="18">V6+V49+V185+V187</f>
        <v>-69.885127250000011</v>
      </c>
      <c r="W189" s="406">
        <f t="shared" si="18"/>
        <v>-333.23899999999998</v>
      </c>
      <c r="X189" s="406">
        <f t="shared" si="18"/>
        <v>-17.250000000000032</v>
      </c>
      <c r="Y189" s="411">
        <f t="shared" si="18"/>
        <v>-666.86737091666942</v>
      </c>
      <c r="Z189" s="411">
        <f t="shared" si="18"/>
        <v>558.34672049556707</v>
      </c>
      <c r="AA189" s="411">
        <f t="shared" si="18"/>
        <v>36.778964485476045</v>
      </c>
      <c r="AB189" s="411">
        <f t="shared" si="18"/>
        <v>-71.741685935626208</v>
      </c>
      <c r="AC189" s="355"/>
      <c r="AD189" s="334"/>
    </row>
    <row r="190" spans="1:30" s="408" customFormat="1" ht="13.5" thickTop="1" x14ac:dyDescent="0.2">
      <c r="A190" s="320" t="str">
        <f>IFERROR(VLOOKUP(B190,[3]mapping_one_neo!A:B,2,FALSE),"")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IFERROR(VLOOKUP(B191,[3]mapping_one_neo!A:B,2,FALSE),"")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IFERROR(VLOOKUP(B192,[3]mapping_one_neo!A:B,2,FALSE),"")</f>
        <v>I/G exchange gains/(losses)</v>
      </c>
      <c r="B192" s="352" t="s">
        <v>126</v>
      </c>
      <c r="S192" s="349"/>
      <c r="T192" s="346"/>
      <c r="U192" s="428">
        <v>1.4506999999999999</v>
      </c>
      <c r="V192" s="412">
        <v>0</v>
      </c>
      <c r="W192" s="412">
        <v>0</v>
      </c>
      <c r="X192" s="412">
        <v>0</v>
      </c>
      <c r="Y192" s="401">
        <v>1.4506999999999999</v>
      </c>
      <c r="Z192" s="401"/>
      <c r="AA192" s="401"/>
      <c r="AB192" s="429">
        <v>1.4506999999999999</v>
      </c>
      <c r="AC192" s="350"/>
    </row>
    <row r="193" spans="1:30" x14ac:dyDescent="0.2">
      <c r="A193" s="320" t="str">
        <f>IFERROR(VLOOKUP(B193,[3]mapping_one_neo!A:B,2,FALSE),"")</f>
        <v>I/G exchange gains/(losses)</v>
      </c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0.42043999999999998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A194" s="320">
        <f>IFERROR(VLOOKUP(B194,[3]mapping_one_neo!A:B,2,FALSE),"")</f>
        <v>0</v>
      </c>
      <c r="B194" s="334" t="s">
        <v>127</v>
      </c>
      <c r="C194" s="337">
        <v>758000</v>
      </c>
      <c r="S194" s="349"/>
      <c r="T194" s="346"/>
      <c r="U194" s="432">
        <v>1.03026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IFERROR(VLOOKUP(B195,[3]mapping_one_neo!A:B,2,FALSE),"")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IFERROR(VLOOKUP(B196,[3]mapping_one_neo!A:B,2,FALSE),"")</f>
        <v>I/G exchange gains/(losses)</v>
      </c>
      <c r="B196" s="352" t="s">
        <v>128</v>
      </c>
      <c r="S196" s="349"/>
      <c r="T196" s="346"/>
      <c r="U196" s="428">
        <v>-0.70079000000000002</v>
      </c>
      <c r="V196" s="412">
        <v>0</v>
      </c>
      <c r="W196" s="412">
        <v>0</v>
      </c>
      <c r="X196" s="412">
        <v>0</v>
      </c>
      <c r="Y196" s="401">
        <v>-0.70079000000000002</v>
      </c>
      <c r="Z196" s="401"/>
      <c r="AA196" s="401"/>
      <c r="AB196" s="429">
        <v>-0.70079000000000002</v>
      </c>
      <c r="AC196" s="350"/>
    </row>
    <row r="197" spans="1:30" x14ac:dyDescent="0.2">
      <c r="A197" s="320" t="str">
        <f>IFERROR(VLOOKUP(B197,[3]mapping_one_neo!A:B,2,FALSE),"")</f>
        <v>I/G exchange gains/(losses)</v>
      </c>
      <c r="B197" s="334" t="s">
        <v>129</v>
      </c>
      <c r="C197" s="337">
        <v>666000</v>
      </c>
      <c r="S197" s="349"/>
      <c r="T197" s="346"/>
      <c r="U197" s="430">
        <v>-0.70145000000000002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IFERROR(VLOOKUP(B198,[3]mapping_one_neo!A:B,2,FALSE),"")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6.6E-4</v>
      </c>
      <c r="V198" s="441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IFERROR(VLOOKUP(B199,[3]mapping_one_neo!A:B,2,FALSE),"")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IFERROR(VLOOKUP(B200,[3]mapping_one_neo!A:B,2,FALSE),"")</f>
        <v>0</v>
      </c>
      <c r="B200" s="352" t="s">
        <v>130</v>
      </c>
      <c r="S200" s="349"/>
      <c r="T200" s="346"/>
      <c r="U200" s="415">
        <v>159.20882333333051</v>
      </c>
      <c r="V200" s="415">
        <v>-55.86068333333332</v>
      </c>
      <c r="W200" s="415">
        <v>-290.96433333333334</v>
      </c>
      <c r="X200" s="415">
        <v>-69.477566666666689</v>
      </c>
      <c r="Y200" s="435">
        <v>-257.09376000000259</v>
      </c>
      <c r="Z200" s="435">
        <v>370.00213862564829</v>
      </c>
      <c r="AA200" s="435">
        <v>2.572758438613421</v>
      </c>
      <c r="AB200" s="435">
        <v>115.48113706425912</v>
      </c>
      <c r="AC200" s="350"/>
    </row>
    <row r="201" spans="1:30" x14ac:dyDescent="0.2">
      <c r="A201" s="320" t="str">
        <f>IFERROR(VLOOKUP(B201,[3]mapping_one_neo!A:B,2,FALSE),"")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IFERROR(VLOOKUP(B202,[3]mapping_one_neo!A:B,2,FALSE),"")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159.20882333333051</v>
      </c>
      <c r="V202" s="354"/>
      <c r="W202" s="354"/>
      <c r="X202" s="415">
        <v>-69.477566666666689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IFERROR(VLOOKUP(B203,[3]mapping_one_neo!A:B,2,FALSE),"")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IFERROR(VLOOKUP(B204,[3]mapping_one_neo!A:B,2,FALSE),"")</f>
        <v/>
      </c>
    </row>
    <row r="205" spans="1:30" s="352" customFormat="1" x14ac:dyDescent="0.2">
      <c r="A205" s="320">
        <f>IFERROR(VLOOKUP(B205,[3]mapping_one_neo!A:B,2,FALSE),"")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AB6+AB49+AB58+AB83+AB104+AB139+AB170+AB183+U187+U192+U196-AB167</f>
        <v>248.29260764406283</v>
      </c>
      <c r="AD205" s="352" t="s">
        <v>136</v>
      </c>
    </row>
    <row r="206" spans="1:30" x14ac:dyDescent="0.2">
      <c r="A206" s="320" t="str">
        <f>IFERROR(VLOOKUP(B206,[3]mapping_one_neo!A:B,2,FALSE),"")</f>
        <v/>
      </c>
    </row>
    <row r="207" spans="1:30" s="352" customFormat="1" x14ac:dyDescent="0.2">
      <c r="A207" s="320">
        <f>IFERROR(VLOOKUP(B207,[3]mapping_one_neo!A:B,2,FALSE),"")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IFERROR(VLOOKUP(B208,[3]mapping_one_neo!A:B,2,FALSE),"")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9" tint="0.39997558519241921"/>
    <pageSetUpPr fitToPage="1"/>
  </sheetPr>
  <dimension ref="A1:N75"/>
  <sheetViews>
    <sheetView showGridLines="0" topLeftCell="A12" workbookViewId="0">
      <selection activeCell="V28" sqref="V28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42979</v>
      </c>
      <c r="E13" s="324" t="e">
        <f ca="1">SeptNTENANT()</f>
        <v>#NAME?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SUMIF(Sept!$A:$A,'p&amp;l Sept'!D16,Sept!$AB:$AB)</f>
        <v>3261.3434263333302</v>
      </c>
      <c r="F16" s="289" t="e">
        <f>SUMIF([3]Fev!$A:$A,'p&amp;l Sept'!D16,[3]Fev!$X:$X)</f>
        <v>#VALUE!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SUMIF(Sept!$A:$A,'p&amp;l Sept'!D19,Sept!$AB:$AB)</f>
        <v>-1709.6277649999995</v>
      </c>
      <c r="F19" s="316" t="e">
        <f>SUMIF([3]Fev!$A:$A,'p&amp;l Sept'!D19,[3]Fev!$X:$X)</f>
        <v>#VALUE!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  <c r="I19">
        <v>-839.29858999999999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9">
        <f>SUMIF(Sept!$A:$A,'p&amp;l Sept'!D20,Sept!$AB:$AB)</f>
        <v>-746.1028722499999</v>
      </c>
      <c r="F20" s="316" t="e">
        <f>SUMIF([3]Fev!$A:$A,'p&amp;l Sept'!D20,[3]Fev!$X:$X)</f>
        <v>#VALUE!</v>
      </c>
      <c r="G20" s="293" t="e">
        <f t="shared" ca="1" si="0"/>
        <v>#NAME?</v>
      </c>
      <c r="H20" s="293" t="e">
        <f t="shared" ca="1" si="0"/>
        <v>#NAME?</v>
      </c>
      <c r="I20">
        <v>-388.58964250000002</v>
      </c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SUMIF(Sept!$A:$A,'p&amp;l Sept'!D21,Sept!$AB:$AB)</f>
        <v>-169.35336999999998</v>
      </c>
      <c r="F21" s="316" t="e">
        <f>SUMIF([3]Fev!$A:$A,'p&amp;l Sept'!D21,[3]Fev!$X:$X)</f>
        <v>#VALUE!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SUMIF(Sept!$A:$A,'p&amp;l Sept'!D22,Sept!$AB:$AB)</f>
        <v>0</v>
      </c>
      <c r="F22" s="316" t="e">
        <f>SUMIF([3]Fev!$A:$A,'p&amp;l Sept'!D22,[3]Fev!$X:$X)</f>
        <v>#VALUE!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SUMIF(Sept!$A:$A,'p&amp;l Sept'!D23,Sept!$AB:$AB)</f>
        <v>0</v>
      </c>
      <c r="F23" s="316" t="e">
        <f>SUMIF([3]Fev!$A:$A,'p&amp;l Sept'!D23,[3]Fev!$X:$X)</f>
        <v>#VALUE!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SUMIF(Sept!$A:$A,'p&amp;l Sept'!D24,Sept!$AB:$AB)</f>
        <v>0.74</v>
      </c>
      <c r="F24" s="316" t="e">
        <f>SUMIF([3]Fev!$A:$A,'p&amp;l Sept'!D24,[3]Fev!$X:$X)</f>
        <v>#VALUE!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SUMIF(Sept!$A:$A,'p&amp;l Sept'!D25,Sept!$AB:$AB)</f>
        <v>-22.425000000000001</v>
      </c>
      <c r="F25" s="316" t="e">
        <f>SUMIF([3]Fev!$A:$A,'p&amp;l Sept'!D25,[3]Fev!$X:$X)</f>
        <v>#VALUE!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SUMIF(Sept!$A:$A,'p&amp;l Sept'!D26,Sept!$AB:$AB)</f>
        <v>-32.736530000000002</v>
      </c>
      <c r="F26" s="316" t="e">
        <f>SUMIF([3]Fev!$A:$A,'p&amp;l Sept'!D26,[3]Fev!$X:$X)</f>
        <v>#VALUE!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SUMIF(Sept!$A:$A,'p&amp;l Sept'!D27,Sept!$AB:$AB)</f>
        <v>-9.18</v>
      </c>
      <c r="F27" s="316" t="e">
        <f>SUMIF([3]Fev!$A:$A,'p&amp;l Sept'!D27,[3]Fev!$X:$X)</f>
        <v>#VALUE!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SUMIF(Sept!$A:$A,'p&amp;l Sept'!D28,Sept!$AB:$AB)</f>
        <v>26.103000000000002</v>
      </c>
      <c r="F28" s="316" t="e">
        <f>SUMIF([3]Fev!$A:$A,'p&amp;l Sept'!D28,[3]Fev!$X:$X)</f>
        <v>#VALUE!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-2662.5825372499994</v>
      </c>
      <c r="F29" s="317" t="e">
        <f>SUMIF([3]Fev!$A:$A,'p&amp;l Sept'!D29,[3]Fev!$X:$X)</f>
        <v>#VALUE!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SUMIF(Sept!$A:$A,'p&amp;l Sept'!D31,Sept!$AB:$AB)</f>
        <v>-211.75600000000003</v>
      </c>
      <c r="F31" s="316" t="e">
        <f>SUMIF([3]Fev!$A:$A,'p&amp;l Sept'!D31,[3]Fev!$X:$X)</f>
        <v>#VALUE!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SUMIF(Sept!$A:$A,'p&amp;l Sept'!D32,Sept!$AB:$AB)</f>
        <v>-1.8875200000000001</v>
      </c>
      <c r="F32" s="316" t="e">
        <f>SUMIF([3]Fev!$A:$A,'p&amp;l Sept'!D32,[3]Fev!$X:$X)</f>
        <v>#VALUE!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</row>
    <row r="33" spans="1:11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-213.64352000000002</v>
      </c>
      <c r="F33" s="317" t="e">
        <f>SUMIF([3]Fev!$A:$A,'p&amp;l Sept'!D33,[3]Fev!$X:$X)</f>
        <v>#VALUE!</v>
      </c>
      <c r="G33" s="294"/>
      <c r="H33" s="294"/>
    </row>
    <row r="34" spans="1:11" x14ac:dyDescent="0.25">
      <c r="A34" t="s">
        <v>329</v>
      </c>
      <c r="B34" t="s">
        <v>172</v>
      </c>
      <c r="C34">
        <v>0</v>
      </c>
      <c r="D34" t="s">
        <v>511</v>
      </c>
      <c r="E34" s="327">
        <f>SUMIF(Sept!$A:$A,'p&amp;l Sept'!D34,Sept!$AB:$AB)</f>
        <v>-27.454659999999997</v>
      </c>
      <c r="F34" s="316" t="e">
        <f>SUMIF([3]Fev!$A:$A,'p&amp;l Sept'!D34,[3]Fev!$X:$X)</f>
        <v>#VALUE!</v>
      </c>
      <c r="G34" s="293" t="e">
        <f t="shared" ref="G34:H37" ca="1" si="1">PutCtData("PKAMOUNT","AMOUNT",G$4:G$7,$A34:$C34,G$10:G$11,$E34)</f>
        <v>#NAME?</v>
      </c>
      <c r="H34" s="293" t="e">
        <f t="shared" ca="1" si="1"/>
        <v>#NAME?</v>
      </c>
    </row>
    <row r="35" spans="1:11" x14ac:dyDescent="0.25">
      <c r="A35" t="s">
        <v>330</v>
      </c>
      <c r="B35" t="s">
        <v>172</v>
      </c>
      <c r="C35">
        <v>0</v>
      </c>
      <c r="D35" t="s">
        <v>510</v>
      </c>
      <c r="E35" s="327">
        <f>SUMIF(Sept!$A:$A,'p&amp;l Sept'!D35,Sept!$AB:$AB)</f>
        <v>-133.61403000000001</v>
      </c>
      <c r="F35" s="316" t="e">
        <f>SUMIF([3]Fev!$A:$A,'p&amp;l Sept'!D35,[3]Fev!$X:$X)</f>
        <v>#VALUE!</v>
      </c>
      <c r="G35" s="293" t="e">
        <f t="shared" ca="1" si="1"/>
        <v>#NAME?</v>
      </c>
      <c r="H35" s="293" t="e">
        <f t="shared" ca="1" si="1"/>
        <v>#NAME?</v>
      </c>
    </row>
    <row r="36" spans="1:11" x14ac:dyDescent="0.25">
      <c r="A36" t="s">
        <v>326</v>
      </c>
      <c r="B36" t="s">
        <v>172</v>
      </c>
      <c r="C36">
        <v>0</v>
      </c>
      <c r="D36" t="s">
        <v>512</v>
      </c>
      <c r="E36" s="327">
        <f>SUMIF(Sept!$A:$A,'p&amp;l Sept'!D36,Sept!$AB:$AB)</f>
        <v>-18.005479999999999</v>
      </c>
      <c r="F36" s="316" t="e">
        <f>SUMIF([3]Fev!$A:$A,'p&amp;l Sept'!D36,[3]Fev!$X:$X)</f>
        <v>#VALUE!</v>
      </c>
      <c r="G36" s="293" t="e">
        <f t="shared" ca="1" si="1"/>
        <v>#NAME?</v>
      </c>
      <c r="H36" s="293" t="e">
        <f t="shared" ca="1" si="1"/>
        <v>#NAME?</v>
      </c>
    </row>
    <row r="37" spans="1:11" x14ac:dyDescent="0.25">
      <c r="A37" t="s">
        <v>324</v>
      </c>
      <c r="B37" t="s">
        <v>172</v>
      </c>
      <c r="C37">
        <v>0</v>
      </c>
      <c r="D37" t="s">
        <v>513</v>
      </c>
      <c r="E37" s="327">
        <f>SUMIF(Sept!$A:$A,'p&amp;l Sept'!D37,Sept!$AB:$AB)</f>
        <v>-16.37444</v>
      </c>
      <c r="F37" s="316" t="e">
        <f>SUMIF([3]Fev!$A:$A,'p&amp;l Sept'!D37,[3]Fev!$X:$X)</f>
        <v>#VALUE!</v>
      </c>
      <c r="G37" s="293" t="e">
        <f t="shared" ca="1" si="1"/>
        <v>#NAME?</v>
      </c>
      <c r="H37" s="293" t="e">
        <f t="shared" ca="1" si="1"/>
        <v>#NAME?</v>
      </c>
    </row>
    <row r="38" spans="1:11" x14ac:dyDescent="0.25">
      <c r="A38" t="s">
        <v>776</v>
      </c>
      <c r="B38" t="s">
        <v>776</v>
      </c>
      <c r="C38" t="s">
        <v>776</v>
      </c>
      <c r="D38" s="147" t="s">
        <v>729</v>
      </c>
      <c r="E38" s="326">
        <f>SUM(E34:E37)</f>
        <v>-195.44861</v>
      </c>
      <c r="F38" s="317" t="e">
        <f>SUMIF([3]Fev!$A:$A,'p&amp;l Sept'!D38,[3]Fev!$X:$X)</f>
        <v>#VALUE!</v>
      </c>
      <c r="G38" s="294"/>
      <c r="H38" s="294"/>
    </row>
    <row r="39" spans="1:11" s="284" customFormat="1" x14ac:dyDescent="0.25">
      <c r="A39" t="s">
        <v>776</v>
      </c>
      <c r="B39" t="s">
        <v>776</v>
      </c>
      <c r="C39" t="s">
        <v>776</v>
      </c>
      <c r="D39" s="127"/>
      <c r="E39" s="328"/>
      <c r="F39" s="318"/>
      <c r="G39" s="295"/>
      <c r="H39" s="295"/>
    </row>
    <row r="40" spans="1:11" x14ac:dyDescent="0.25">
      <c r="A40" t="s">
        <v>337</v>
      </c>
      <c r="B40" t="s">
        <v>172</v>
      </c>
      <c r="C40">
        <v>0</v>
      </c>
      <c r="D40" t="s">
        <v>514</v>
      </c>
      <c r="E40" s="327">
        <f>SUMIF(Sept!$A:$A,'p&amp;l Sept'!D40,Sept!$AB:$AB)</f>
        <v>-2.8582700000000001</v>
      </c>
      <c r="F40" s="316" t="e">
        <f>SUMIF([3]Fev!$A:$A,'p&amp;l Sept'!D40,[3]Fev!$X:$X)</f>
        <v>#VALUE!</v>
      </c>
      <c r="G40" s="293" t="e">
        <f t="shared" ref="G40:H43" ca="1" si="2">PutCtData("PKAMOUNT","AMOUNT",G$4:G$7,$A40:$C40,G$10:G$11,$E40)</f>
        <v>#NAME?</v>
      </c>
      <c r="H40" s="293" t="e">
        <f t="shared" ca="1" si="2"/>
        <v>#NAME?</v>
      </c>
    </row>
    <row r="41" spans="1:11" x14ac:dyDescent="0.25">
      <c r="A41" t="s">
        <v>339</v>
      </c>
      <c r="B41" t="s">
        <v>172</v>
      </c>
      <c r="C41">
        <v>0</v>
      </c>
      <c r="D41" t="s">
        <v>515</v>
      </c>
      <c r="E41" s="327">
        <f>SUMIF(Sept!$A:$A,'p&amp;l Sept'!D41,Sept!$AB:$AB)</f>
        <v>-1.9860800000000003</v>
      </c>
      <c r="F41" s="316" t="e">
        <f>SUMIF([3]Fev!$A:$A,'p&amp;l Sept'!D41,[3]Fev!$X:$X)</f>
        <v>#VALUE!</v>
      </c>
      <c r="G41" s="293" t="e">
        <f t="shared" ca="1" si="2"/>
        <v>#NAME?</v>
      </c>
      <c r="H41" s="293" t="e">
        <f t="shared" ca="1" si="2"/>
        <v>#NAME?</v>
      </c>
    </row>
    <row r="42" spans="1:11" x14ac:dyDescent="0.25">
      <c r="A42" t="s">
        <v>338</v>
      </c>
      <c r="B42" t="s">
        <v>172</v>
      </c>
      <c r="C42">
        <v>0</v>
      </c>
      <c r="D42" t="s">
        <v>516</v>
      </c>
      <c r="E42" s="327">
        <f>SUMIF(Sept!$A:$A,'p&amp;l Sept'!D42,Sept!$AB:$AB)</f>
        <v>-207.38996</v>
      </c>
      <c r="F42" s="316" t="e">
        <f>SUMIF([3]Fev!$A:$A,'p&amp;l Sept'!D42,[3]Fev!$X:$X)</f>
        <v>#VALUE!</v>
      </c>
      <c r="G42" s="293" t="e">
        <f t="shared" ca="1" si="2"/>
        <v>#NAME?</v>
      </c>
      <c r="H42" s="293" t="e">
        <f t="shared" ca="1" si="2"/>
        <v>#NAME?</v>
      </c>
    </row>
    <row r="43" spans="1:11" x14ac:dyDescent="0.25">
      <c r="A43" t="s">
        <v>357</v>
      </c>
      <c r="B43" t="s">
        <v>172</v>
      </c>
      <c r="C43">
        <v>0</v>
      </c>
      <c r="D43" t="s">
        <v>517</v>
      </c>
      <c r="E43" s="327">
        <f>SUMIF(Sept!$A:$A,'p&amp;l Sept'!D43,Sept!$AB:$AB)</f>
        <v>-46.503</v>
      </c>
      <c r="F43" s="316" t="e">
        <f>SUMIF([3]Fev!$A:$A,'p&amp;l Sept'!D43,[3]Fev!$X:$X)</f>
        <v>#VALUE!</v>
      </c>
      <c r="G43" s="293" t="e">
        <f t="shared" ca="1" si="2"/>
        <v>#NAME?</v>
      </c>
      <c r="H43" s="293" t="e">
        <f t="shared" ca="1" si="2"/>
        <v>#NAME?</v>
      </c>
    </row>
    <row r="44" spans="1:11" x14ac:dyDescent="0.25">
      <c r="A44" t="s">
        <v>776</v>
      </c>
      <c r="B44" t="s">
        <v>776</v>
      </c>
      <c r="C44" t="s">
        <v>776</v>
      </c>
      <c r="D44" s="147" t="s">
        <v>725</v>
      </c>
      <c r="E44" s="326">
        <f>SUM(E40:E43)</f>
        <v>-258.73730999999998</v>
      </c>
      <c r="F44" s="317" t="e">
        <f>SUMIF([3]Fev!$A:$A,'p&amp;l Sept'!D44,[3]Fev!$X:$X)</f>
        <v>#VALUE!</v>
      </c>
      <c r="G44" s="294"/>
      <c r="H44" s="294"/>
    </row>
    <row r="45" spans="1:11" x14ac:dyDescent="0.25">
      <c r="A45" t="s">
        <v>776</v>
      </c>
      <c r="B45" t="s">
        <v>776</v>
      </c>
      <c r="C45" t="s">
        <v>776</v>
      </c>
      <c r="D45" s="127"/>
      <c r="E45" s="327"/>
      <c r="F45" s="316"/>
      <c r="G45" s="286"/>
      <c r="H45" s="286"/>
    </row>
    <row r="46" spans="1:11" x14ac:dyDescent="0.25">
      <c r="A46" t="s">
        <v>359</v>
      </c>
      <c r="B46" t="s">
        <v>172</v>
      </c>
      <c r="C46">
        <v>0</v>
      </c>
      <c r="D46" t="s">
        <v>518</v>
      </c>
      <c r="E46" s="327">
        <f>SUMIF(Sept!$A:$A,'p&amp;l Sept'!D46,Sept!$AB:$AB)</f>
        <v>-6.8146222825495384</v>
      </c>
      <c r="F46" s="316" t="e">
        <f>SUMIF([3]Fev!$A:$A,'p&amp;l Sept'!D46,[3]Fev!$X:$X)</f>
        <v>#VALUE!</v>
      </c>
      <c r="G46" s="293" t="e">
        <f t="shared" ref="G46:H54" ca="1" si="3">PutCtData("PKAMOUNT","AMOUNT",G$4:G$7,$A46:$C46,G$10:G$11,$E46)</f>
        <v>#NAME?</v>
      </c>
      <c r="H46" s="293" t="e">
        <f t="shared" ca="1" si="3"/>
        <v>#NAME?</v>
      </c>
      <c r="J46" s="283" t="s">
        <v>797</v>
      </c>
      <c r="K46" s="283"/>
    </row>
    <row r="47" spans="1:11" x14ac:dyDescent="0.25">
      <c r="A47" t="s">
        <v>364</v>
      </c>
      <c r="B47" t="s">
        <v>172</v>
      </c>
      <c r="C47">
        <v>0</v>
      </c>
      <c r="D47" t="s">
        <v>519</v>
      </c>
      <c r="E47" s="327">
        <f>SUMIF(Sept!$A:$A,'p&amp;l Sept'!D47,Sept!$AB:$AB)</f>
        <v>-0.72660999999999998</v>
      </c>
      <c r="F47" s="316" t="e">
        <f>SUMIF([3]Fev!$A:$A,'p&amp;l Sept'!D47,[3]Fev!$X:$X)</f>
        <v>#VALUE!</v>
      </c>
      <c r="G47" s="293" t="e">
        <f t="shared" ca="1" si="3"/>
        <v>#NAME?</v>
      </c>
      <c r="H47" s="293" t="e">
        <f t="shared" ca="1" si="3"/>
        <v>#NAME?</v>
      </c>
    </row>
    <row r="48" spans="1:11" x14ac:dyDescent="0.25">
      <c r="A48" t="s">
        <v>366</v>
      </c>
      <c r="B48" t="s">
        <v>172</v>
      </c>
      <c r="C48">
        <v>0</v>
      </c>
      <c r="D48" t="s">
        <v>520</v>
      </c>
      <c r="E48" s="327">
        <f>SUMIF(Sept!$A:$A,'p&amp;l Sept'!D48,Sept!$AB:$AB)</f>
        <v>-105.12665</v>
      </c>
      <c r="F48" s="316" t="e">
        <f>SUMIF([3]Fev!$A:$A,'p&amp;l Sept'!D48,[3]Fev!$X:$X)</f>
        <v>#VALUE!</v>
      </c>
      <c r="G48" s="293" t="e">
        <f t="shared" ca="1" si="3"/>
        <v>#NAME?</v>
      </c>
      <c r="H48" s="293" t="e">
        <f t="shared" ca="1" si="3"/>
        <v>#NAME?</v>
      </c>
    </row>
    <row r="49" spans="1:8" x14ac:dyDescent="0.25">
      <c r="A49" t="s">
        <v>372</v>
      </c>
      <c r="B49" t="s">
        <v>196</v>
      </c>
      <c r="C49">
        <v>0</v>
      </c>
      <c r="D49" t="s">
        <v>521</v>
      </c>
      <c r="E49" s="327">
        <f>SUMIF(Sept!$A:$A,'p&amp;l Sept'!D49,Sept!$AB:$AB)</f>
        <v>-10.045485833600431</v>
      </c>
      <c r="F49" s="316" t="e">
        <f>SUMIF([3]Fev!$A:$A,'p&amp;l Sept'!D49,[3]Fev!$X:$X)</f>
        <v>#VALUE!</v>
      </c>
      <c r="G49" s="293" t="e">
        <f t="shared" ca="1" si="3"/>
        <v>#NAME?</v>
      </c>
      <c r="H49" s="293" t="e">
        <f t="shared" ca="1" si="3"/>
        <v>#NAME?</v>
      </c>
    </row>
    <row r="50" spans="1:8" x14ac:dyDescent="0.25">
      <c r="A50" t="s">
        <v>373</v>
      </c>
      <c r="B50" t="s">
        <v>196</v>
      </c>
      <c r="C50">
        <v>0</v>
      </c>
      <c r="D50" t="s">
        <v>524</v>
      </c>
      <c r="E50" s="327">
        <f>SUMIF(Sept!$A:$A,'p&amp;l Sept'!D50,Sept!$AB:$AB)</f>
        <v>-0.747</v>
      </c>
      <c r="F50" s="316" t="e">
        <f>SUMIF([3]Fev!$A:$A,'p&amp;l Sept'!D50,[3]Fev!$X:$X)</f>
        <v>#VALUE!</v>
      </c>
      <c r="G50" s="293" t="e">
        <f t="shared" ca="1" si="3"/>
        <v>#NAME?</v>
      </c>
      <c r="H50" s="293" t="e">
        <f t="shared" ca="1" si="3"/>
        <v>#NAME?</v>
      </c>
    </row>
    <row r="51" spans="1:8" x14ac:dyDescent="0.25">
      <c r="A51" t="s">
        <v>374</v>
      </c>
      <c r="B51" t="s">
        <v>196</v>
      </c>
      <c r="C51">
        <v>0</v>
      </c>
      <c r="D51" t="s">
        <v>522</v>
      </c>
      <c r="E51" s="327">
        <f>SUMIF(Sept!$A:$A,'p&amp;l Sept'!D51,Sept!$AB:$AB)</f>
        <v>-46.872</v>
      </c>
      <c r="F51" s="316" t="e">
        <f>SUMIF([3]Fev!$A:$A,'p&amp;l Sept'!D51,[3]Fev!$X:$X)</f>
        <v>#VALUE!</v>
      </c>
      <c r="G51" s="293" t="e">
        <f t="shared" ca="1" si="3"/>
        <v>#NAME?</v>
      </c>
      <c r="H51" s="293" t="e">
        <f t="shared" ca="1" si="3"/>
        <v>#NAME?</v>
      </c>
    </row>
    <row r="52" spans="1:8" x14ac:dyDescent="0.25">
      <c r="A52" t="s">
        <v>371</v>
      </c>
      <c r="B52" t="s">
        <v>196</v>
      </c>
      <c r="C52">
        <v>0</v>
      </c>
      <c r="D52" t="s">
        <v>812</v>
      </c>
      <c r="E52" s="327">
        <f>SUMIF(Sept!$A:$A,'p&amp;l Sept'!D52,Sept!$AB:$AB)</f>
        <v>0</v>
      </c>
      <c r="F52" s="316" t="e">
        <f>SUMIF([3]Fev!$A:$A,'p&amp;l Sept'!D52,[3]Fev!$X:$X)</f>
        <v>#VALUE!</v>
      </c>
      <c r="G52" s="293" t="e">
        <f t="shared" ca="1" si="3"/>
        <v>#NAME?</v>
      </c>
      <c r="H52" s="293" t="e">
        <f t="shared" ca="1" si="3"/>
        <v>#NAME?</v>
      </c>
    </row>
    <row r="53" spans="1:8" x14ac:dyDescent="0.25">
      <c r="A53" t="s">
        <v>367</v>
      </c>
      <c r="B53" t="s">
        <v>196</v>
      </c>
      <c r="C53">
        <v>0</v>
      </c>
      <c r="D53" t="s">
        <v>523</v>
      </c>
      <c r="E53" s="327">
        <f>SUMIF(Sept!$A:$A,'p&amp;l Sept'!D53,Sept!$AB:$AB)</f>
        <v>-1.758</v>
      </c>
      <c r="F53" s="316" t="e">
        <f>SUMIF([3]Fev!$A:$A,'p&amp;l Sept'!D53,[3]Fev!$X:$X)</f>
        <v>#VALUE!</v>
      </c>
      <c r="G53" s="293" t="e">
        <f t="shared" ca="1" si="3"/>
        <v>#NAME?</v>
      </c>
      <c r="H53" s="293" t="e">
        <f t="shared" ca="1" si="3"/>
        <v>#NAME?</v>
      </c>
    </row>
    <row r="54" spans="1:8" x14ac:dyDescent="0.25">
      <c r="A54" t="s">
        <v>378</v>
      </c>
      <c r="B54" t="s">
        <v>296</v>
      </c>
      <c r="D54" t="s">
        <v>645</v>
      </c>
      <c r="E54" s="327">
        <f>SUMIF(Sept!$A:$A,'p&amp;l Sept'!D54,Sept!$AB:$AB)</f>
        <v>-17.250000000000032</v>
      </c>
      <c r="F54" s="316" t="e">
        <f>SUMIF([3]Fev!$A:$A,'p&amp;l Sept'!D54,[3]Fev!$X:$X)</f>
        <v>#VALUE!</v>
      </c>
      <c r="G54" s="293" t="e">
        <f t="shared" ca="1" si="3"/>
        <v>#NAME?</v>
      </c>
      <c r="H54" s="293" t="e">
        <f t="shared" ca="1" si="3"/>
        <v>#NAME?</v>
      </c>
    </row>
    <row r="55" spans="1:8" x14ac:dyDescent="0.25">
      <c r="A55" t="s">
        <v>776</v>
      </c>
      <c r="B55" t="s">
        <v>776</v>
      </c>
      <c r="C55" t="s">
        <v>776</v>
      </c>
      <c r="D55" s="147" t="s">
        <v>726</v>
      </c>
      <c r="E55" s="326">
        <f>SUM(E46:E54)</f>
        <v>-189.34036811615002</v>
      </c>
      <c r="F55" s="317" t="e">
        <f>SUMIF([3]Fev!$A:$A,'p&amp;l Sept'!D55,[3]Fev!$X:$X)</f>
        <v>#VALUE!</v>
      </c>
      <c r="G55" s="294"/>
      <c r="H55" s="294"/>
    </row>
    <row r="56" spans="1:8" x14ac:dyDescent="0.25">
      <c r="A56" t="s">
        <v>776</v>
      </c>
      <c r="B56" t="s">
        <v>776</v>
      </c>
      <c r="C56" t="s">
        <v>776</v>
      </c>
      <c r="D56" s="127"/>
      <c r="E56" s="327"/>
      <c r="F56" s="316"/>
      <c r="G56" s="286"/>
      <c r="H56" s="286"/>
    </row>
    <row r="57" spans="1:8" x14ac:dyDescent="0.25">
      <c r="A57" t="s">
        <v>393</v>
      </c>
      <c r="B57" t="s">
        <v>172</v>
      </c>
      <c r="C57">
        <v>0</v>
      </c>
      <c r="D57" t="s">
        <v>526</v>
      </c>
      <c r="E57" s="327">
        <f>SUMIF(Sept!$A:$A,'p&amp;l Sept'!D57,Sept!$AB:$AB)</f>
        <v>-3.641</v>
      </c>
      <c r="F57" s="316" t="e">
        <f>SUMIF([3]Fev!$A:$A,'p&amp;l Sept'!D57,[3]Fev!$X:$X)</f>
        <v>#VALUE!</v>
      </c>
      <c r="G57" s="293" t="e">
        <f t="shared" ref="G57:H61" ca="1" si="4">PutCtData("PKAMOUNT","AMOUNT",G$4:G$7,$A57:$C57,G$10:G$11,$E57)</f>
        <v>#NAME?</v>
      </c>
      <c r="H57" s="293" t="e">
        <f t="shared" ca="1" si="4"/>
        <v>#NAME?</v>
      </c>
    </row>
    <row r="58" spans="1:8" x14ac:dyDescent="0.25">
      <c r="A58" t="s">
        <v>385</v>
      </c>
      <c r="B58" t="s">
        <v>172</v>
      </c>
      <c r="C58" t="s">
        <v>386</v>
      </c>
      <c r="D58" t="s">
        <v>527</v>
      </c>
      <c r="E58" s="327">
        <f>SUMIF(Sept!$A:$A,'p&amp;l Sept'!D58,Sept!$AB:$AB)</f>
        <v>-4.1478699999999966</v>
      </c>
      <c r="F58" s="316" t="e">
        <f>SUMIF([3]Fev!$A:$A,'p&amp;l Sept'!D58,[3]Fev!$X:$X)</f>
        <v>#VALUE!</v>
      </c>
      <c r="G58" s="293" t="e">
        <f t="shared" ca="1" si="4"/>
        <v>#NAME?</v>
      </c>
      <c r="H58" s="293" t="e">
        <f t="shared" ca="1" si="4"/>
        <v>#NAME?</v>
      </c>
    </row>
    <row r="59" spans="1:8" x14ac:dyDescent="0.25">
      <c r="A59" t="s">
        <v>399</v>
      </c>
      <c r="B59" t="s">
        <v>172</v>
      </c>
      <c r="C59">
        <v>0</v>
      </c>
      <c r="D59" t="s">
        <v>528</v>
      </c>
      <c r="E59" s="327">
        <f>SUMIF(Sept!$A:$A,'p&amp;l Sept'!D59,Sept!$AB:$AB)</f>
        <v>-6.1083999999999996</v>
      </c>
      <c r="F59" s="316" t="e">
        <f>SUMIF([3]Fev!$A:$A,'p&amp;l Sept'!D59,[3]Fev!$X:$X)</f>
        <v>#VALUE!</v>
      </c>
      <c r="G59" s="293" t="e">
        <f t="shared" ca="1" si="4"/>
        <v>#NAME?</v>
      </c>
      <c r="H59" s="293" t="e">
        <f t="shared" ca="1" si="4"/>
        <v>#NAME?</v>
      </c>
    </row>
    <row r="60" spans="1:8" x14ac:dyDescent="0.25">
      <c r="A60" t="s">
        <v>394</v>
      </c>
      <c r="B60" t="s">
        <v>172</v>
      </c>
      <c r="C60">
        <v>0</v>
      </c>
      <c r="D60" t="s">
        <v>529</v>
      </c>
      <c r="E60" s="327">
        <f>SUMIF(Sept!$A:$A,'p&amp;l Sept'!D60,Sept!$AB:$AB)</f>
        <v>-2.8540800000000002</v>
      </c>
      <c r="F60" s="316" t="e">
        <f>SUMIF([3]Fev!$A:$A,'p&amp;l Sept'!D60,[3]Fev!$X:$X)</f>
        <v>#VALUE!</v>
      </c>
      <c r="G60" s="293" t="e">
        <f t="shared" ca="1" si="4"/>
        <v>#NAME?</v>
      </c>
      <c r="H60" s="293" t="e">
        <f t="shared" ca="1" si="4"/>
        <v>#NAME?</v>
      </c>
    </row>
    <row r="61" spans="1:8" x14ac:dyDescent="0.25">
      <c r="A61" t="s">
        <v>774</v>
      </c>
      <c r="B61" t="s">
        <v>172</v>
      </c>
      <c r="D61" t="s">
        <v>772</v>
      </c>
      <c r="E61" s="327">
        <f>SUMIF(Sept!$A:$A,'p&amp;l Sept'!D61,Sept!$AB:$AB)</f>
        <v>0</v>
      </c>
      <c r="F61" s="316" t="e">
        <f>SUMIF([3]Fev!$A:$A,'p&amp;l Sept'!D61,[3]Fev!$X:$X)</f>
        <v>#VALUE!</v>
      </c>
      <c r="G61" s="293" t="e">
        <f t="shared" ca="1" si="4"/>
        <v>#NAME?</v>
      </c>
      <c r="H61" s="293" t="e">
        <f t="shared" ca="1" si="4"/>
        <v>#NAME?</v>
      </c>
    </row>
    <row r="62" spans="1:8" x14ac:dyDescent="0.25">
      <c r="A62" t="s">
        <v>776</v>
      </c>
      <c r="B62" t="s">
        <v>776</v>
      </c>
      <c r="C62" t="s">
        <v>776</v>
      </c>
      <c r="D62" s="147" t="s">
        <v>727</v>
      </c>
      <c r="E62" s="326">
        <f>SUM(E57:E60)</f>
        <v>-16.751349999999995</v>
      </c>
      <c r="F62" s="317" t="e">
        <f>SUMIF([3]Fev!$A:$A,'p&amp;l Sept'!D62,[3]Fev!$X:$X)</f>
        <v>#VALUE!</v>
      </c>
      <c r="G62" s="294"/>
      <c r="H62" s="294"/>
    </row>
    <row r="63" spans="1:8" x14ac:dyDescent="0.25">
      <c r="A63" t="s">
        <v>776</v>
      </c>
      <c r="B63" t="s">
        <v>776</v>
      </c>
      <c r="C63" t="s">
        <v>776</v>
      </c>
      <c r="D63" s="127"/>
      <c r="E63" s="327"/>
      <c r="F63" s="316"/>
      <c r="G63" s="286"/>
      <c r="H63" s="286"/>
    </row>
    <row r="64" spans="1:8" x14ac:dyDescent="0.25">
      <c r="A64" t="s">
        <v>404</v>
      </c>
      <c r="B64" t="s">
        <v>172</v>
      </c>
      <c r="C64" t="s">
        <v>201</v>
      </c>
      <c r="D64" t="s">
        <v>530</v>
      </c>
      <c r="E64" s="327">
        <f ca="1">SUMIF(Sept!$A:$U,'p&amp;l Sept'!D64,Sept!$U:$U)</f>
        <v>-31.335999999999999</v>
      </c>
      <c r="F64" s="316" t="e">
        <f>SUMIF([3]Fev!$A:$A,'p&amp;l Sept'!D64,[3]Fev!$X:$X)</f>
        <v>#VALUE!</v>
      </c>
      <c r="G64" s="293" t="e">
        <f ca="1">PutCtData("PKAMOUNT","AMOUNT",G$4:G$7,$A64:$C64,G$10:G$11,$E64)</f>
        <v>#NAME?</v>
      </c>
      <c r="H64" s="293" t="e">
        <f ca="1">PutCtData("PKAMOUNT","AMOUNT",H$4:H$7,$A64:$C64,H$10:H$11,$E64)</f>
        <v>#NAME?</v>
      </c>
    </row>
    <row r="65" spans="1:8" x14ac:dyDescent="0.25">
      <c r="A65" t="s">
        <v>776</v>
      </c>
      <c r="B65" t="s">
        <v>776</v>
      </c>
      <c r="C65" t="s">
        <v>776</v>
      </c>
      <c r="D65" s="147" t="s">
        <v>728</v>
      </c>
      <c r="E65" s="326">
        <f ca="1">SUM(E63:E64)</f>
        <v>-31.335999999999999</v>
      </c>
      <c r="F65" s="317" t="e">
        <f>SUMIF([3]Fev!$A:$A,'p&amp;l Sept'!D65,[3]Fev!$X:$X)</f>
        <v>#VALUE!</v>
      </c>
      <c r="G65" s="294"/>
      <c r="H65" s="294"/>
    </row>
    <row r="66" spans="1:8" x14ac:dyDescent="0.25">
      <c r="E66" s="327"/>
    </row>
    <row r="67" spans="1:8" x14ac:dyDescent="0.25">
      <c r="A67" t="s">
        <v>420</v>
      </c>
      <c r="B67" t="s">
        <v>172</v>
      </c>
      <c r="C67">
        <v>0</v>
      </c>
      <c r="D67" t="s">
        <v>532</v>
      </c>
      <c r="E67" s="327">
        <f>SUMIF(Sept!$A:$A,'p&amp;l Sept'!D67,Sept!$AB:$AB)</f>
        <v>2.8026800000000001</v>
      </c>
      <c r="F67" s="316" t="e">
        <f>SUMIF([3]Fev!$A:$A,'p&amp;l Sept'!D67,[3]Fev!$X:$X)</f>
        <v>#VALUE!</v>
      </c>
      <c r="G67" s="293" t="e">
        <f ca="1">PutCtData("PKAMOUNT","AMOUNT",G$4:G$7,$A67:$C67,G$10:G$11,$E67)</f>
        <v>#NAME?</v>
      </c>
      <c r="H67" s="293" t="e">
        <f ca="1">PutCtData("PKAMOUNT","AMOUNT",H$4:H$7,$A67:$C67,H$10:H$11,$E67)</f>
        <v>#NAME?</v>
      </c>
    </row>
    <row r="68" spans="1:8" x14ac:dyDescent="0.25">
      <c r="A68" t="s">
        <v>776</v>
      </c>
      <c r="B68" t="s">
        <v>776</v>
      </c>
      <c r="C68" t="s">
        <v>776</v>
      </c>
      <c r="D68" s="147" t="s">
        <v>769</v>
      </c>
      <c r="E68" s="326">
        <f>SUM(E67)</f>
        <v>2.8026800000000001</v>
      </c>
      <c r="F68" s="317" t="e">
        <f>SUMIF([3]Fev!$A:$A,'p&amp;l Sept'!D68,[3]Fev!$X:$X)</f>
        <v>#VALUE!</v>
      </c>
      <c r="G68" s="294"/>
      <c r="H68" s="294"/>
    </row>
    <row r="69" spans="1:8" x14ac:dyDescent="0.25">
      <c r="E69" s="327"/>
    </row>
    <row r="70" spans="1:8" x14ac:dyDescent="0.25">
      <c r="D70" s="147" t="s">
        <v>761</v>
      </c>
      <c r="E70" s="326">
        <f ca="1">SUM(E29+E33+E38+E44+E55+E62+E65+E68)</f>
        <v>-3565.0370153661493</v>
      </c>
      <c r="F70" s="288"/>
    </row>
    <row r="71" spans="1:8" x14ac:dyDescent="0.25">
      <c r="E71" s="327"/>
    </row>
    <row r="72" spans="1:8" x14ac:dyDescent="0.25">
      <c r="E72" s="327"/>
    </row>
    <row r="73" spans="1:8" x14ac:dyDescent="0.25">
      <c r="D73" s="147" t="s">
        <v>764</v>
      </c>
      <c r="E73" s="330">
        <f ca="1">E16+E70</f>
        <v>-303.69358903281909</v>
      </c>
    </row>
    <row r="74" spans="1:8" x14ac:dyDescent="0.25">
      <c r="D74" t="s">
        <v>762</v>
      </c>
      <c r="E74" s="331">
        <f>Sept!AB205</f>
        <v>248.29260764406283</v>
      </c>
    </row>
    <row r="75" spans="1:8" x14ac:dyDescent="0.25">
      <c r="D75" s="315" t="s">
        <v>763</v>
      </c>
      <c r="E75" s="319">
        <f ca="1">E73-E74</f>
        <v>-551.98619667688195</v>
      </c>
    </row>
  </sheetData>
  <dataValidations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D219"/>
  <sheetViews>
    <sheetView showGridLines="0" workbookViewId="0">
      <pane xSplit="1" ySplit="5" topLeftCell="C177" activePane="bottomRight" state="frozen"/>
      <selection pane="topRight" activeCell="B1" sqref="B1"/>
      <selection pane="bottomLeft" activeCell="A6" sqref="A6"/>
      <selection pane="bottomRight" activeCell="Y189" sqref="Y189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1" width="14.28515625" style="335" customWidth="1"/>
    <col min="22" max="23" width="11.42578125" style="335"/>
    <col min="24" max="24" width="12.85546875" style="335" customWidth="1"/>
    <col min="25" max="25" width="13.85546875" style="420" customWidth="1"/>
    <col min="26" max="26" width="13.85546875" style="420" customWidth="1" outlineLevel="1"/>
    <col min="27" max="27" width="13.42578125" style="420" customWidth="1" outlineLevel="1"/>
    <col min="28" max="28" width="13.85546875" style="420" customWidth="1"/>
    <col min="29" max="29" width="1.7109375" style="334" customWidth="1"/>
    <col min="30" max="30" width="38.140625" style="334" customWidth="1" outlineLevel="1"/>
    <col min="31" max="16384" width="11.42578125" style="334"/>
  </cols>
  <sheetData>
    <row r="1" spans="1:30" x14ac:dyDescent="0.2">
      <c r="A1" s="320" t="s">
        <v>760</v>
      </c>
      <c r="B1" s="332" t="s">
        <v>815</v>
      </c>
      <c r="C1" s="333"/>
      <c r="F1" s="335"/>
      <c r="X1" s="335" t="s">
        <v>134</v>
      </c>
    </row>
    <row r="2" spans="1:30" ht="13.5" thickBot="1" x14ac:dyDescent="0.25">
      <c r="J2" s="335" t="s">
        <v>134</v>
      </c>
      <c r="V2" s="335" t="s">
        <v>134</v>
      </c>
    </row>
    <row r="3" spans="1:30" ht="6.75" customHeight="1" x14ac:dyDescent="0.2">
      <c r="T3" s="338"/>
      <c r="U3" s="340"/>
      <c r="V3" s="340"/>
      <c r="W3" s="340"/>
      <c r="X3" s="340"/>
      <c r="Y3" s="421"/>
      <c r="Z3" s="421"/>
      <c r="AA3" s="421"/>
      <c r="AB3" s="421"/>
      <c r="AC3" s="339"/>
    </row>
    <row r="4" spans="1:30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136</v>
      </c>
      <c r="W4" s="348" t="s">
        <v>137</v>
      </c>
      <c r="X4" s="348" t="s">
        <v>138</v>
      </c>
      <c r="Y4" s="423" t="s">
        <v>742</v>
      </c>
      <c r="Z4" s="423" t="s">
        <v>807</v>
      </c>
      <c r="AA4" s="423" t="s">
        <v>808</v>
      </c>
      <c r="AB4" s="423" t="s">
        <v>139</v>
      </c>
      <c r="AC4" s="347"/>
    </row>
    <row r="5" spans="1:30" x14ac:dyDescent="0.2">
      <c r="S5" s="349"/>
      <c r="T5" s="346"/>
      <c r="U5" s="351"/>
      <c r="V5" s="351"/>
      <c r="W5" s="351"/>
      <c r="X5" s="351"/>
      <c r="Y5" s="358"/>
      <c r="Z5" s="358"/>
      <c r="AA5" s="358"/>
      <c r="AB5" s="358"/>
      <c r="AC5" s="350"/>
    </row>
    <row r="6" spans="1:30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3557631.68633333/1000</f>
        <v>3557.63168633333</v>
      </c>
      <c r="V6" s="440"/>
      <c r="W6" s="440"/>
      <c r="X6" s="440"/>
      <c r="Y6" s="440">
        <v>3557.63168633333</v>
      </c>
      <c r="Z6" s="440"/>
      <c r="AA6" s="440"/>
      <c r="AB6" s="440">
        <v>3557.63168633333</v>
      </c>
      <c r="AC6" s="355"/>
      <c r="AD6" s="334"/>
    </row>
    <row r="7" spans="1:30" x14ac:dyDescent="0.2">
      <c r="A7" s="320" t="str">
        <f>IFERROR(VLOOKUP(B7,mapping_one_neo!A:B,2,FALSE),"")</f>
        <v/>
      </c>
      <c r="S7" s="349"/>
      <c r="T7" s="346"/>
      <c r="U7" s="351"/>
      <c r="V7" s="351"/>
      <c r="W7" s="351"/>
      <c r="X7" s="351"/>
      <c r="Y7" s="358"/>
      <c r="Z7" s="358"/>
      <c r="AA7" s="358"/>
      <c r="AB7" s="358"/>
      <c r="AC7" s="350"/>
      <c r="AD7" s="334" t="s">
        <v>134</v>
      </c>
    </row>
    <row r="8" spans="1:30" x14ac:dyDescent="0.2">
      <c r="A8" s="320">
        <f>IFERROR(VLOOKUP(B8,mapping_one_neo!A:B,2,FALSE),"")</f>
        <v>0</v>
      </c>
      <c r="B8" s="332" t="s">
        <v>2</v>
      </c>
      <c r="S8" s="349"/>
      <c r="T8" s="346"/>
      <c r="U8" s="351"/>
      <c r="V8" s="351"/>
      <c r="W8" s="351"/>
      <c r="X8" s="351"/>
      <c r="Y8" s="358"/>
      <c r="Z8" s="358"/>
      <c r="AA8" s="358"/>
      <c r="AB8" s="358"/>
      <c r="AC8" s="350"/>
    </row>
    <row r="9" spans="1:30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65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362">
        <v>-1944.7441199999996</v>
      </c>
      <c r="V9" s="362">
        <v>5.0945600000000004</v>
      </c>
      <c r="W9" s="362"/>
      <c r="X9" s="351">
        <v>-1.04</v>
      </c>
      <c r="Y9" s="363">
        <v>-1940.6895599999996</v>
      </c>
      <c r="Z9" s="363">
        <v>15</v>
      </c>
      <c r="AA9" s="363"/>
      <c r="AB9" s="363">
        <f>SUM(Y9:AA9)</f>
        <v>-1925.6895599999996</v>
      </c>
      <c r="AC9" s="355"/>
      <c r="AD9" s="485"/>
    </row>
    <row r="10" spans="1:30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65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362">
        <v>-830.60057999999992</v>
      </c>
      <c r="V10" s="362">
        <v>2.4124400000000001</v>
      </c>
      <c r="W10" s="362"/>
      <c r="X10" s="351"/>
      <c r="Y10" s="363">
        <v>-828.18813999999998</v>
      </c>
      <c r="Z10" s="363">
        <v>7.2</v>
      </c>
      <c r="AA10" s="363"/>
      <c r="AB10" s="363">
        <f t="shared" ref="AB10:AB47" si="0">SUM(Y10:AA10)</f>
        <v>-820.98813999999993</v>
      </c>
      <c r="AC10" s="355"/>
      <c r="AD10" s="485"/>
    </row>
    <row r="11" spans="1:30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362"/>
      <c r="V11" s="362">
        <v>28.524194999999999</v>
      </c>
      <c r="W11" s="362"/>
      <c r="X11" s="351"/>
      <c r="Y11" s="363">
        <v>28.524194999999999</v>
      </c>
      <c r="Z11" s="363"/>
      <c r="AA11" s="363"/>
      <c r="AB11" s="363">
        <f t="shared" si="0"/>
        <v>28.524194999999999</v>
      </c>
      <c r="AC11" s="355"/>
      <c r="AD11" s="470" t="s">
        <v>783</v>
      </c>
    </row>
    <row r="12" spans="1:30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362"/>
      <c r="V12" s="362">
        <v>12.835887749999999</v>
      </c>
      <c r="W12" s="362"/>
      <c r="X12" s="351"/>
      <c r="Y12" s="363">
        <v>12.835887749999999</v>
      </c>
      <c r="Z12" s="363"/>
      <c r="AA12" s="363"/>
      <c r="AB12" s="363">
        <f t="shared" si="0"/>
        <v>12.835887749999999</v>
      </c>
      <c r="AC12" s="355"/>
      <c r="AD12" s="470" t="s">
        <v>783</v>
      </c>
    </row>
    <row r="13" spans="1:30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362"/>
      <c r="V13" s="362"/>
      <c r="W13" s="362"/>
      <c r="X13" s="351"/>
      <c r="Y13" s="363">
        <v>0</v>
      </c>
      <c r="Z13" s="363"/>
      <c r="AA13" s="363"/>
      <c r="AB13" s="363">
        <f t="shared" si="0"/>
        <v>0</v>
      </c>
      <c r="AC13" s="355"/>
      <c r="AD13" s="334"/>
    </row>
    <row r="14" spans="1:30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362"/>
      <c r="V14" s="362"/>
      <c r="W14" s="362"/>
      <c r="X14" s="362"/>
      <c r="Y14" s="363">
        <v>0</v>
      </c>
      <c r="Z14" s="363"/>
      <c r="AA14" s="363"/>
      <c r="AB14" s="363">
        <f t="shared" si="0"/>
        <v>0</v>
      </c>
      <c r="AC14" s="355"/>
      <c r="AD14" s="334"/>
    </row>
    <row r="15" spans="1:30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362"/>
      <c r="V15" s="362">
        <v>6.2080000000000002</v>
      </c>
      <c r="W15" s="362"/>
      <c r="X15" s="362"/>
      <c r="Y15" s="363">
        <v>6.2080000000000002</v>
      </c>
      <c r="Z15" s="363"/>
      <c r="AA15" s="363"/>
      <c r="AB15" s="363">
        <f t="shared" si="0"/>
        <v>6.2080000000000002</v>
      </c>
      <c r="AC15" s="355"/>
      <c r="AD15" s="334"/>
    </row>
    <row r="16" spans="1:30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362"/>
      <c r="V16" s="362">
        <v>2.9798399999999998</v>
      </c>
      <c r="W16" s="362"/>
      <c r="X16" s="362"/>
      <c r="Y16" s="363">
        <v>2.9798399999999998</v>
      </c>
      <c r="Z16" s="363"/>
      <c r="AA16" s="363"/>
      <c r="AB16" s="363">
        <f t="shared" si="0"/>
        <v>2.9798399999999998</v>
      </c>
      <c r="AC16" s="355"/>
      <c r="AD16" s="334"/>
    </row>
    <row r="17" spans="1:30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362"/>
      <c r="V17" s="362">
        <v>1.762</v>
      </c>
      <c r="W17" s="362"/>
      <c r="X17" s="362"/>
      <c r="Y17" s="363">
        <v>1.762</v>
      </c>
      <c r="Z17" s="363"/>
      <c r="AA17" s="363"/>
      <c r="AB17" s="363">
        <f t="shared" si="0"/>
        <v>1.762</v>
      </c>
      <c r="AC17" s="355"/>
      <c r="AD17" s="334"/>
    </row>
    <row r="18" spans="1:30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362">
        <v>0.79290000000000005</v>
      </c>
      <c r="V18" s="362"/>
      <c r="W18" s="362"/>
      <c r="X18" s="362"/>
      <c r="Y18" s="363">
        <v>0.79290000000000005</v>
      </c>
      <c r="Z18" s="363"/>
      <c r="AA18" s="363"/>
      <c r="AB18" s="363">
        <f t="shared" si="0"/>
        <v>0.79290000000000005</v>
      </c>
      <c r="AC18" s="355"/>
      <c r="AD18" s="334"/>
    </row>
    <row r="19" spans="1:30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65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362">
        <v>12.446999999999999</v>
      </c>
      <c r="V19" s="362"/>
      <c r="W19" s="362"/>
      <c r="X19" s="362"/>
      <c r="Y19" s="363">
        <v>12.446999999999999</v>
      </c>
      <c r="Z19" s="363"/>
      <c r="AA19" s="363"/>
      <c r="AB19" s="363">
        <f t="shared" si="0"/>
        <v>12.446999999999999</v>
      </c>
      <c r="AC19" s="355"/>
      <c r="AD19" s="334"/>
    </row>
    <row r="20" spans="1:30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4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362">
        <v>8.2999999999999963E-2</v>
      </c>
      <c r="V20" s="362"/>
      <c r="W20" s="362"/>
      <c r="X20" s="362"/>
      <c r="Y20" s="363">
        <v>8.2999999999999963E-2</v>
      </c>
      <c r="Z20" s="363"/>
      <c r="AA20" s="363"/>
      <c r="AB20" s="363">
        <f t="shared" si="0"/>
        <v>8.2999999999999963E-2</v>
      </c>
      <c r="AC20" s="355"/>
      <c r="AD20" s="334" t="s">
        <v>134</v>
      </c>
    </row>
    <row r="21" spans="1:30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362"/>
      <c r="V21" s="362"/>
      <c r="W21" s="362"/>
      <c r="X21" s="362"/>
      <c r="Y21" s="363">
        <v>0</v>
      </c>
      <c r="Z21" s="363"/>
      <c r="AA21" s="363"/>
      <c r="AB21" s="363">
        <f t="shared" si="0"/>
        <v>0</v>
      </c>
      <c r="AC21" s="355"/>
      <c r="AD21" s="334"/>
    </row>
    <row r="22" spans="1:30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362">
        <v>-8.75</v>
      </c>
      <c r="V22" s="362"/>
      <c r="W22" s="362"/>
      <c r="X22" s="362"/>
      <c r="Y22" s="363">
        <v>-8.75</v>
      </c>
      <c r="Z22" s="363"/>
      <c r="AA22" s="363"/>
      <c r="AB22" s="363">
        <f t="shared" si="0"/>
        <v>-8.75</v>
      </c>
      <c r="AC22" s="355"/>
      <c r="AD22" s="334"/>
    </row>
    <row r="23" spans="1:30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362"/>
      <c r="V23" s="362"/>
      <c r="W23" s="362"/>
      <c r="X23" s="362"/>
      <c r="Y23" s="363">
        <v>0</v>
      </c>
      <c r="Z23" s="363"/>
      <c r="AA23" s="363"/>
      <c r="AB23" s="363">
        <f t="shared" si="0"/>
        <v>0</v>
      </c>
      <c r="AC23" s="355"/>
      <c r="AD23" s="334"/>
    </row>
    <row r="24" spans="1:30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65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362">
        <v>-53.987999999999992</v>
      </c>
      <c r="V24" s="362"/>
      <c r="W24" s="362"/>
      <c r="X24" s="362">
        <v>-5.4539999999999997</v>
      </c>
      <c r="Y24" s="363">
        <v>-59.441999999999993</v>
      </c>
      <c r="Z24" s="363"/>
      <c r="AA24" s="363"/>
      <c r="AB24" s="363">
        <f t="shared" si="0"/>
        <v>-59.441999999999993</v>
      </c>
      <c r="AC24" s="355"/>
      <c r="AD24" s="369"/>
    </row>
    <row r="25" spans="1:30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362">
        <v>-11.668200000000001</v>
      </c>
      <c r="V25" s="362"/>
      <c r="W25" s="362"/>
      <c r="X25" s="362">
        <v>0</v>
      </c>
      <c r="Y25" s="363">
        <v>-11.668200000000001</v>
      </c>
      <c r="Z25" s="363"/>
      <c r="AA25" s="363"/>
      <c r="AB25" s="363">
        <f t="shared" si="0"/>
        <v>-11.668200000000001</v>
      </c>
      <c r="AC25" s="355"/>
      <c r="AD25" s="334"/>
    </row>
    <row r="26" spans="1:30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65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362">
        <v>-29.064</v>
      </c>
      <c r="V26" s="362"/>
      <c r="W26" s="362"/>
      <c r="X26" s="362">
        <v>-2.9870000000000001</v>
      </c>
      <c r="Y26" s="363">
        <v>-32.051000000000002</v>
      </c>
      <c r="Z26" s="363"/>
      <c r="AA26" s="363"/>
      <c r="AB26" s="363">
        <f t="shared" si="0"/>
        <v>-32.051000000000002</v>
      </c>
      <c r="AC26" s="355"/>
      <c r="AD26" s="334"/>
    </row>
    <row r="27" spans="1:30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362">
        <v>-5.8801999999999994</v>
      </c>
      <c r="V27" s="362"/>
      <c r="W27" s="362"/>
      <c r="X27" s="362"/>
      <c r="Y27" s="363">
        <v>-5.8801999999999994</v>
      </c>
      <c r="Z27" s="363"/>
      <c r="AA27" s="363"/>
      <c r="AB27" s="363">
        <f t="shared" si="0"/>
        <v>-5.8801999999999994</v>
      </c>
      <c r="AC27" s="355"/>
      <c r="AD27" s="334"/>
    </row>
    <row r="28" spans="1:30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65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362">
        <v>0</v>
      </c>
      <c r="V28" s="362"/>
      <c r="W28" s="362"/>
      <c r="X28" s="362"/>
      <c r="Y28" s="363">
        <f t="shared" ref="Y28" si="1">SUM(U28:X28)</f>
        <v>0</v>
      </c>
      <c r="Z28" s="363"/>
      <c r="AA28" s="363"/>
      <c r="AB28" s="363">
        <f t="shared" si="0"/>
        <v>0</v>
      </c>
      <c r="AC28" s="355"/>
      <c r="AD28" s="334"/>
    </row>
    <row r="29" spans="1:30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65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362">
        <v>0.74</v>
      </c>
      <c r="V29" s="362"/>
      <c r="W29" s="362"/>
      <c r="X29" s="362"/>
      <c r="Y29" s="363">
        <v>0.74</v>
      </c>
      <c r="Z29" s="363"/>
      <c r="AA29" s="363"/>
      <c r="AB29" s="363">
        <f t="shared" si="0"/>
        <v>0.74</v>
      </c>
      <c r="AC29" s="355"/>
      <c r="AD29" s="334"/>
    </row>
    <row r="30" spans="1:30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362">
        <v>-26.14087</v>
      </c>
      <c r="V30" s="362"/>
      <c r="W30" s="362"/>
      <c r="X30" s="363">
        <v>-7.2854999999999999</v>
      </c>
      <c r="Y30" s="363">
        <v>-33.426369999999999</v>
      </c>
      <c r="Z30" s="363"/>
      <c r="AA30" s="363"/>
      <c r="AB30" s="363">
        <f t="shared" si="0"/>
        <v>-33.426369999999999</v>
      </c>
      <c r="AC30" s="355"/>
      <c r="AD30" s="334"/>
    </row>
    <row r="31" spans="1:30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65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362">
        <v>-80.819000000000003</v>
      </c>
      <c r="V31" s="362"/>
      <c r="W31" s="362"/>
      <c r="X31" s="362"/>
      <c r="Y31" s="363">
        <v>-80.819000000000003</v>
      </c>
      <c r="Z31" s="363"/>
      <c r="AA31" s="363"/>
      <c r="AB31" s="363">
        <f t="shared" si="0"/>
        <v>-80.819000000000003</v>
      </c>
      <c r="AC31" s="355"/>
      <c r="AD31" s="334"/>
    </row>
    <row r="32" spans="1:30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362"/>
      <c r="V32" s="362"/>
      <c r="W32" s="362"/>
      <c r="X32" s="362"/>
      <c r="Y32" s="363"/>
      <c r="Z32" s="363"/>
      <c r="AA32" s="363"/>
      <c r="AB32" s="363">
        <f t="shared" si="0"/>
        <v>0</v>
      </c>
      <c r="AC32" s="355"/>
      <c r="AD32" s="334"/>
    </row>
    <row r="33" spans="1:30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362"/>
      <c r="V33" s="362"/>
      <c r="W33" s="362"/>
      <c r="X33" s="362"/>
      <c r="Y33" s="363"/>
      <c r="Z33" s="363"/>
      <c r="AA33" s="363"/>
      <c r="AB33" s="363">
        <f t="shared" si="0"/>
        <v>0</v>
      </c>
      <c r="AC33" s="355"/>
      <c r="AD33" s="334"/>
    </row>
    <row r="34" spans="1:30" s="352" customFormat="1" x14ac:dyDescent="0.2">
      <c r="A34" s="320" t="str">
        <f>IFERROR(VLOOKUP(B34,mapping_one_neo!A:B,2,FALSE),"")</f>
        <v>Other staff costs</v>
      </c>
      <c r="B34" s="35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362">
        <v>-22.425000000000001</v>
      </c>
      <c r="V34" s="362"/>
      <c r="W34" s="362"/>
      <c r="X34" s="362">
        <v>-4.4850000000000003</v>
      </c>
      <c r="Y34" s="363">
        <v>-26.91</v>
      </c>
      <c r="Z34" s="363"/>
      <c r="AA34" s="363"/>
      <c r="AB34" s="363">
        <f t="shared" si="0"/>
        <v>-26.91</v>
      </c>
      <c r="AC34" s="355"/>
      <c r="AD34" s="334"/>
    </row>
    <row r="35" spans="1:30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362"/>
      <c r="V35" s="362"/>
      <c r="W35" s="362"/>
      <c r="X35" s="362"/>
      <c r="Y35" s="363"/>
      <c r="Z35" s="363"/>
      <c r="AA35" s="363"/>
      <c r="AB35" s="363">
        <f t="shared" si="0"/>
        <v>0</v>
      </c>
      <c r="AC35" s="355"/>
      <c r="AD35" s="334"/>
    </row>
    <row r="36" spans="1:30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362"/>
      <c r="V36" s="362"/>
      <c r="W36" s="362"/>
      <c r="X36" s="362"/>
      <c r="Y36" s="363"/>
      <c r="Z36" s="363"/>
      <c r="AA36" s="363"/>
      <c r="AB36" s="363">
        <f t="shared" si="0"/>
        <v>0</v>
      </c>
      <c r="AC36" s="355"/>
      <c r="AD36" s="334"/>
    </row>
    <row r="37" spans="1:30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65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351">
        <v>-36.80442</v>
      </c>
      <c r="V37" s="351"/>
      <c r="W37" s="351"/>
      <c r="X37" s="351">
        <v>0</v>
      </c>
      <c r="Y37" s="363">
        <v>-36.80442</v>
      </c>
      <c r="Z37" s="363"/>
      <c r="AA37" s="363"/>
      <c r="AB37" s="363">
        <f>SUM(Y37:AA37)</f>
        <v>-36.80442</v>
      </c>
      <c r="AC37" s="355"/>
      <c r="AD37" s="334"/>
    </row>
    <row r="38" spans="1:30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351">
        <v>-27.69868</v>
      </c>
      <c r="V38" s="351"/>
      <c r="W38" s="351"/>
      <c r="X38" s="351">
        <v>0</v>
      </c>
      <c r="Y38" s="363"/>
      <c r="Z38" s="363"/>
      <c r="AA38" s="363"/>
      <c r="AB38" s="363">
        <f t="shared" si="0"/>
        <v>0</v>
      </c>
      <c r="AC38" s="350"/>
    </row>
    <row r="39" spans="1:30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351">
        <v>-4.1219000000000001</v>
      </c>
      <c r="V39" s="351"/>
      <c r="W39" s="351"/>
      <c r="X39" s="351">
        <v>0</v>
      </c>
      <c r="Y39" s="363"/>
      <c r="Z39" s="363"/>
      <c r="AA39" s="363"/>
      <c r="AB39" s="363">
        <f t="shared" si="0"/>
        <v>0</v>
      </c>
      <c r="AC39" s="350"/>
    </row>
    <row r="40" spans="1:30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351">
        <v>-3.0732200000000001</v>
      </c>
      <c r="V40" s="362"/>
      <c r="W40" s="351"/>
      <c r="X40" s="351">
        <v>0</v>
      </c>
      <c r="Y40" s="363"/>
      <c r="Z40" s="363"/>
      <c r="AA40" s="363"/>
      <c r="AB40" s="363">
        <f t="shared" si="0"/>
        <v>0</v>
      </c>
      <c r="AC40" s="350"/>
      <c r="AD40" s="334" t="s">
        <v>134</v>
      </c>
    </row>
    <row r="41" spans="1:30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351">
        <v>-1.91062</v>
      </c>
      <c r="V41" s="362"/>
      <c r="W41" s="362"/>
      <c r="X41" s="351"/>
      <c r="Y41" s="363"/>
      <c r="Z41" s="363"/>
      <c r="AA41" s="363"/>
      <c r="AB41" s="363">
        <f t="shared" si="0"/>
        <v>0</v>
      </c>
      <c r="AC41" s="350"/>
    </row>
    <row r="42" spans="1:30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65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362">
        <v>-10.199999999999999</v>
      </c>
      <c r="V42" s="362"/>
      <c r="W42" s="362"/>
      <c r="X42" s="351">
        <v>0</v>
      </c>
      <c r="Y42" s="363">
        <v>-10.199999999999999</v>
      </c>
      <c r="Z42" s="363"/>
      <c r="AA42" s="363"/>
      <c r="AB42" s="363">
        <f t="shared" si="0"/>
        <v>-10.199999999999999</v>
      </c>
      <c r="AC42" s="355"/>
      <c r="AD42" s="334"/>
    </row>
    <row r="43" spans="1:30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AB43" s="363">
        <f t="shared" si="0"/>
        <v>0</v>
      </c>
      <c r="AC43" s="355"/>
      <c r="AD43" s="334"/>
    </row>
    <row r="44" spans="1:30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65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362">
        <v>25.931000000000001</v>
      </c>
      <c r="V44" s="351"/>
      <c r="W44" s="351"/>
      <c r="X44" s="351"/>
      <c r="Y44" s="363">
        <v>25.931000000000001</v>
      </c>
      <c r="Z44" s="363"/>
      <c r="AA44" s="363"/>
      <c r="AB44" s="363">
        <f t="shared" si="0"/>
        <v>25.931000000000001</v>
      </c>
      <c r="AC44" s="350"/>
    </row>
    <row r="45" spans="1:30" x14ac:dyDescent="0.2">
      <c r="A45" s="320" t="str">
        <f>IFERROR(VLOOKUP(B45,mapping_one_neo!A:B,2,FALSE),"")</f>
        <v>Holiday Pay</v>
      </c>
      <c r="B45" s="370" t="s">
        <v>34</v>
      </c>
      <c r="C45" s="373">
        <v>641200</v>
      </c>
      <c r="E45" s="365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362">
        <v>0.17200000000000015</v>
      </c>
      <c r="V45" s="351"/>
      <c r="W45" s="351"/>
      <c r="X45" s="351"/>
      <c r="Y45" s="363">
        <v>0.17200000000000015</v>
      </c>
      <c r="Z45" s="363"/>
      <c r="AA45" s="363"/>
      <c r="AB45" s="363">
        <f t="shared" si="0"/>
        <v>0.17200000000000015</v>
      </c>
      <c r="AC45" s="350"/>
      <c r="AD45" s="334" t="s">
        <v>134</v>
      </c>
    </row>
    <row r="46" spans="1:30" s="342" customFormat="1" x14ac:dyDescent="0.2">
      <c r="A46" s="320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378"/>
      <c r="V46" s="378"/>
      <c r="W46" s="378"/>
      <c r="X46" s="378"/>
      <c r="Y46" s="378"/>
      <c r="Z46" s="378"/>
      <c r="AA46" s="378"/>
      <c r="AB46" s="363">
        <f t="shared" si="0"/>
        <v>0</v>
      </c>
      <c r="AC46" s="377"/>
      <c r="AD46" s="334"/>
    </row>
    <row r="47" spans="1:30" s="342" customFormat="1" x14ac:dyDescent="0.2">
      <c r="A47" s="320" t="str">
        <f>IFERROR(VLOOKUP(B47,mapping_one_neo!A:B,2,FALSE),"")</f>
        <v>Other staff costs</v>
      </c>
      <c r="B47" s="352" t="s">
        <v>818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378"/>
      <c r="V47" s="378"/>
      <c r="W47" s="378"/>
      <c r="X47" s="378"/>
      <c r="Y47" s="378"/>
      <c r="Z47" s="378">
        <v>481.11216200156053</v>
      </c>
      <c r="AA47" s="363">
        <v>0.53658536585365924</v>
      </c>
      <c r="AB47" s="363">
        <f t="shared" si="0"/>
        <v>481.64874736741422</v>
      </c>
      <c r="AC47" s="377"/>
      <c r="AD47" s="334"/>
    </row>
    <row r="48" spans="1:30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378"/>
      <c r="V48" s="378"/>
      <c r="W48" s="378"/>
      <c r="X48" s="378"/>
      <c r="Y48" s="378"/>
      <c r="Z48" s="378"/>
      <c r="AA48" s="378"/>
      <c r="AB48" s="378"/>
      <c r="AC48" s="377"/>
      <c r="AD48" s="334"/>
    </row>
    <row r="49" spans="1:30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383">
        <f>SUM(U9:U37,U42,U44:U45)</f>
        <v>-3020.9184899999996</v>
      </c>
      <c r="V49" s="383">
        <f>SUM(V8:V20)</f>
        <v>59.816922749999996</v>
      </c>
      <c r="W49" s="383">
        <v>0</v>
      </c>
      <c r="X49" s="383">
        <f>SUM(X8:X47)</f>
        <v>-21.2515</v>
      </c>
      <c r="Y49" s="383">
        <f>SUM(Y8:Y47)</f>
        <v>-2982.3530672499992</v>
      </c>
      <c r="Z49" s="383">
        <f>SUM(Z7:Z47)</f>
        <v>503.31216200156052</v>
      </c>
      <c r="AA49" s="383">
        <f>SUM(AA7:AA47)</f>
        <v>0.53658536585365924</v>
      </c>
      <c r="AB49" s="444">
        <f>SUM(AB7:AB47)</f>
        <v>-2478.5043198825847</v>
      </c>
      <c r="AC49" s="377"/>
      <c r="AD49" s="382" t="s">
        <v>134</v>
      </c>
    </row>
    <row r="50" spans="1:30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378"/>
      <c r="V50" s="378"/>
      <c r="W50" s="378"/>
      <c r="X50" s="378"/>
      <c r="Y50" s="378"/>
      <c r="Z50" s="378"/>
      <c r="AA50" s="378"/>
      <c r="AB50" s="378"/>
      <c r="AC50" s="377"/>
      <c r="AD50" s="334"/>
    </row>
    <row r="51" spans="1:30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351"/>
      <c r="V51" s="351"/>
      <c r="W51" s="351"/>
      <c r="X51" s="351"/>
      <c r="Y51" s="358"/>
      <c r="Z51" s="358"/>
      <c r="AA51" s="358"/>
      <c r="AB51" s="358"/>
      <c r="AC51" s="350"/>
    </row>
    <row r="52" spans="1:30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351">
        <v>-166.67000000000002</v>
      </c>
      <c r="V52" s="362"/>
      <c r="W52" s="362"/>
      <c r="X52" s="362"/>
      <c r="Y52" s="363">
        <f>SUM(U52:X52)</f>
        <v>-166.67000000000002</v>
      </c>
      <c r="Z52" s="363"/>
      <c r="AA52" s="363"/>
      <c r="AB52" s="363">
        <f>SUM(Y52:AA52)</f>
        <v>-166.67000000000002</v>
      </c>
      <c r="AC52" s="355"/>
      <c r="AD52" s="334"/>
    </row>
    <row r="53" spans="1:30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351">
        <v>-40</v>
      </c>
      <c r="V53" s="362"/>
      <c r="W53" s="362"/>
      <c r="X53" s="362"/>
      <c r="Y53" s="363">
        <f t="shared" ref="Y53:Y57" si="2">SUM(U53:X53)</f>
        <v>-40</v>
      </c>
      <c r="Z53" s="363"/>
      <c r="AA53" s="363"/>
      <c r="AB53" s="363">
        <f t="shared" ref="AB53:AB57" si="3">SUM(Y53:AA53)</f>
        <v>-40</v>
      </c>
      <c r="AC53" s="355"/>
      <c r="AD53" s="334"/>
    </row>
    <row r="54" spans="1:30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351">
        <v>-24.169999999999998</v>
      </c>
      <c r="V54" s="362"/>
      <c r="W54" s="362"/>
      <c r="X54" s="362"/>
      <c r="Y54" s="363">
        <f t="shared" si="2"/>
        <v>-24.169999999999998</v>
      </c>
      <c r="Z54" s="363"/>
      <c r="AA54" s="363"/>
      <c r="AB54" s="363">
        <f t="shared" si="3"/>
        <v>-24.169999999999998</v>
      </c>
      <c r="AC54" s="355"/>
      <c r="AD54" s="334"/>
    </row>
    <row r="55" spans="1:30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351">
        <v>-2.0384500000000001</v>
      </c>
      <c r="V55" s="362"/>
      <c r="W55" s="362"/>
      <c r="X55" s="362"/>
      <c r="Y55" s="363">
        <f t="shared" si="2"/>
        <v>-2.0384500000000001</v>
      </c>
      <c r="Z55" s="363"/>
      <c r="AA55" s="363"/>
      <c r="AB55" s="363">
        <f t="shared" si="3"/>
        <v>-2.0384500000000001</v>
      </c>
      <c r="AC55" s="355"/>
      <c r="AD55" s="334" t="s">
        <v>134</v>
      </c>
    </row>
    <row r="56" spans="1:30" s="449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D56" s="352"/>
      <c r="E56" s="356">
        <v>-1</v>
      </c>
      <c r="F56" s="352"/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351">
        <v>0</v>
      </c>
      <c r="V56" s="362"/>
      <c r="W56" s="362"/>
      <c r="X56" s="362"/>
      <c r="Y56" s="363">
        <f t="shared" si="2"/>
        <v>0</v>
      </c>
      <c r="Z56" s="363">
        <v>40.777341342479907</v>
      </c>
      <c r="AA56" s="363">
        <v>18.536585365853664</v>
      </c>
      <c r="AB56" s="363">
        <f t="shared" si="3"/>
        <v>59.313926708333568</v>
      </c>
      <c r="AC56" s="355"/>
      <c r="AD56" s="334"/>
    </row>
    <row r="57" spans="1:30" s="352" customFormat="1" x14ac:dyDescent="0.2">
      <c r="A57" s="320" t="str">
        <f>IFERROR(VLOOKUP(B57,mapping_one_neo!A:B,2,FALSE),"")</f>
        <v>Inter-company facilities AU=0.INP Neo</v>
      </c>
      <c r="B57" s="384" t="s">
        <v>41</v>
      </c>
      <c r="C57" s="353" t="s">
        <v>147</v>
      </c>
      <c r="E57" s="356">
        <v>-15</v>
      </c>
      <c r="G57" s="419">
        <v>0</v>
      </c>
      <c r="H57" s="419">
        <v>0</v>
      </c>
      <c r="I57" s="419">
        <v>0</v>
      </c>
      <c r="J57" s="419">
        <v>0</v>
      </c>
      <c r="K57" s="419">
        <v>0</v>
      </c>
      <c r="L57" s="419">
        <v>0</v>
      </c>
      <c r="M57" s="419">
        <v>-2.5</v>
      </c>
      <c r="N57" s="419">
        <v>-2.5</v>
      </c>
      <c r="O57" s="419">
        <v>-2.5</v>
      </c>
      <c r="P57" s="419">
        <v>-2.5</v>
      </c>
      <c r="Q57" s="419">
        <v>-2.5</v>
      </c>
      <c r="R57" s="419">
        <v>-2.5</v>
      </c>
      <c r="S57" s="345"/>
      <c r="T57" s="361"/>
      <c r="U57" s="351">
        <v>0</v>
      </c>
      <c r="V57" s="362"/>
      <c r="W57" s="362"/>
      <c r="X57" s="362">
        <v>-11.5</v>
      </c>
      <c r="Y57" s="363">
        <f t="shared" si="2"/>
        <v>-11.5</v>
      </c>
      <c r="Z57" s="363"/>
      <c r="AA57" s="363"/>
      <c r="AB57" s="363">
        <f t="shared" si="3"/>
        <v>-11.5</v>
      </c>
      <c r="AC57" s="355"/>
      <c r="AD57" s="334"/>
    </row>
    <row r="58" spans="1:30" s="352" customFormat="1" x14ac:dyDescent="0.2">
      <c r="A58" s="320" t="str">
        <f>IFERROR(VLOOKUP(B58,mapping_one_neo!A:B,2,FALSE),"")</f>
        <v/>
      </c>
      <c r="B58" s="352" t="s">
        <v>42</v>
      </c>
      <c r="C58" s="353"/>
      <c r="E58" s="354">
        <v>-188.16536666666667</v>
      </c>
      <c r="G58" s="385">
        <v>-14.352120000000001</v>
      </c>
      <c r="H58" s="385">
        <v>-14.30991</v>
      </c>
      <c r="I58" s="385">
        <v>-14.348450000000001</v>
      </c>
      <c r="J58" s="385">
        <v>-14.348449999999998</v>
      </c>
      <c r="K58" s="385">
        <v>-14.362869999999999</v>
      </c>
      <c r="L58" s="385">
        <v>-14.348200000000006</v>
      </c>
      <c r="M58" s="385">
        <v>-16.849116666666667</v>
      </c>
      <c r="N58" s="385">
        <v>-16.849116666666667</v>
      </c>
      <c r="O58" s="385">
        <v>-16.849116666666667</v>
      </c>
      <c r="P58" s="385">
        <v>-16.849116666666667</v>
      </c>
      <c r="Q58" s="385">
        <v>-16.849116666666667</v>
      </c>
      <c r="R58" s="385">
        <v>-17.84978333333332</v>
      </c>
      <c r="S58" s="349"/>
      <c r="T58" s="346"/>
      <c r="U58" s="354">
        <f>SUM(U52:U57)</f>
        <v>-232.87845000000002</v>
      </c>
      <c r="V58" s="354">
        <v>0</v>
      </c>
      <c r="W58" s="354">
        <v>0</v>
      </c>
      <c r="X58" s="354"/>
      <c r="Y58" s="357">
        <f>SUM(Y52:Y57)</f>
        <v>-244.37845000000002</v>
      </c>
      <c r="Z58" s="357">
        <f>SUM(Z52:Z57)</f>
        <v>40.777341342479907</v>
      </c>
      <c r="AA58" s="357">
        <f>SUM(AA52:AA57)</f>
        <v>18.536585365853664</v>
      </c>
      <c r="AB58" s="357">
        <f>SUM(AB52:AB57)</f>
        <v>-185.06452329166643</v>
      </c>
      <c r="AC58" s="355"/>
      <c r="AD58" s="334"/>
    </row>
    <row r="59" spans="1:30" x14ac:dyDescent="0.2">
      <c r="A59" s="320" t="str">
        <f>IFERROR(VLOOKUP(B59,mapping_one_neo!A:B,2,FALSE),"")</f>
        <v/>
      </c>
      <c r="S59" s="349"/>
      <c r="T59" s="346"/>
      <c r="U59" s="351"/>
      <c r="V59" s="351"/>
      <c r="W59" s="351"/>
      <c r="X59" s="351"/>
      <c r="Y59" s="358"/>
      <c r="Z59" s="358"/>
      <c r="AA59" s="358"/>
      <c r="AB59" s="358"/>
      <c r="AC59" s="350"/>
    </row>
    <row r="60" spans="1:30" x14ac:dyDescent="0.2">
      <c r="A60" s="320">
        <f>IFERROR(VLOOKUP(B60,mapping_one_neo!A:B,2,FALSE),"")</f>
        <v>0</v>
      </c>
      <c r="B60" s="352" t="s">
        <v>43</v>
      </c>
      <c r="C60" s="353"/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86"/>
      <c r="T60" s="346"/>
      <c r="U60" s="351"/>
      <c r="V60" s="351"/>
      <c r="W60" s="351"/>
      <c r="X60" s="351"/>
      <c r="Y60" s="358"/>
      <c r="Z60" s="358"/>
      <c r="AA60" s="358"/>
      <c r="AB60" s="358"/>
      <c r="AC60" s="350"/>
    </row>
    <row r="61" spans="1:30" x14ac:dyDescent="0.2">
      <c r="A61" s="320">
        <f>IFERROR(VLOOKUP(B61,mapping_one_neo!A:B,2,FALSE),"")</f>
        <v>0</v>
      </c>
      <c r="B61" s="387" t="s">
        <v>44</v>
      </c>
      <c r="E61" s="335" t="s">
        <v>134</v>
      </c>
      <c r="S61" s="349"/>
      <c r="T61" s="346"/>
      <c r="U61" s="351"/>
      <c r="V61" s="351"/>
      <c r="W61" s="351"/>
      <c r="X61" s="351"/>
      <c r="Y61" s="358"/>
      <c r="Z61" s="358"/>
      <c r="AA61" s="358"/>
      <c r="AB61" s="358"/>
      <c r="AC61" s="350"/>
    </row>
    <row r="62" spans="1:30" s="352" customFormat="1" x14ac:dyDescent="0.2">
      <c r="A62" s="320" t="str">
        <f>IFERROR(VLOOKUP(B62,mapping_one_neo!A:B,2,FALSE),"")</f>
        <v>Staff training course fees</v>
      </c>
      <c r="B62" s="388" t="s">
        <v>45</v>
      </c>
      <c r="C62" s="353" t="s">
        <v>148</v>
      </c>
      <c r="E62" s="356">
        <v>-46.559685055682245</v>
      </c>
      <c r="G62" s="419">
        <v>-1.73967</v>
      </c>
      <c r="H62" s="419">
        <v>-9.5429299999999984</v>
      </c>
      <c r="I62" s="419">
        <v>-5.8277400000000021</v>
      </c>
      <c r="J62" s="419">
        <v>-2.9573399999999985</v>
      </c>
      <c r="K62" s="419">
        <v>-1.1997800000000005</v>
      </c>
      <c r="L62" s="419">
        <v>-2.0163500000000028</v>
      </c>
      <c r="M62" s="419">
        <v>-3.867839378920003</v>
      </c>
      <c r="N62" s="419">
        <v>-3.867839378920003</v>
      </c>
      <c r="O62" s="419">
        <v>-3.867839378920003</v>
      </c>
      <c r="P62" s="419">
        <v>-3.892589378920003</v>
      </c>
      <c r="Q62" s="419">
        <v>-3.892589378920003</v>
      </c>
      <c r="R62" s="419">
        <v>-3.8871781610822298</v>
      </c>
      <c r="S62" s="345"/>
      <c r="T62" s="361"/>
      <c r="U62" s="351">
        <v>-2.25962</v>
      </c>
      <c r="V62" s="351">
        <v>-20.44078</v>
      </c>
      <c r="W62" s="351"/>
      <c r="X62" s="351">
        <v>-7.7830000000000004</v>
      </c>
      <c r="Y62" s="363">
        <f>SUM(U62:X62)</f>
        <v>-30.483400000000003</v>
      </c>
      <c r="Z62" s="363"/>
      <c r="AA62" s="363"/>
      <c r="AB62" s="363">
        <f>SUM(Y62:AA62)</f>
        <v>-30.483400000000003</v>
      </c>
      <c r="AC62" s="355"/>
      <c r="AD62" s="334"/>
    </row>
    <row r="63" spans="1:30" s="352" customFormat="1" ht="15" customHeight="1" x14ac:dyDescent="0.2">
      <c r="A63" s="320" t="str">
        <f>IFERROR(VLOOKUP(B63,mapping_one_neo!A:B,2,FALSE),"")</f>
        <v>Staff Welfare</v>
      </c>
      <c r="B63" s="388" t="s">
        <v>46</v>
      </c>
      <c r="C63" s="353" t="s">
        <v>149</v>
      </c>
      <c r="E63" s="356">
        <v>-138.58164338225694</v>
      </c>
      <c r="G63" s="419">
        <v>-9.842039999999999</v>
      </c>
      <c r="H63" s="419">
        <v>-10.024200000000002</v>
      </c>
      <c r="I63" s="419">
        <v>-10.962700000000002</v>
      </c>
      <c r="J63" s="419">
        <v>-10.369050000000001</v>
      </c>
      <c r="K63" s="419">
        <v>-10.60136</v>
      </c>
      <c r="L63" s="419">
        <v>-11.314050000000002</v>
      </c>
      <c r="M63" s="419">
        <v>-12.942377916666674</v>
      </c>
      <c r="N63" s="419">
        <v>-12.007482083333334</v>
      </c>
      <c r="O63" s="419">
        <v>-12.21972166666667</v>
      </c>
      <c r="P63" s="419">
        <v>-12.39550291666667</v>
      </c>
      <c r="Q63" s="419">
        <v>-12.39550291666667</v>
      </c>
      <c r="R63" s="419">
        <v>-13.5076558822569</v>
      </c>
      <c r="S63" s="345"/>
      <c r="T63" s="361"/>
      <c r="U63" s="351"/>
      <c r="V63" s="351">
        <v>-115.97224000000001</v>
      </c>
      <c r="W63" s="351"/>
      <c r="X63" s="351"/>
      <c r="Y63" s="363">
        <f t="shared" ref="Y63:Y70" si="4">SUM(U63:X63)</f>
        <v>-115.97224000000001</v>
      </c>
      <c r="Z63" s="363"/>
      <c r="AA63" s="363"/>
      <c r="AB63" s="363">
        <f t="shared" ref="AB63:AB70" si="5">SUM(Y63:AA63)</f>
        <v>-115.97224000000001</v>
      </c>
      <c r="AC63" s="355"/>
      <c r="AD63" s="334"/>
    </row>
    <row r="64" spans="1:30" s="352" customFormat="1" x14ac:dyDescent="0.2">
      <c r="A64" s="320" t="str">
        <f>IFERROR(VLOOKUP(B64,mapping_one_neo!A:B,2,FALSE),"")</f>
        <v>Staff Welfare</v>
      </c>
      <c r="B64" s="388" t="s">
        <v>47</v>
      </c>
      <c r="C64" s="353" t="s">
        <v>150</v>
      </c>
      <c r="E64" s="356">
        <v>-9.9986666666666668</v>
      </c>
      <c r="G64" s="419">
        <v>-0.83299999999999996</v>
      </c>
      <c r="H64" s="419">
        <v>-0.83299999999999996</v>
      </c>
      <c r="I64" s="419">
        <v>-0.83299999999999974</v>
      </c>
      <c r="J64" s="419">
        <v>-0.83300000000000018</v>
      </c>
      <c r="K64" s="419">
        <v>-0.83300000000000018</v>
      </c>
      <c r="L64" s="419">
        <v>-0.8329999999999993</v>
      </c>
      <c r="M64" s="419">
        <v>-0.83333333333333337</v>
      </c>
      <c r="N64" s="419">
        <v>-0.83333333333333337</v>
      </c>
      <c r="O64" s="419">
        <v>-0.83333333333333337</v>
      </c>
      <c r="P64" s="419">
        <v>-0.83333333333333337</v>
      </c>
      <c r="Q64" s="419">
        <v>-0.83333333333333337</v>
      </c>
      <c r="R64" s="419">
        <v>-0.83400000000000096</v>
      </c>
      <c r="S64" s="345"/>
      <c r="T64" s="361"/>
      <c r="U64" s="351">
        <v>-9.67</v>
      </c>
      <c r="V64" s="351"/>
      <c r="W64" s="351"/>
      <c r="X64" s="351">
        <v>0</v>
      </c>
      <c r="Y64" s="363">
        <f t="shared" si="4"/>
        <v>-9.67</v>
      </c>
      <c r="Z64" s="363"/>
      <c r="AA64" s="363"/>
      <c r="AB64" s="363">
        <f t="shared" si="5"/>
        <v>-9.67</v>
      </c>
      <c r="AC64" s="355"/>
      <c r="AD64" s="334"/>
    </row>
    <row r="65" spans="1:30" s="352" customFormat="1" x14ac:dyDescent="0.2">
      <c r="A65" s="320" t="str">
        <f>IFERROR(VLOOKUP(B65,mapping_one_neo!A:B,2,FALSE),"")</f>
        <v>Staff Welfare</v>
      </c>
      <c r="B65" s="388" t="s">
        <v>48</v>
      </c>
      <c r="C65" s="353" t="s">
        <v>151</v>
      </c>
      <c r="E65" s="356">
        <v>-2.1986666666666657</v>
      </c>
      <c r="G65" s="419">
        <v>-0.183</v>
      </c>
      <c r="H65" s="419">
        <v>-0.183</v>
      </c>
      <c r="I65" s="419">
        <v>-0.18299999999999994</v>
      </c>
      <c r="J65" s="419">
        <v>-0.18300000000000005</v>
      </c>
      <c r="K65" s="419">
        <v>-0.18300000000000005</v>
      </c>
      <c r="L65" s="419">
        <v>-0.18299999999999983</v>
      </c>
      <c r="M65" s="419">
        <v>-0.18333333333333335</v>
      </c>
      <c r="N65" s="419">
        <v>-0.18333333333333335</v>
      </c>
      <c r="O65" s="419">
        <v>-0.18333333333333335</v>
      </c>
      <c r="P65" s="419">
        <v>-0.18333333333333335</v>
      </c>
      <c r="Q65" s="419">
        <v>-0.18333333333333335</v>
      </c>
      <c r="R65" s="419">
        <v>-0.183999999999999</v>
      </c>
      <c r="S65" s="345"/>
      <c r="T65" s="361"/>
      <c r="U65" s="351">
        <v>-1.92</v>
      </c>
      <c r="V65" s="351"/>
      <c r="W65" s="351"/>
      <c r="X65" s="351">
        <v>0</v>
      </c>
      <c r="Y65" s="363">
        <f t="shared" si="4"/>
        <v>-1.92</v>
      </c>
      <c r="Z65" s="363"/>
      <c r="AA65" s="363"/>
      <c r="AB65" s="363">
        <f t="shared" si="5"/>
        <v>-1.92</v>
      </c>
      <c r="AC65" s="355"/>
      <c r="AD65" s="334"/>
    </row>
    <row r="66" spans="1:30" s="352" customFormat="1" x14ac:dyDescent="0.2">
      <c r="A66" s="320" t="str">
        <f>IFERROR(VLOOKUP(B66,mapping_one_neo!A:B,2,FALSE),"")</f>
        <v>Staff Welfare</v>
      </c>
      <c r="B66" s="388" t="s">
        <v>49</v>
      </c>
      <c r="C66" s="353">
        <v>645100</v>
      </c>
      <c r="E66" s="356">
        <v>0</v>
      </c>
      <c r="G66" s="419">
        <v>0</v>
      </c>
      <c r="H66" s="419">
        <v>0</v>
      </c>
      <c r="I66" s="419">
        <v>0</v>
      </c>
      <c r="J66" s="419">
        <v>0</v>
      </c>
      <c r="K66" s="419">
        <v>0</v>
      </c>
      <c r="L66" s="419">
        <v>0</v>
      </c>
      <c r="M66" s="419">
        <v>0</v>
      </c>
      <c r="N66" s="419">
        <v>0</v>
      </c>
      <c r="O66" s="419"/>
      <c r="P66" s="419"/>
      <c r="Q66" s="419"/>
      <c r="R66" s="419"/>
      <c r="S66" s="345"/>
      <c r="T66" s="361"/>
      <c r="U66" s="351"/>
      <c r="V66" s="351"/>
      <c r="W66" s="351"/>
      <c r="X66" s="351"/>
      <c r="Y66" s="363">
        <f t="shared" si="4"/>
        <v>0</v>
      </c>
      <c r="Z66" s="363"/>
      <c r="AA66" s="363"/>
      <c r="AB66" s="363">
        <f t="shared" si="5"/>
        <v>0</v>
      </c>
      <c r="AC66" s="355"/>
      <c r="AD66" s="334"/>
    </row>
    <row r="67" spans="1:30" s="352" customFormat="1" x14ac:dyDescent="0.2">
      <c r="A67" s="320" t="str">
        <f>IFERROR(VLOOKUP(B67,mapping_one_neo!A:B,2,FALSE),"")</f>
        <v>Staff Welfare</v>
      </c>
      <c r="B67" s="388" t="s">
        <v>50</v>
      </c>
      <c r="C67" s="353">
        <v>647500</v>
      </c>
      <c r="E67" s="356">
        <v>-1.6771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-1.6771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351">
        <v>-4.0147500000000003</v>
      </c>
      <c r="V67" s="351"/>
      <c r="W67" s="351"/>
      <c r="X67" s="351">
        <v>0</v>
      </c>
      <c r="Y67" s="363">
        <f t="shared" si="4"/>
        <v>-4.0147500000000003</v>
      </c>
      <c r="Z67" s="363"/>
      <c r="AA67" s="363"/>
      <c r="AB67" s="363">
        <f t="shared" si="5"/>
        <v>-4.0147500000000003</v>
      </c>
      <c r="AC67" s="355"/>
      <c r="AD67" s="334"/>
    </row>
    <row r="68" spans="1:30" s="352" customFormat="1" x14ac:dyDescent="0.2">
      <c r="A68" s="320" t="str">
        <f>IFERROR(VLOOKUP(B68,mapping_one_neo!A:B,2,FALSE),"")</f>
        <v>Staff Welfare</v>
      </c>
      <c r="B68" s="388" t="s">
        <v>749</v>
      </c>
      <c r="C68" s="353" t="s">
        <v>152</v>
      </c>
      <c r="E68" s="356">
        <v>-4.9919199999999995</v>
      </c>
      <c r="G68" s="419">
        <v>-0.192</v>
      </c>
      <c r="H68" s="419">
        <v>0</v>
      </c>
      <c r="I68" s="419">
        <v>-9.9920000000000009E-2</v>
      </c>
      <c r="J68" s="419">
        <v>0</v>
      </c>
      <c r="K68" s="419">
        <v>0</v>
      </c>
      <c r="L68" s="419">
        <v>-9.5499999999999974E-2</v>
      </c>
      <c r="M68" s="419">
        <v>-0.2</v>
      </c>
      <c r="N68" s="419">
        <v>0</v>
      </c>
      <c r="O68" s="419">
        <v>-0.1045</v>
      </c>
      <c r="P68" s="419"/>
      <c r="Q68" s="419">
        <v>-0.2</v>
      </c>
      <c r="R68" s="419">
        <v>-4.0999999999999996</v>
      </c>
      <c r="S68" s="345"/>
      <c r="T68" s="361"/>
      <c r="U68" s="351">
        <v>-2.19306</v>
      </c>
      <c r="V68" s="351"/>
      <c r="W68" s="351"/>
      <c r="X68" s="351"/>
      <c r="Y68" s="363">
        <f t="shared" si="4"/>
        <v>-2.19306</v>
      </c>
      <c r="Z68" s="363"/>
      <c r="AA68" s="363"/>
      <c r="AB68" s="363">
        <f t="shared" si="5"/>
        <v>-2.19306</v>
      </c>
      <c r="AC68" s="355"/>
      <c r="AD68" s="334"/>
    </row>
    <row r="69" spans="1:30" s="352" customFormat="1" x14ac:dyDescent="0.2">
      <c r="A69" s="320" t="str">
        <f>IFERROR(VLOOKUP(B69,mapping_one_neo!A:B,2,FALSE),"")</f>
        <v>Staff Welfare</v>
      </c>
      <c r="B69" s="388" t="s">
        <v>51</v>
      </c>
      <c r="C69" s="353" t="s">
        <v>152</v>
      </c>
      <c r="E69" s="356">
        <v>-2.424230000000001</v>
      </c>
      <c r="G69" s="419">
        <v>-0.36986000000000002</v>
      </c>
      <c r="H69" s="419">
        <v>-0.12834999999999996</v>
      </c>
      <c r="I69" s="419">
        <v>-6.1450000000000282E-2</v>
      </c>
      <c r="J69" s="419">
        <v>-0.33607999999999993</v>
      </c>
      <c r="K69" s="419">
        <v>-0.16979999999999951</v>
      </c>
      <c r="L69" s="419">
        <v>-0.12849000000000044</v>
      </c>
      <c r="M69" s="419">
        <v>-0.2</v>
      </c>
      <c r="N69" s="419">
        <v>-0.2</v>
      </c>
      <c r="O69" s="419">
        <v>-0.2</v>
      </c>
      <c r="P69" s="419">
        <v>-0.2</v>
      </c>
      <c r="Q69" s="419">
        <v>-0.2</v>
      </c>
      <c r="R69" s="419">
        <v>-0.23020000000000099</v>
      </c>
      <c r="S69" s="345"/>
      <c r="T69" s="361"/>
      <c r="U69" s="351">
        <v>-1.87277</v>
      </c>
      <c r="V69" s="351"/>
      <c r="W69" s="351"/>
      <c r="X69" s="351">
        <v>-1.8</v>
      </c>
      <c r="Y69" s="363">
        <f t="shared" si="4"/>
        <v>-3.6727699999999999</v>
      </c>
      <c r="Z69" s="363"/>
      <c r="AA69" s="363"/>
      <c r="AB69" s="363">
        <f t="shared" si="5"/>
        <v>-3.6727699999999999</v>
      </c>
      <c r="AC69" s="355"/>
      <c r="AD69" s="334"/>
    </row>
    <row r="70" spans="1:30" s="352" customFormat="1" x14ac:dyDescent="0.2">
      <c r="A70" s="320" t="str">
        <f>IFERROR(VLOOKUP(B70,mapping_one_neo!A:B,2,FALSE),"")</f>
        <v>Staff Welfare</v>
      </c>
      <c r="B70" s="388" t="s">
        <v>52</v>
      </c>
      <c r="C70" s="353" t="s">
        <v>152</v>
      </c>
      <c r="E70" s="356">
        <v>-9.9986666666666668</v>
      </c>
      <c r="G70" s="419">
        <v>-0.83299999999999996</v>
      </c>
      <c r="H70" s="419">
        <v>-0.83299999999999996</v>
      </c>
      <c r="I70" s="419">
        <v>-0.83299999999999974</v>
      </c>
      <c r="J70" s="419">
        <v>-0.83300000000000018</v>
      </c>
      <c r="K70" s="419">
        <v>-0.83300000000000018</v>
      </c>
      <c r="L70" s="419">
        <v>-0.8329999999999993</v>
      </c>
      <c r="M70" s="419">
        <v>-0.83333333333333337</v>
      </c>
      <c r="N70" s="419">
        <v>-0.83333333333333337</v>
      </c>
      <c r="O70" s="419">
        <v>-0.83333333333333337</v>
      </c>
      <c r="P70" s="419">
        <v>-0.83333333333333337</v>
      </c>
      <c r="Q70" s="419">
        <v>-0.83333333333333337</v>
      </c>
      <c r="R70" s="419">
        <v>-0.83400000000000096</v>
      </c>
      <c r="S70" s="389" t="s">
        <v>134</v>
      </c>
      <c r="T70" s="361"/>
      <c r="U70" s="351">
        <v>-11.25</v>
      </c>
      <c r="V70" s="351"/>
      <c r="W70" s="351"/>
      <c r="X70" s="351"/>
      <c r="Y70" s="363">
        <f t="shared" si="4"/>
        <v>-11.25</v>
      </c>
      <c r="Z70" s="363"/>
      <c r="AA70" s="363"/>
      <c r="AB70" s="363">
        <f t="shared" si="5"/>
        <v>-11.25</v>
      </c>
      <c r="AC70" s="355"/>
      <c r="AD70" s="334"/>
    </row>
    <row r="71" spans="1:30" s="352" customFormat="1" x14ac:dyDescent="0.2">
      <c r="A71" s="320" t="str">
        <f>IFERROR(VLOOKUP(B71,mapping_one_neo!A:B,2,FALSE),"")</f>
        <v/>
      </c>
      <c r="B71" s="390" t="s">
        <v>796</v>
      </c>
      <c r="C71" s="391">
        <v>648220</v>
      </c>
      <c r="E71" s="356">
        <v>0</v>
      </c>
      <c r="G71" s="356">
        <v>0</v>
      </c>
      <c r="H71" s="356"/>
      <c r="I71" s="356">
        <v>0</v>
      </c>
      <c r="J71" s="356"/>
      <c r="K71" s="356">
        <v>0</v>
      </c>
      <c r="L71" s="356">
        <v>0</v>
      </c>
      <c r="M71" s="356"/>
      <c r="N71" s="356"/>
      <c r="O71" s="356"/>
      <c r="P71" s="356"/>
      <c r="Q71" s="356"/>
      <c r="R71" s="356"/>
      <c r="S71" s="345"/>
      <c r="T71" s="361"/>
      <c r="U71" s="351"/>
      <c r="V71" s="351"/>
      <c r="W71" s="351"/>
      <c r="X71" s="351"/>
      <c r="Y71" s="363">
        <v>0</v>
      </c>
      <c r="Z71" s="363"/>
      <c r="AA71" s="363"/>
      <c r="AB71" s="363">
        <v>0</v>
      </c>
      <c r="AC71" s="355"/>
      <c r="AD71" s="334"/>
    </row>
    <row r="72" spans="1:30" s="387" customFormat="1" x14ac:dyDescent="0.2">
      <c r="A72" s="320">
        <f>IFERROR(VLOOKUP(B72,mapping_one_neo!A:B,2,FALSE),"")</f>
        <v>0</v>
      </c>
      <c r="B72" s="387" t="s">
        <v>54</v>
      </c>
      <c r="C72" s="392"/>
      <c r="E72" s="393">
        <v>-216.4305784379392</v>
      </c>
      <c r="G72" s="393">
        <v>-13.992569999999999</v>
      </c>
      <c r="H72" s="393">
        <v>-21.544479999999997</v>
      </c>
      <c r="I72" s="393">
        <v>-18.800810000000002</v>
      </c>
      <c r="J72" s="393">
        <v>-15.511470000000001</v>
      </c>
      <c r="K72" s="393">
        <v>-13.819940000000001</v>
      </c>
      <c r="L72" s="393">
        <v>-17.080490000000001</v>
      </c>
      <c r="M72" s="393">
        <v>-19.060217295586671</v>
      </c>
      <c r="N72" s="393">
        <v>-17.925321462253336</v>
      </c>
      <c r="O72" s="393">
        <v>-18.242061045586674</v>
      </c>
      <c r="P72" s="393">
        <v>-18.338092295586669</v>
      </c>
      <c r="Q72" s="393">
        <v>-18.538092295586669</v>
      </c>
      <c r="R72" s="393">
        <v>-23.577034043339125</v>
      </c>
      <c r="S72" s="349"/>
      <c r="T72" s="346"/>
      <c r="U72" s="393">
        <f>SUM(U62:U71)</f>
        <v>-33.180199999999999</v>
      </c>
      <c r="V72" s="393">
        <f t="shared" ref="V72:AB72" si="6">SUM(V62:V71)</f>
        <v>-136.41302000000002</v>
      </c>
      <c r="W72" s="393">
        <f t="shared" si="6"/>
        <v>0</v>
      </c>
      <c r="X72" s="393">
        <f t="shared" si="6"/>
        <v>-9.5830000000000002</v>
      </c>
      <c r="Y72" s="395">
        <f t="shared" si="6"/>
        <v>-179.17622</v>
      </c>
      <c r="Z72" s="395">
        <f t="shared" si="6"/>
        <v>0</v>
      </c>
      <c r="AA72" s="395">
        <f t="shared" si="6"/>
        <v>0</v>
      </c>
      <c r="AB72" s="395">
        <f t="shared" si="6"/>
        <v>-179.17622</v>
      </c>
      <c r="AC72" s="394"/>
      <c r="AD72" s="334"/>
    </row>
    <row r="73" spans="1:30" x14ac:dyDescent="0.2">
      <c r="A73" s="320" t="str">
        <f>IFERROR(VLOOKUP(B73,mapping_one_neo!A:B,2,FALSE),"")</f>
        <v/>
      </c>
      <c r="J73" s="335">
        <v>0</v>
      </c>
      <c r="M73" s="335">
        <v>0</v>
      </c>
      <c r="S73" s="349"/>
      <c r="T73" s="346"/>
      <c r="U73" s="351"/>
      <c r="V73" s="351"/>
      <c r="W73" s="351"/>
      <c r="X73" s="351"/>
      <c r="Y73" s="358"/>
      <c r="Z73" s="358"/>
      <c r="AA73" s="358"/>
      <c r="AB73" s="358"/>
      <c r="AC73" s="350"/>
    </row>
    <row r="74" spans="1:30" x14ac:dyDescent="0.2">
      <c r="A74" s="320">
        <f>IFERROR(VLOOKUP(B74,mapping_one_neo!A:B,2,FALSE),"")</f>
        <v>0</v>
      </c>
      <c r="B74" s="387" t="s">
        <v>55</v>
      </c>
      <c r="E74" s="335" t="s">
        <v>134</v>
      </c>
      <c r="J74" s="335">
        <v>0</v>
      </c>
      <c r="M74" s="335">
        <v>0</v>
      </c>
      <c r="S74" s="349"/>
      <c r="T74" s="346"/>
      <c r="U74" s="351"/>
      <c r="V74" s="351"/>
      <c r="W74" s="351"/>
      <c r="X74" s="351"/>
      <c r="Y74" s="358"/>
      <c r="Z74" s="358"/>
      <c r="AA74" s="358"/>
      <c r="AB74" s="358"/>
      <c r="AC74" s="350"/>
    </row>
    <row r="75" spans="1:30" s="352" customFormat="1" x14ac:dyDescent="0.2">
      <c r="A75" s="320" t="str">
        <f>IFERROR(VLOOKUP(B75,mapping_one_neo!A:B,2,FALSE),"")</f>
        <v>Travel</v>
      </c>
      <c r="B75" s="388" t="s">
        <v>785</v>
      </c>
      <c r="C75" s="396" t="s">
        <v>786</v>
      </c>
      <c r="E75" s="356">
        <v>-17</v>
      </c>
      <c r="G75" s="419">
        <v>-0.13060000000000005</v>
      </c>
      <c r="H75" s="419">
        <v>-0.9589700000000001</v>
      </c>
      <c r="I75" s="419">
        <v>-1.18343</v>
      </c>
      <c r="J75" s="419">
        <v>-1.0310000000000001</v>
      </c>
      <c r="K75" s="419">
        <v>-0.69599999999999973</v>
      </c>
      <c r="L75" s="419">
        <v>0</v>
      </c>
      <c r="M75" s="419">
        <v>-3</v>
      </c>
      <c r="N75" s="419">
        <v>-2</v>
      </c>
      <c r="O75" s="419">
        <v>-2</v>
      </c>
      <c r="P75" s="419">
        <v>-3</v>
      </c>
      <c r="Q75" s="419">
        <v>-2</v>
      </c>
      <c r="R75" s="419">
        <v>-1</v>
      </c>
      <c r="S75" s="345"/>
      <c r="T75" s="361"/>
      <c r="U75" s="351">
        <v>-16.356440000000003</v>
      </c>
      <c r="V75" s="351"/>
      <c r="W75" s="351"/>
      <c r="X75" s="351"/>
      <c r="Y75" s="363">
        <v>-16.356440000000003</v>
      </c>
      <c r="Z75" s="363"/>
      <c r="AA75" s="363"/>
      <c r="AB75" s="363">
        <f>SUM(Y75:AA75)</f>
        <v>-16.356440000000003</v>
      </c>
      <c r="AC75" s="355" t="s">
        <v>134</v>
      </c>
      <c r="AD75" s="334"/>
    </row>
    <row r="76" spans="1:30" s="352" customFormat="1" x14ac:dyDescent="0.2">
      <c r="A76" s="320" t="str">
        <f>IFERROR(VLOOKUP(B76,mapping_one_neo!A:B,2,FALSE),"")</f>
        <v>Allowance &amp; subsistence</v>
      </c>
      <c r="B76" s="388" t="s">
        <v>751</v>
      </c>
      <c r="C76" s="396">
        <v>625700</v>
      </c>
      <c r="E76" s="356">
        <v>0</v>
      </c>
      <c r="G76" s="419">
        <v>0</v>
      </c>
      <c r="H76" s="419">
        <v>0</v>
      </c>
      <c r="I76" s="419">
        <v>0</v>
      </c>
      <c r="J76" s="419">
        <v>0</v>
      </c>
      <c r="K76" s="419">
        <v>0</v>
      </c>
      <c r="L76" s="419">
        <v>0</v>
      </c>
      <c r="M76" s="419">
        <v>0</v>
      </c>
      <c r="N76" s="419">
        <v>0</v>
      </c>
      <c r="O76" s="419">
        <v>0</v>
      </c>
      <c r="P76" s="419">
        <v>0</v>
      </c>
      <c r="Q76" s="419">
        <v>0</v>
      </c>
      <c r="R76" s="419">
        <v>0</v>
      </c>
      <c r="S76" s="345"/>
      <c r="T76" s="361"/>
      <c r="U76" s="351">
        <v>-6.61503</v>
      </c>
      <c r="V76" s="351"/>
      <c r="W76" s="351"/>
      <c r="X76" s="351"/>
      <c r="Y76" s="363">
        <v>-6.61503</v>
      </c>
      <c r="Z76" s="363"/>
      <c r="AA76" s="363"/>
      <c r="AB76" s="363">
        <f t="shared" ref="AB76:AB78" si="7">SUM(Y76:AA76)</f>
        <v>-6.61503</v>
      </c>
      <c r="AC76" s="355"/>
      <c r="AD76" s="334"/>
    </row>
    <row r="77" spans="1:30" s="352" customFormat="1" x14ac:dyDescent="0.2">
      <c r="A77" s="320" t="str">
        <f>IFERROR(VLOOKUP(B77,mapping_one_neo!A:B,2,FALSE),"")</f>
        <v>Allowance &amp; subsistence</v>
      </c>
      <c r="B77" s="388" t="s">
        <v>804</v>
      </c>
      <c r="C77" s="353">
        <v>625650</v>
      </c>
      <c r="E77" s="356">
        <v>-6.3671699999999998</v>
      </c>
      <c r="G77" s="419">
        <v>-2.4000000000001798E-4</v>
      </c>
      <c r="H77" s="419">
        <v>-0.37845000000000001</v>
      </c>
      <c r="I77" s="419">
        <v>-9.9999999999999978E-2</v>
      </c>
      <c r="J77" s="419">
        <v>-0.94499999999999984</v>
      </c>
      <c r="K77" s="419">
        <v>-0.66717000000000026</v>
      </c>
      <c r="L77" s="419">
        <v>-1.2763100000000001</v>
      </c>
      <c r="M77" s="419">
        <v>-0.5</v>
      </c>
      <c r="N77" s="419">
        <v>-0.5</v>
      </c>
      <c r="O77" s="419">
        <v>-0.5</v>
      </c>
      <c r="P77" s="419">
        <v>-0.5</v>
      </c>
      <c r="Q77" s="419">
        <v>-0.5</v>
      </c>
      <c r="R77" s="419">
        <v>-0.5</v>
      </c>
      <c r="S77" s="345"/>
      <c r="T77" s="361"/>
      <c r="U77" s="351">
        <v>-8.4933499999999995</v>
      </c>
      <c r="V77" s="351"/>
      <c r="W77" s="351"/>
      <c r="X77" s="351"/>
      <c r="Y77" s="363">
        <v>-8.4933499999999995</v>
      </c>
      <c r="Z77" s="363"/>
      <c r="AA77" s="363"/>
      <c r="AB77" s="363">
        <f t="shared" si="7"/>
        <v>-8.4933499999999995</v>
      </c>
      <c r="AC77" s="355"/>
      <c r="AD77" s="334"/>
    </row>
    <row r="78" spans="1:30" s="352" customFormat="1" x14ac:dyDescent="0.2">
      <c r="A78" s="320" t="str">
        <f>IFERROR(VLOOKUP(B78,mapping_one_neo!A:B,2,FALSE),"")</f>
        <v>Allowance &amp; subsistence</v>
      </c>
      <c r="B78" s="388" t="s">
        <v>805</v>
      </c>
      <c r="C78" s="353">
        <v>625652</v>
      </c>
      <c r="E78" s="356">
        <v>-20.205920000000003</v>
      </c>
      <c r="G78" s="419">
        <v>-0.77781</v>
      </c>
      <c r="H78" s="419">
        <v>-1.5418299999999996</v>
      </c>
      <c r="I78" s="419">
        <v>-3.0285900000000003</v>
      </c>
      <c r="J78" s="419">
        <v>-1.7251400000000006</v>
      </c>
      <c r="K78" s="419">
        <v>-1.1419599999999992</v>
      </c>
      <c r="L78" s="419">
        <v>-0.69059000000000026</v>
      </c>
      <c r="M78" s="419">
        <v>-2.2000000000000002</v>
      </c>
      <c r="N78" s="419">
        <v>-1.5</v>
      </c>
      <c r="O78" s="419">
        <v>-1.5</v>
      </c>
      <c r="P78" s="419">
        <v>-2.5</v>
      </c>
      <c r="Q78" s="419">
        <v>-1.6</v>
      </c>
      <c r="R78" s="419">
        <v>-2</v>
      </c>
      <c r="S78" s="345"/>
      <c r="T78" s="361"/>
      <c r="U78" s="351">
        <v>-7.4789399999999997</v>
      </c>
      <c r="V78" s="351"/>
      <c r="W78" s="351"/>
      <c r="X78" s="351">
        <v>0</v>
      </c>
      <c r="Y78" s="363">
        <v>-7.4789399999999997</v>
      </c>
      <c r="Z78" s="363"/>
      <c r="AA78" s="363"/>
      <c r="AB78" s="363">
        <f t="shared" si="7"/>
        <v>-7.4789399999999997</v>
      </c>
      <c r="AC78" s="355"/>
      <c r="AD78" s="334"/>
    </row>
    <row r="79" spans="1:30" s="387" customFormat="1" x14ac:dyDescent="0.2">
      <c r="A79" s="320" t="str">
        <f>IFERROR(VLOOKUP(B79,mapping_one_neo!A:B,2,FALSE),"")</f>
        <v/>
      </c>
      <c r="B79" s="387" t="s">
        <v>752</v>
      </c>
      <c r="C79" s="392"/>
      <c r="E79" s="393">
        <v>-43.573090000000008</v>
      </c>
      <c r="G79" s="393">
        <v>-0.90865000000000007</v>
      </c>
      <c r="H79" s="393">
        <v>-2.8792499999999999</v>
      </c>
      <c r="I79" s="393">
        <v>-4.3120200000000004</v>
      </c>
      <c r="J79" s="393">
        <v>-3.7011400000000005</v>
      </c>
      <c r="K79" s="393">
        <v>-2.5051299999999994</v>
      </c>
      <c r="L79" s="393">
        <v>-1.9669000000000003</v>
      </c>
      <c r="M79" s="393">
        <v>-5.7</v>
      </c>
      <c r="N79" s="393">
        <v>-4</v>
      </c>
      <c r="O79" s="393">
        <v>-4</v>
      </c>
      <c r="P79" s="393">
        <v>-6</v>
      </c>
      <c r="Q79" s="393">
        <v>-4.0999999999999996</v>
      </c>
      <c r="R79" s="393">
        <v>-3.5</v>
      </c>
      <c r="S79" s="349"/>
      <c r="T79" s="346"/>
      <c r="U79" s="393">
        <f>SUM(U75:U78)</f>
        <v>-38.943760000000005</v>
      </c>
      <c r="V79" s="393">
        <f t="shared" ref="V79:AB79" si="8">SUM(V75:V78)</f>
        <v>0</v>
      </c>
      <c r="W79" s="393">
        <f t="shared" si="8"/>
        <v>0</v>
      </c>
      <c r="X79" s="393">
        <f t="shared" si="8"/>
        <v>0</v>
      </c>
      <c r="Y79" s="393">
        <f t="shared" si="8"/>
        <v>-38.943760000000005</v>
      </c>
      <c r="Z79" s="393">
        <f t="shared" si="8"/>
        <v>0</v>
      </c>
      <c r="AA79" s="393">
        <f t="shared" si="8"/>
        <v>0</v>
      </c>
      <c r="AB79" s="393">
        <f t="shared" si="8"/>
        <v>-38.943760000000005</v>
      </c>
      <c r="AC79" s="394"/>
      <c r="AD79" s="334"/>
    </row>
    <row r="80" spans="1:30" s="387" customFormat="1" x14ac:dyDescent="0.2">
      <c r="A80" s="320" t="str">
        <f>IFERROR(VLOOKUP(B80,mapping_one_neo!A:B,2,FALSE),"")</f>
        <v/>
      </c>
      <c r="C80" s="392"/>
      <c r="E80" s="397"/>
      <c r="G80" s="397"/>
      <c r="H80" s="397"/>
      <c r="I80" s="397"/>
      <c r="J80" s="397"/>
      <c r="K80" s="397"/>
      <c r="L80" s="397"/>
      <c r="M80" s="397"/>
      <c r="N80" s="397"/>
      <c r="O80" s="397"/>
      <c r="P80" s="397"/>
      <c r="Q80" s="397"/>
      <c r="R80" s="397"/>
      <c r="S80" s="349"/>
      <c r="T80" s="346"/>
      <c r="U80" s="397"/>
      <c r="V80" s="397"/>
      <c r="W80" s="397"/>
      <c r="X80" s="397"/>
      <c r="Y80" s="397"/>
      <c r="Z80" s="397"/>
      <c r="AA80" s="397"/>
      <c r="AB80" s="397"/>
      <c r="AC80" s="394"/>
      <c r="AD80" s="334"/>
    </row>
    <row r="81" spans="1:30" s="458" customFormat="1" x14ac:dyDescent="0.2">
      <c r="A81" s="320" t="str">
        <f>IFERROR(VLOOKUP(B81,mapping_one_neo!A:B,2,FALSE),"")</f>
        <v xml:space="preserve">Others Personal Costs </v>
      </c>
      <c r="B81" s="387" t="s">
        <v>747</v>
      </c>
      <c r="C81" s="392"/>
      <c r="D81" s="387"/>
      <c r="E81" s="397"/>
      <c r="F81" s="387"/>
      <c r="G81" s="397"/>
      <c r="H81" s="397"/>
      <c r="I81" s="397"/>
      <c r="J81" s="397"/>
      <c r="K81" s="397"/>
      <c r="L81" s="397"/>
      <c r="M81" s="397"/>
      <c r="N81" s="397"/>
      <c r="O81" s="397"/>
      <c r="P81" s="397"/>
      <c r="Q81" s="397"/>
      <c r="R81" s="397"/>
      <c r="S81" s="349"/>
      <c r="T81" s="346"/>
      <c r="U81" s="397"/>
      <c r="V81" s="397"/>
      <c r="W81" s="397"/>
      <c r="X81" s="397"/>
      <c r="Y81" s="397"/>
      <c r="Z81" s="397">
        <v>30.3892279751107</v>
      </c>
      <c r="AA81" s="397"/>
      <c r="AB81" s="397">
        <f>Z81</f>
        <v>30.3892279751107</v>
      </c>
      <c r="AC81" s="394"/>
      <c r="AD81" s="334"/>
    </row>
    <row r="82" spans="1:30" x14ac:dyDescent="0.2">
      <c r="A82" s="320" t="str">
        <f>IFERROR(VLOOKUP(B82,mapping_one_neo!A:B,2,FALSE),"")</f>
        <v/>
      </c>
      <c r="G82" s="336"/>
      <c r="H82" s="336"/>
      <c r="I82" s="336"/>
      <c r="J82" s="336">
        <v>0</v>
      </c>
      <c r="K82" s="336"/>
      <c r="L82" s="336"/>
      <c r="M82" s="336">
        <v>0</v>
      </c>
      <c r="N82" s="336"/>
      <c r="O82" s="336"/>
      <c r="P82" s="336"/>
      <c r="Q82" s="336"/>
      <c r="R82" s="336"/>
      <c r="S82" s="349"/>
      <c r="T82" s="346"/>
      <c r="U82" s="351"/>
      <c r="V82" s="351"/>
      <c r="W82" s="351"/>
      <c r="X82" s="351"/>
      <c r="Y82" s="358"/>
      <c r="Z82" s="358"/>
      <c r="AA82" s="358"/>
      <c r="AB82" s="358"/>
      <c r="AC82" s="350"/>
    </row>
    <row r="83" spans="1:30" x14ac:dyDescent="0.2">
      <c r="A83" s="320">
        <f>IFERROR(VLOOKUP(B83,mapping_one_neo!A:B,2,FALSE),"")</f>
        <v>0</v>
      </c>
      <c r="B83" s="352" t="s">
        <v>57</v>
      </c>
      <c r="C83" s="353"/>
      <c r="E83" s="354">
        <v>-260.00366843793921</v>
      </c>
      <c r="G83" s="354">
        <v>-14.901219999999999</v>
      </c>
      <c r="H83" s="354">
        <v>-24.423729999999995</v>
      </c>
      <c r="I83" s="354">
        <v>-23.112830000000002</v>
      </c>
      <c r="J83" s="354">
        <v>-19.212610000000002</v>
      </c>
      <c r="K83" s="354">
        <v>-16.32507</v>
      </c>
      <c r="L83" s="354">
        <v>-19.04739</v>
      </c>
      <c r="M83" s="354">
        <v>-24.760217295586671</v>
      </c>
      <c r="N83" s="354">
        <v>-21.925321462253336</v>
      </c>
      <c r="O83" s="354">
        <v>-22.242061045586674</v>
      </c>
      <c r="P83" s="354">
        <v>-24.338092295586669</v>
      </c>
      <c r="Q83" s="354">
        <v>-22.638092295586667</v>
      </c>
      <c r="R83" s="354">
        <v>-27.077034043339125</v>
      </c>
      <c r="S83" s="349"/>
      <c r="T83" s="346"/>
      <c r="U83" s="354">
        <f>U72+U79</f>
        <v>-72.123960000000011</v>
      </c>
      <c r="V83" s="354">
        <f t="shared" ref="V83:AA83" si="9">V72+V79</f>
        <v>-136.41302000000002</v>
      </c>
      <c r="W83" s="354">
        <f t="shared" si="9"/>
        <v>0</v>
      </c>
      <c r="X83" s="354">
        <f t="shared" si="9"/>
        <v>-9.5830000000000002</v>
      </c>
      <c r="Y83" s="354">
        <f t="shared" si="9"/>
        <v>-218.11998</v>
      </c>
      <c r="Z83" s="354">
        <f>Z81</f>
        <v>30.3892279751107</v>
      </c>
      <c r="AA83" s="354">
        <f t="shared" si="9"/>
        <v>0</v>
      </c>
      <c r="AB83" s="354">
        <f>AB72+AB79+AB81</f>
        <v>-187.73075202488928</v>
      </c>
      <c r="AC83" s="350"/>
    </row>
    <row r="84" spans="1:30" x14ac:dyDescent="0.2">
      <c r="A84" s="320" t="str">
        <f>IFERROR(VLOOKUP(B84,mapping_one_neo!A:B,2,FALSE),"")</f>
        <v/>
      </c>
      <c r="S84" s="349"/>
      <c r="T84" s="346"/>
      <c r="U84" s="351"/>
      <c r="V84" s="351"/>
      <c r="W84" s="351"/>
      <c r="X84" s="351"/>
      <c r="Y84" s="358"/>
      <c r="Z84" s="358"/>
      <c r="AA84" s="358"/>
      <c r="AB84" s="358"/>
      <c r="AC84" s="350"/>
    </row>
    <row r="85" spans="1:30" x14ac:dyDescent="0.2">
      <c r="A85" s="320">
        <f>IFERROR(VLOOKUP(B85,mapping_one_neo!A:B,2,FALSE),"")</f>
        <v>0</v>
      </c>
      <c r="B85" s="352" t="s">
        <v>58</v>
      </c>
      <c r="C85" s="353"/>
      <c r="S85" s="349"/>
      <c r="T85" s="346"/>
      <c r="U85" s="351"/>
      <c r="V85" s="351"/>
      <c r="W85" s="351"/>
      <c r="X85" s="351"/>
      <c r="Y85" s="358"/>
      <c r="Z85" s="358"/>
      <c r="AA85" s="358"/>
      <c r="AB85" s="358"/>
      <c r="AC85" s="350"/>
    </row>
    <row r="86" spans="1:30" x14ac:dyDescent="0.2">
      <c r="A86" s="320">
        <f>IFERROR(VLOOKUP(B86,mapping_one_neo!A:B,2,FALSE),"")</f>
        <v>0</v>
      </c>
      <c r="B86" s="387" t="s">
        <v>59</v>
      </c>
      <c r="S86" s="349"/>
      <c r="T86" s="346"/>
      <c r="U86" s="351"/>
      <c r="V86" s="351"/>
      <c r="W86" s="351"/>
      <c r="X86" s="351"/>
      <c r="Y86" s="358"/>
      <c r="Z86" s="358"/>
      <c r="AA86" s="358"/>
      <c r="AB86" s="358"/>
      <c r="AC86" s="350"/>
    </row>
    <row r="87" spans="1:30" s="352" customFormat="1" x14ac:dyDescent="0.2">
      <c r="A87" s="320" t="str">
        <f>IFERROR(VLOOKUP(B87,mapping_one_neo!A:B,2,FALSE),"")</f>
        <v>New business/client presentation costs</v>
      </c>
      <c r="B87" s="388" t="s">
        <v>60</v>
      </c>
      <c r="C87" s="353" t="s">
        <v>153</v>
      </c>
      <c r="E87" s="356">
        <v>-9.3027399999999982</v>
      </c>
      <c r="G87" s="419">
        <v>-0.41615999999999997</v>
      </c>
      <c r="H87" s="419">
        <v>-0.42371000000000003</v>
      </c>
      <c r="I87" s="419">
        <v>-0.41617000000000004</v>
      </c>
      <c r="J87" s="419">
        <v>-0.45894999999999997</v>
      </c>
      <c r="K87" s="419">
        <v>-0.41615999999999986</v>
      </c>
      <c r="L87" s="419">
        <v>-0.4027400000000001</v>
      </c>
      <c r="M87" s="419">
        <v>-1.0356262499999989</v>
      </c>
      <c r="N87" s="419">
        <v>-0.5</v>
      </c>
      <c r="O87" s="419">
        <v>-1.3083059374999999</v>
      </c>
      <c r="P87" s="419">
        <v>-1.3083059374999999</v>
      </c>
      <c r="Q87" s="419">
        <v>-1.3083059374999999</v>
      </c>
      <c r="R87" s="419">
        <v>-1.3083059374999999</v>
      </c>
      <c r="S87" s="345"/>
      <c r="T87" s="361"/>
      <c r="U87" s="351">
        <v>-1.7</v>
      </c>
      <c r="V87" s="351"/>
      <c r="W87" s="351"/>
      <c r="X87" s="351">
        <v>0.85</v>
      </c>
      <c r="Y87" s="363">
        <f>SUM(U87:X87)</f>
        <v>-0.85</v>
      </c>
      <c r="Z87" s="363"/>
      <c r="AA87" s="363"/>
      <c r="AB87" s="363">
        <f>SUM(Y87:AA87)</f>
        <v>-0.85</v>
      </c>
      <c r="AC87" s="355"/>
      <c r="AD87" s="334"/>
    </row>
    <row r="88" spans="1:30" s="352" customFormat="1" x14ac:dyDescent="0.2">
      <c r="A88" s="320" t="str">
        <f>IFERROR(VLOOKUP(B88,mapping_one_neo!A:B,2,FALSE),"")</f>
        <v>New business/client presentation costs</v>
      </c>
      <c r="B88" s="388" t="s">
        <v>61</v>
      </c>
      <c r="C88" s="342">
        <v>625131</v>
      </c>
      <c r="E88" s="356">
        <v>-2.3610500000000005</v>
      </c>
      <c r="G88" s="419">
        <v>-0.4224</v>
      </c>
      <c r="H88" s="419">
        <v>0</v>
      </c>
      <c r="I88" s="419">
        <v>0</v>
      </c>
      <c r="J88" s="419">
        <v>0</v>
      </c>
      <c r="K88" s="419">
        <v>0</v>
      </c>
      <c r="L88" s="419">
        <v>-0.16105000000000003</v>
      </c>
      <c r="M88" s="419">
        <v>-0.29626666666666668</v>
      </c>
      <c r="N88" s="419">
        <v>-0.29626666666666668</v>
      </c>
      <c r="O88" s="419">
        <v>-0.29626666666666668</v>
      </c>
      <c r="P88" s="419">
        <v>-0.29626666666666668</v>
      </c>
      <c r="Q88" s="419">
        <v>-0.29626666666666668</v>
      </c>
      <c r="R88" s="419">
        <v>-0.29626666666666668</v>
      </c>
      <c r="S88" s="345"/>
      <c r="T88" s="361"/>
      <c r="U88" s="351">
        <v>-0.48632999999999998</v>
      </c>
      <c r="V88" s="351"/>
      <c r="W88" s="351"/>
      <c r="X88" s="351"/>
      <c r="Y88" s="363">
        <f t="shared" ref="Y88:Y89" si="10">SUM(U88:X88)</f>
        <v>-0.48632999999999998</v>
      </c>
      <c r="Z88" s="363"/>
      <c r="AA88" s="363"/>
      <c r="AB88" s="363">
        <f t="shared" ref="AB88:AB89" si="11">SUM(Y88:AA88)</f>
        <v>-0.48632999999999998</v>
      </c>
      <c r="AC88" s="355"/>
      <c r="AD88" s="334"/>
    </row>
    <row r="89" spans="1:30" s="352" customFormat="1" x14ac:dyDescent="0.2">
      <c r="A89" s="320" t="str">
        <f>IFERROR(VLOOKUP(B89,mapping_one_neo!A:B,2,FALSE),"")</f>
        <v>New business/client presentation costs</v>
      </c>
      <c r="B89" s="388" t="s">
        <v>788</v>
      </c>
      <c r="C89" s="353" t="s">
        <v>789</v>
      </c>
      <c r="E89" s="356">
        <v>-1.7195299999999998</v>
      </c>
      <c r="G89" s="419">
        <v>0</v>
      </c>
      <c r="H89" s="419">
        <v>-0.21934999999999999</v>
      </c>
      <c r="I89" s="419">
        <v>0</v>
      </c>
      <c r="J89" s="419">
        <v>-0.21328000000000003</v>
      </c>
      <c r="K89" s="419">
        <v>-4.2419999999999958E-2</v>
      </c>
      <c r="L89" s="419">
        <v>-5.4440000000000044E-2</v>
      </c>
      <c r="M89" s="419">
        <v>-0.19833999999999999</v>
      </c>
      <c r="N89" s="419">
        <v>-0.19833999999999999</v>
      </c>
      <c r="O89" s="419">
        <v>-0.19833999999999999</v>
      </c>
      <c r="P89" s="419">
        <v>-0.19833999999999999</v>
      </c>
      <c r="Q89" s="419">
        <v>-0.19833999999999999</v>
      </c>
      <c r="R89" s="419">
        <v>-0.19833999999999999</v>
      </c>
      <c r="S89" s="345"/>
      <c r="T89" s="361"/>
      <c r="U89" s="351">
        <v>-2.2641800000000001</v>
      </c>
      <c r="V89" s="351"/>
      <c r="W89" s="351"/>
      <c r="X89" s="351"/>
      <c r="Y89" s="363">
        <f t="shared" si="10"/>
        <v>-2.2641800000000001</v>
      </c>
      <c r="Z89" s="363"/>
      <c r="AA89" s="363"/>
      <c r="AB89" s="363">
        <f t="shared" si="11"/>
        <v>-2.2641800000000001</v>
      </c>
      <c r="AC89" s="355"/>
      <c r="AD89" s="334"/>
    </row>
    <row r="90" spans="1:30" s="387" customFormat="1" x14ac:dyDescent="0.2">
      <c r="A90" s="320">
        <f>IFERROR(VLOOKUP(B90,mapping_one_neo!A:B,2,FALSE),"")</f>
        <v>0</v>
      </c>
      <c r="B90" s="387" t="s">
        <v>63</v>
      </c>
      <c r="C90" s="392"/>
      <c r="E90" s="393">
        <v>-13.383319999999998</v>
      </c>
      <c r="G90" s="393">
        <v>-0.83855999999999997</v>
      </c>
      <c r="H90" s="393">
        <v>-0.64305999999999996</v>
      </c>
      <c r="I90" s="393">
        <v>-0.41617000000000004</v>
      </c>
      <c r="J90" s="393">
        <v>-0.67222999999999999</v>
      </c>
      <c r="K90" s="393">
        <v>-0.45857999999999982</v>
      </c>
      <c r="L90" s="393">
        <v>-0.61823000000000017</v>
      </c>
      <c r="M90" s="393">
        <v>-1.5302329166666655</v>
      </c>
      <c r="N90" s="393">
        <v>-0.99460666666666664</v>
      </c>
      <c r="O90" s="393">
        <v>-1.8029126041666665</v>
      </c>
      <c r="P90" s="393">
        <v>-1.8029126041666665</v>
      </c>
      <c r="Q90" s="393">
        <v>-1.8029126041666665</v>
      </c>
      <c r="R90" s="393">
        <v>-1.8029126041666665</v>
      </c>
      <c r="S90" s="349"/>
      <c r="T90" s="346"/>
      <c r="U90" s="393">
        <f>SUM(U87:U89)</f>
        <v>-4.4505099999999995</v>
      </c>
      <c r="V90" s="393">
        <f t="shared" ref="V90:AA90" si="12">SUM(V88:V89)</f>
        <v>0</v>
      </c>
      <c r="W90" s="393">
        <f>SUM(W87:W89)</f>
        <v>0</v>
      </c>
      <c r="X90" s="393">
        <f>SUM(X87:X89)</f>
        <v>0.85</v>
      </c>
      <c r="Y90" s="395">
        <f>SUM(Y87:Y89)</f>
        <v>-3.6005099999999999</v>
      </c>
      <c r="Z90" s="395">
        <f t="shared" si="12"/>
        <v>0</v>
      </c>
      <c r="AA90" s="395">
        <f t="shared" si="12"/>
        <v>0</v>
      </c>
      <c r="AB90" s="395">
        <f>SUM(AB87:AB89)</f>
        <v>-3.6005099999999999</v>
      </c>
      <c r="AC90" s="394"/>
      <c r="AD90" s="334"/>
    </row>
    <row r="91" spans="1:30" x14ac:dyDescent="0.2">
      <c r="A91" s="320" t="str">
        <f>IFERROR(VLOOKUP(B91,mapping_one_neo!A:B,2,FALSE),"")</f>
        <v/>
      </c>
      <c r="J91" s="335">
        <v>0</v>
      </c>
      <c r="M91" s="335">
        <v>0</v>
      </c>
      <c r="S91" s="349"/>
      <c r="T91" s="346"/>
      <c r="U91" s="351"/>
      <c r="V91" s="351"/>
      <c r="W91" s="351"/>
      <c r="X91" s="351"/>
      <c r="Y91" s="358"/>
      <c r="Z91" s="358"/>
      <c r="AA91" s="358"/>
      <c r="AB91" s="358"/>
      <c r="AC91" s="350"/>
    </row>
    <row r="92" spans="1:30" x14ac:dyDescent="0.2">
      <c r="A92" s="320">
        <f>IFERROR(VLOOKUP(B92,mapping_one_neo!A:B,2,FALSE),"")</f>
        <v>0</v>
      </c>
      <c r="B92" s="387" t="s">
        <v>64</v>
      </c>
      <c r="J92" s="335">
        <v>0</v>
      </c>
      <c r="M92" s="335">
        <v>0</v>
      </c>
      <c r="S92" s="349"/>
      <c r="T92" s="346"/>
      <c r="U92" s="351"/>
      <c r="V92" s="351"/>
      <c r="W92" s="351"/>
      <c r="X92" s="351"/>
      <c r="Y92" s="358">
        <v>0</v>
      </c>
      <c r="Z92" s="358"/>
      <c r="AA92" s="358"/>
      <c r="AB92" s="358"/>
      <c r="AC92" s="350"/>
    </row>
    <row r="93" spans="1:30" s="352" customFormat="1" x14ac:dyDescent="0.2">
      <c r="A93" s="320" t="str">
        <f>IFERROR(VLOOKUP(B93,mapping_one_neo!A:B,2,FALSE),"")</f>
        <v>Advert/promotion</v>
      </c>
      <c r="B93" s="388" t="s">
        <v>65</v>
      </c>
      <c r="C93" s="396" t="s">
        <v>790</v>
      </c>
      <c r="E93" s="356">
        <v>-23.226660000000003</v>
      </c>
      <c r="G93" s="419">
        <v>-1</v>
      </c>
      <c r="H93" s="419">
        <v>-1</v>
      </c>
      <c r="I93" s="419">
        <v>-3.4225000000000003</v>
      </c>
      <c r="J93" s="419">
        <v>-1.3041599999999995</v>
      </c>
      <c r="K93" s="419">
        <v>-1</v>
      </c>
      <c r="L93" s="419">
        <v>-3.5000000000000009</v>
      </c>
      <c r="M93" s="419">
        <v>-5</v>
      </c>
      <c r="N93" s="419">
        <v>-2.5</v>
      </c>
      <c r="O93" s="419">
        <v>-1</v>
      </c>
      <c r="P93" s="419">
        <v>-1</v>
      </c>
      <c r="Q93" s="419">
        <v>-1</v>
      </c>
      <c r="R93" s="419">
        <v>-1.5</v>
      </c>
      <c r="S93" s="345"/>
      <c r="T93" s="361"/>
      <c r="U93" s="351">
        <v>-3.1304400000000006</v>
      </c>
      <c r="V93" s="351"/>
      <c r="W93" s="351"/>
      <c r="X93" s="351">
        <v>-0.82499999999999996</v>
      </c>
      <c r="Y93" s="363">
        <f>SUM(U93:X93)</f>
        <v>-3.9554400000000003</v>
      </c>
      <c r="Z93" s="363"/>
      <c r="AA93" s="363"/>
      <c r="AB93" s="363">
        <f>SUM(Y93:AA93)</f>
        <v>-3.9554400000000003</v>
      </c>
      <c r="AC93" s="355"/>
    </row>
    <row r="94" spans="1:30" s="352" customFormat="1" x14ac:dyDescent="0.2">
      <c r="A94" s="320" t="str">
        <f>IFERROR(VLOOKUP(B94,mapping_one_neo!A:B,2,FALSE),"")</f>
        <v>Advert/promotion</v>
      </c>
      <c r="B94" s="388" t="s">
        <v>66</v>
      </c>
      <c r="C94" s="353">
        <v>623400</v>
      </c>
      <c r="E94" s="356">
        <v>-3</v>
      </c>
      <c r="G94" s="419">
        <v>0</v>
      </c>
      <c r="H94" s="419">
        <v>0</v>
      </c>
      <c r="I94" s="419">
        <v>0</v>
      </c>
      <c r="J94" s="419">
        <v>0</v>
      </c>
      <c r="K94" s="419">
        <v>0</v>
      </c>
      <c r="L94" s="419">
        <v>0</v>
      </c>
      <c r="M94" s="419">
        <v>0</v>
      </c>
      <c r="N94" s="419">
        <v>0</v>
      </c>
      <c r="O94" s="419"/>
      <c r="P94" s="419"/>
      <c r="Q94" s="419"/>
      <c r="R94" s="419">
        <v>-3</v>
      </c>
      <c r="S94" s="345"/>
      <c r="T94" s="361"/>
      <c r="U94" s="351">
        <v>0.90203999999999995</v>
      </c>
      <c r="V94" s="362"/>
      <c r="W94" s="362"/>
      <c r="X94" s="362">
        <v>-0.1</v>
      </c>
      <c r="Y94" s="363">
        <f>SUM(U94:X94)</f>
        <v>0.80203999999999998</v>
      </c>
      <c r="Z94" s="363"/>
      <c r="AA94" s="363"/>
      <c r="AB94" s="363">
        <f>SUM(Y94:AA94)</f>
        <v>0.80203999999999998</v>
      </c>
      <c r="AC94" s="355"/>
      <c r="AD94" s="334"/>
    </row>
    <row r="95" spans="1:30" s="387" customFormat="1" x14ac:dyDescent="0.2">
      <c r="A95" s="320">
        <f>IFERROR(VLOOKUP(B95,mapping_one_neo!A:B,2,FALSE),"")</f>
        <v>0</v>
      </c>
      <c r="B95" s="387" t="s">
        <v>67</v>
      </c>
      <c r="C95" s="392"/>
      <c r="E95" s="393">
        <v>-26.226660000000003</v>
      </c>
      <c r="G95" s="393">
        <v>-1</v>
      </c>
      <c r="H95" s="393">
        <v>-1</v>
      </c>
      <c r="I95" s="393">
        <v>-3.4225000000000003</v>
      </c>
      <c r="J95" s="393">
        <v>-1.3041599999999995</v>
      </c>
      <c r="K95" s="393">
        <v>-1</v>
      </c>
      <c r="L95" s="393">
        <v>-3.5000000000000009</v>
      </c>
      <c r="M95" s="393">
        <v>-5</v>
      </c>
      <c r="N95" s="393">
        <v>-2.5</v>
      </c>
      <c r="O95" s="393">
        <v>-1</v>
      </c>
      <c r="P95" s="393">
        <v>-1</v>
      </c>
      <c r="Q95" s="393">
        <v>-1</v>
      </c>
      <c r="R95" s="393">
        <v>-4.5</v>
      </c>
      <c r="S95" s="349"/>
      <c r="T95" s="346"/>
      <c r="U95" s="393">
        <f>SUM(U93:U94)</f>
        <v>-2.2284000000000006</v>
      </c>
      <c r="V95" s="393">
        <f t="shared" ref="V95:AB95" si="13">SUM(V93:V94)</f>
        <v>0</v>
      </c>
      <c r="W95" s="393">
        <f t="shared" si="13"/>
        <v>0</v>
      </c>
      <c r="X95" s="393">
        <f t="shared" si="13"/>
        <v>-0.92499999999999993</v>
      </c>
      <c r="Y95" s="393">
        <f t="shared" si="13"/>
        <v>-3.1534000000000004</v>
      </c>
      <c r="Z95" s="393">
        <f t="shared" si="13"/>
        <v>0</v>
      </c>
      <c r="AA95" s="393">
        <f t="shared" si="13"/>
        <v>0</v>
      </c>
      <c r="AB95" s="393">
        <f t="shared" si="13"/>
        <v>-3.1534000000000004</v>
      </c>
      <c r="AC95" s="394"/>
      <c r="AD95" s="334"/>
    </row>
    <row r="96" spans="1:30" x14ac:dyDescent="0.2">
      <c r="A96" s="320" t="str">
        <f>IFERROR(VLOOKUP(B96,mapping_one_neo!A:B,2,FALSE),"")</f>
        <v/>
      </c>
      <c r="J96" s="335">
        <v>0</v>
      </c>
      <c r="M96" s="335">
        <v>0</v>
      </c>
      <c r="S96" s="349"/>
      <c r="T96" s="346"/>
      <c r="U96" s="351"/>
      <c r="V96" s="351"/>
      <c r="W96" s="351"/>
      <c r="X96" s="351"/>
      <c r="Y96" s="358"/>
      <c r="Z96" s="358"/>
      <c r="AA96" s="358"/>
      <c r="AB96" s="358"/>
      <c r="AC96" s="350"/>
    </row>
    <row r="97" spans="1:30" x14ac:dyDescent="0.2">
      <c r="A97" s="320">
        <f>IFERROR(VLOOKUP(B97,mapping_one_neo!A:B,2,FALSE),"")</f>
        <v>0</v>
      </c>
      <c r="B97" s="387" t="s">
        <v>68</v>
      </c>
      <c r="J97" s="335">
        <v>0</v>
      </c>
      <c r="M97" s="335">
        <v>0</v>
      </c>
      <c r="S97" s="349"/>
      <c r="T97" s="346"/>
      <c r="U97" s="351"/>
      <c r="V97" s="351"/>
      <c r="W97" s="351"/>
      <c r="X97" s="351"/>
      <c r="Y97" s="358"/>
      <c r="Z97" s="358"/>
      <c r="AA97" s="358"/>
      <c r="AB97" s="358"/>
      <c r="AC97" s="350"/>
    </row>
    <row r="98" spans="1:30" s="352" customFormat="1" x14ac:dyDescent="0.2">
      <c r="A98" s="320" t="str">
        <f>IFERROR(VLOOKUP(B98,mapping_one_neo!A:B,2,FALSE),"")</f>
        <v>Research costs</v>
      </c>
      <c r="B98" s="388" t="s">
        <v>753</v>
      </c>
      <c r="C98" s="353" t="s">
        <v>154</v>
      </c>
      <c r="E98" s="356">
        <v>-236.99979333333306</v>
      </c>
      <c r="G98" s="419">
        <v>-17.916666666666668</v>
      </c>
      <c r="H98" s="419">
        <v>-18.916780000000003</v>
      </c>
      <c r="I98" s="419">
        <v>-19.405189999999997</v>
      </c>
      <c r="J98" s="419">
        <v>-20.084492592592561</v>
      </c>
      <c r="K98" s="419">
        <v>-20.084492592592554</v>
      </c>
      <c r="L98" s="419">
        <v>-16.85770481481488</v>
      </c>
      <c r="M98" s="419">
        <v>-23.311487037036901</v>
      </c>
      <c r="N98" s="419">
        <v>-20.084595925925889</v>
      </c>
      <c r="O98" s="419">
        <v>-20.084595925925889</v>
      </c>
      <c r="P98" s="419">
        <v>-20.084595925925889</v>
      </c>
      <c r="Q98" s="419">
        <v>-20.084595925925889</v>
      </c>
      <c r="R98" s="419">
        <v>-20.084595925925889</v>
      </c>
      <c r="S98" s="345"/>
      <c r="T98" s="361"/>
      <c r="U98" s="397">
        <v>-202.37953999999999</v>
      </c>
      <c r="V98" s="362"/>
      <c r="W98" s="362"/>
      <c r="X98" s="351">
        <v>-28.1</v>
      </c>
      <c r="Y98" s="363">
        <f>SUM(U98:X98)</f>
        <v>-230.47953999999999</v>
      </c>
      <c r="Z98" s="363"/>
      <c r="AA98" s="363"/>
      <c r="AB98" s="363">
        <v>-230.47953999999999</v>
      </c>
      <c r="AC98" s="355"/>
      <c r="AD98" s="334"/>
    </row>
    <row r="99" spans="1:30" s="352" customFormat="1" x14ac:dyDescent="0.2">
      <c r="A99" s="320" t="str">
        <f>IFERROR(VLOOKUP(B99,mapping_one_neo!A:B,2,FALSE),"")</f>
        <v>Other commercial costs</v>
      </c>
      <c r="B99" s="388" t="s">
        <v>754</v>
      </c>
      <c r="C99" s="353">
        <v>607178</v>
      </c>
      <c r="E99" s="356">
        <v>-57</v>
      </c>
      <c r="G99" s="419">
        <v>-4.75</v>
      </c>
      <c r="H99" s="419">
        <v>-4.75</v>
      </c>
      <c r="I99" s="419">
        <v>-4.75</v>
      </c>
      <c r="J99" s="419">
        <v>-4.75</v>
      </c>
      <c r="K99" s="419">
        <v>-4.75</v>
      </c>
      <c r="L99" s="419">
        <v>-4.0189999999999984</v>
      </c>
      <c r="M99" s="419">
        <v>-4.75</v>
      </c>
      <c r="N99" s="419">
        <v>-4.75</v>
      </c>
      <c r="O99" s="419">
        <v>-4.75</v>
      </c>
      <c r="P99" s="419">
        <v>-4.75</v>
      </c>
      <c r="Q99" s="419">
        <v>-4.75</v>
      </c>
      <c r="R99" s="419">
        <v>-5.4809999999999999</v>
      </c>
      <c r="S99" s="345" t="s">
        <v>134</v>
      </c>
      <c r="T99" s="361"/>
      <c r="U99" s="397">
        <v>-50.756</v>
      </c>
      <c r="V99" s="362"/>
      <c r="W99" s="362"/>
      <c r="X99" s="362">
        <v>-0.9</v>
      </c>
      <c r="Y99" s="363">
        <f>SUM(U99:X99)</f>
        <v>-51.655999999999999</v>
      </c>
      <c r="Z99" s="363"/>
      <c r="AA99" s="363"/>
      <c r="AB99" s="363">
        <v>-51.655999999999999</v>
      </c>
      <c r="AC99" s="355"/>
      <c r="AD99" s="334"/>
    </row>
    <row r="100" spans="1:30" s="387" customFormat="1" x14ac:dyDescent="0.2">
      <c r="A100" s="320">
        <f>IFERROR(VLOOKUP(B100,mapping_one_neo!A:B,2,FALSE),"")</f>
        <v>0</v>
      </c>
      <c r="B100" s="387" t="s">
        <v>69</v>
      </c>
      <c r="C100" s="392"/>
      <c r="E100" s="393">
        <v>-293.99979333333306</v>
      </c>
      <c r="G100" s="393">
        <v>-22.666666666666668</v>
      </c>
      <c r="H100" s="393">
        <v>-23.666780000000003</v>
      </c>
      <c r="I100" s="393">
        <v>-24.155189999999997</v>
      </c>
      <c r="J100" s="393">
        <v>-24.834492592592561</v>
      </c>
      <c r="K100" s="393">
        <v>-24.834492592592554</v>
      </c>
      <c r="L100" s="393">
        <v>-20.876704814814879</v>
      </c>
      <c r="M100" s="393">
        <v>-28.061487037036901</v>
      </c>
      <c r="N100" s="393">
        <v>-24.834595925925889</v>
      </c>
      <c r="O100" s="393">
        <v>-24.834595925925889</v>
      </c>
      <c r="P100" s="393">
        <v>-24.834595925925889</v>
      </c>
      <c r="Q100" s="393">
        <v>-24.834595925925889</v>
      </c>
      <c r="R100" s="393">
        <v>-25.565595925925891</v>
      </c>
      <c r="S100" s="349"/>
      <c r="T100" s="346"/>
      <c r="U100" s="393">
        <f>SUM(U98:U99)</f>
        <v>-253.13553999999999</v>
      </c>
      <c r="V100" s="393">
        <f t="shared" ref="V100:AA100" si="14">SUM(V98:V99)</f>
        <v>0</v>
      </c>
      <c r="W100" s="393">
        <f t="shared" si="14"/>
        <v>0</v>
      </c>
      <c r="X100" s="393">
        <f t="shared" si="14"/>
        <v>-29</v>
      </c>
      <c r="Y100" s="393">
        <f t="shared" si="14"/>
        <v>-282.13553999999999</v>
      </c>
      <c r="Z100" s="393">
        <f t="shared" si="14"/>
        <v>0</v>
      </c>
      <c r="AA100" s="393">
        <f t="shared" si="14"/>
        <v>0</v>
      </c>
      <c r="AB100" s="393">
        <f>SUM(AB98:AB99)</f>
        <v>-282.13553999999999</v>
      </c>
      <c r="AC100" s="394"/>
      <c r="AD100" s="334"/>
    </row>
    <row r="101" spans="1:30" x14ac:dyDescent="0.2">
      <c r="A101" s="320" t="str">
        <f>IFERROR(VLOOKUP(B101,mapping_one_neo!A:B,2,FALSE),"")</f>
        <v/>
      </c>
      <c r="G101" s="336"/>
      <c r="H101" s="336"/>
      <c r="I101" s="336"/>
      <c r="J101" s="336">
        <v>0</v>
      </c>
      <c r="K101" s="336"/>
      <c r="L101" s="336"/>
      <c r="M101" s="336">
        <v>0</v>
      </c>
      <c r="N101" s="336"/>
      <c r="O101" s="336"/>
      <c r="P101" s="336"/>
      <c r="Q101" s="336"/>
      <c r="R101" s="336"/>
      <c r="S101" s="349"/>
      <c r="T101" s="346"/>
      <c r="U101" s="351"/>
      <c r="V101" s="351"/>
      <c r="W101" s="351"/>
      <c r="X101" s="351"/>
      <c r="Y101" s="358"/>
      <c r="Z101" s="358"/>
      <c r="AA101" s="358"/>
      <c r="AB101" s="358"/>
      <c r="AC101" s="350"/>
    </row>
    <row r="102" spans="1:30" s="457" customFormat="1" x14ac:dyDescent="0.2">
      <c r="A102" s="320" t="str">
        <f>IFERROR(VLOOKUP(B102,mapping_one_neo!A:B,2,FALSE),"")</f>
        <v>Other commercial costs</v>
      </c>
      <c r="B102" s="334" t="s">
        <v>819</v>
      </c>
      <c r="C102" s="337"/>
      <c r="D102" s="334"/>
      <c r="E102" s="335"/>
      <c r="F102" s="334"/>
      <c r="G102" s="336"/>
      <c r="H102" s="336"/>
      <c r="I102" s="336"/>
      <c r="J102" s="336"/>
      <c r="K102" s="336"/>
      <c r="L102" s="336"/>
      <c r="M102" s="336"/>
      <c r="N102" s="336"/>
      <c r="O102" s="336"/>
      <c r="P102" s="336"/>
      <c r="Q102" s="336"/>
      <c r="R102" s="336"/>
      <c r="S102" s="349"/>
      <c r="T102" s="346"/>
      <c r="U102" s="351"/>
      <c r="V102" s="351"/>
      <c r="W102" s="351"/>
      <c r="X102" s="351"/>
      <c r="Y102" s="358"/>
      <c r="Z102" s="358">
        <v>64.611654459635602</v>
      </c>
      <c r="AA102" s="358"/>
      <c r="AB102" s="363">
        <v>64.611654459635602</v>
      </c>
      <c r="AC102" s="350"/>
      <c r="AD102" s="334"/>
    </row>
    <row r="103" spans="1:30" x14ac:dyDescent="0.2">
      <c r="A103" s="320" t="str">
        <f>IFERROR(VLOOKUP(B103,mapping_one_neo!A:B,2,FALSE),"")</f>
        <v/>
      </c>
      <c r="G103" s="336"/>
      <c r="H103" s="336"/>
      <c r="I103" s="336"/>
      <c r="J103" s="336"/>
      <c r="K103" s="336"/>
      <c r="L103" s="336"/>
      <c r="M103" s="336"/>
      <c r="N103" s="336"/>
      <c r="O103" s="336"/>
      <c r="P103" s="336"/>
      <c r="Q103" s="336"/>
      <c r="R103" s="336"/>
      <c r="S103" s="349"/>
      <c r="T103" s="346"/>
      <c r="U103" s="351"/>
      <c r="V103" s="351"/>
      <c r="W103" s="351"/>
      <c r="X103" s="351"/>
      <c r="Y103" s="358"/>
      <c r="Z103" s="358"/>
      <c r="AA103" s="358"/>
      <c r="AB103" s="358"/>
      <c r="AC103" s="350"/>
    </row>
    <row r="104" spans="1:30" x14ac:dyDescent="0.2">
      <c r="A104" s="320">
        <f>IFERROR(VLOOKUP(B104,mapping_one_neo!A:B,2,FALSE),"")</f>
        <v>0</v>
      </c>
      <c r="B104" s="352" t="s">
        <v>71</v>
      </c>
      <c r="C104" s="353"/>
      <c r="E104" s="354">
        <v>-333.60977333333301</v>
      </c>
      <c r="G104" s="354">
        <v>-24.505226666666669</v>
      </c>
      <c r="H104" s="354">
        <v>-25.309840000000001</v>
      </c>
      <c r="I104" s="354">
        <v>-27.993859999999998</v>
      </c>
      <c r="J104" s="354">
        <v>-26.810882592592559</v>
      </c>
      <c r="K104" s="354">
        <v>-26.293072592592555</v>
      </c>
      <c r="L104" s="354">
        <v>-24.994934814814879</v>
      </c>
      <c r="M104" s="354">
        <v>-34.59171995370356</v>
      </c>
      <c r="N104" s="354">
        <v>-28.329202592592555</v>
      </c>
      <c r="O104" s="354">
        <v>-27.637508530092557</v>
      </c>
      <c r="P104" s="354">
        <v>-27.637508530092557</v>
      </c>
      <c r="Q104" s="354">
        <v>-27.637508530092557</v>
      </c>
      <c r="R104" s="354">
        <v>-31.868508530092559</v>
      </c>
      <c r="S104" s="349"/>
      <c r="T104" s="346"/>
      <c r="U104" s="354">
        <f>U95+U100+U90</f>
        <v>-259.81444999999997</v>
      </c>
      <c r="V104" s="354">
        <f t="shared" ref="V104:AA104" si="15">V95+V100</f>
        <v>0</v>
      </c>
      <c r="W104" s="354">
        <f>W95+W100+W90</f>
        <v>0</v>
      </c>
      <c r="X104" s="354">
        <f>X95+X100+X90</f>
        <v>-29.074999999999999</v>
      </c>
      <c r="Y104" s="354">
        <f>Y95+Y100+Y90</f>
        <v>-288.88944999999995</v>
      </c>
      <c r="Z104" s="354">
        <f>Z95+Z100+Z102</f>
        <v>64.611654459635602</v>
      </c>
      <c r="AA104" s="354">
        <f t="shared" si="15"/>
        <v>0</v>
      </c>
      <c r="AB104" s="354">
        <f>AB95+AB100+AB90+AB102</f>
        <v>-224.27779554036437</v>
      </c>
      <c r="AC104" s="350"/>
    </row>
    <row r="105" spans="1:30" x14ac:dyDescent="0.2">
      <c r="A105" s="320" t="str">
        <f>IFERROR(VLOOKUP(B105,mapping_one_neo!A:B,2,FALSE),"")</f>
        <v/>
      </c>
      <c r="S105" s="349"/>
      <c r="T105" s="346"/>
      <c r="U105" s="351"/>
      <c r="V105" s="351"/>
      <c r="W105" s="351"/>
      <c r="X105" s="351"/>
      <c r="Y105" s="358"/>
      <c r="Z105" s="358"/>
      <c r="AA105" s="358"/>
      <c r="AB105" s="358"/>
      <c r="AC105" s="350"/>
    </row>
    <row r="106" spans="1:30" x14ac:dyDescent="0.2">
      <c r="A106" s="320">
        <f>IFERROR(VLOOKUP(B106,mapping_one_neo!A:B,2,FALSE),"")</f>
        <v>0</v>
      </c>
      <c r="B106" s="352" t="s">
        <v>72</v>
      </c>
      <c r="S106" s="349"/>
      <c r="T106" s="346"/>
      <c r="U106" s="351"/>
      <c r="V106" s="351"/>
      <c r="W106" s="351"/>
      <c r="X106" s="351"/>
      <c r="Y106" s="358"/>
      <c r="Z106" s="358"/>
      <c r="AA106" s="358"/>
      <c r="AB106" s="358"/>
      <c r="AC106" s="350"/>
    </row>
    <row r="107" spans="1:30" x14ac:dyDescent="0.2">
      <c r="A107" s="320" t="str">
        <f>IFERROR(VLOOKUP(B107,mapping_one_neo!A:B,2,FALSE),"")</f>
        <v/>
      </c>
      <c r="S107" s="349"/>
      <c r="T107" s="346"/>
      <c r="U107" s="351"/>
      <c r="V107" s="351"/>
      <c r="W107" s="351"/>
      <c r="X107" s="351"/>
      <c r="Y107" s="358"/>
      <c r="Z107" s="358"/>
      <c r="AA107" s="358"/>
      <c r="AB107" s="358"/>
      <c r="AC107" s="350"/>
    </row>
    <row r="108" spans="1:30" x14ac:dyDescent="0.2">
      <c r="A108" s="320">
        <f>IFERROR(VLOOKUP(B108,mapping_one_neo!A:B,2,FALSE),"")</f>
        <v>0</v>
      </c>
      <c r="B108" s="387" t="s">
        <v>73</v>
      </c>
      <c r="S108" s="349"/>
      <c r="T108" s="346"/>
      <c r="U108" s="351"/>
      <c r="V108" s="351"/>
      <c r="W108" s="351"/>
      <c r="X108" s="351"/>
      <c r="Y108" s="358"/>
      <c r="Z108" s="358"/>
      <c r="AA108" s="358"/>
      <c r="AB108" s="358"/>
      <c r="AC108" s="350"/>
    </row>
    <row r="109" spans="1:30" s="352" customFormat="1" x14ac:dyDescent="0.2">
      <c r="A109" s="320" t="str">
        <f>IFERROR(VLOOKUP(B109,mapping_one_neo!A:B,2,FALSE),"")</f>
        <v>Stationery/art &amp; materials AU=0.INP</v>
      </c>
      <c r="B109" s="388" t="s">
        <v>74</v>
      </c>
      <c r="C109" s="342" t="s">
        <v>791</v>
      </c>
      <c r="E109" s="356">
        <v>-2.4363999999999999</v>
      </c>
      <c r="G109" s="419">
        <v>-5.7919999999999999E-2</v>
      </c>
      <c r="H109" s="419">
        <v>-7.1679999999999994E-2</v>
      </c>
      <c r="I109" s="419">
        <v>-6.5049999999999997E-2</v>
      </c>
      <c r="J109" s="419">
        <v>-0.6</v>
      </c>
      <c r="K109" s="419">
        <v>-5.8430000000000093E-2</v>
      </c>
      <c r="L109" s="419">
        <v>-8.3319999999999839E-2</v>
      </c>
      <c r="M109" s="419">
        <v>-0.5</v>
      </c>
      <c r="N109" s="419">
        <v>0</v>
      </c>
      <c r="O109" s="419">
        <v>-0.5</v>
      </c>
      <c r="P109" s="419">
        <v>0</v>
      </c>
      <c r="Q109" s="419">
        <v>0</v>
      </c>
      <c r="R109" s="419">
        <v>-0.5</v>
      </c>
      <c r="S109" s="345"/>
      <c r="T109" s="361"/>
      <c r="U109" s="351">
        <v>-0.9141999999999999</v>
      </c>
      <c r="V109" s="351"/>
      <c r="W109" s="351"/>
      <c r="X109" s="351">
        <v>0</v>
      </c>
      <c r="Y109" s="363">
        <f>SUM(U109:X109)</f>
        <v>-0.9141999999999999</v>
      </c>
      <c r="Z109" s="363"/>
      <c r="AA109" s="363"/>
      <c r="AB109" s="363">
        <f>SUM(Y109:AA109)</f>
        <v>-0.9141999999999999</v>
      </c>
      <c r="AC109" s="355"/>
      <c r="AD109" s="334"/>
    </row>
    <row r="110" spans="1:30" s="352" customFormat="1" x14ac:dyDescent="0.2">
      <c r="A110" s="320" t="str">
        <f>IFERROR(VLOOKUP(B110,mapping_one_neo!A:B,2,FALSE),"")</f>
        <v>Stationery/art &amp; materials AU=0.INP</v>
      </c>
      <c r="B110" s="388" t="s">
        <v>75</v>
      </c>
      <c r="C110" s="342" t="s">
        <v>155</v>
      </c>
      <c r="E110" s="356">
        <v>-1.5</v>
      </c>
      <c r="G110" s="419">
        <v>-0.125</v>
      </c>
      <c r="H110" s="419">
        <v>-0.125</v>
      </c>
      <c r="I110" s="419">
        <v>-0.125</v>
      </c>
      <c r="J110" s="419">
        <v>-0.125</v>
      </c>
      <c r="K110" s="419">
        <v>-0.125</v>
      </c>
      <c r="L110" s="419">
        <v>-0.125</v>
      </c>
      <c r="M110" s="419">
        <v>-0.125</v>
      </c>
      <c r="N110" s="419">
        <v>-0.125</v>
      </c>
      <c r="O110" s="419">
        <v>-0.125</v>
      </c>
      <c r="P110" s="419">
        <v>-0.125</v>
      </c>
      <c r="Q110" s="419">
        <v>-0.125</v>
      </c>
      <c r="R110" s="419">
        <v>-0.125</v>
      </c>
      <c r="S110" s="389" t="s">
        <v>134</v>
      </c>
      <c r="T110" s="361"/>
      <c r="U110" s="351">
        <v>-1.6700000000000002</v>
      </c>
      <c r="V110" s="351"/>
      <c r="W110" s="351"/>
      <c r="X110" s="351">
        <v>-0.1</v>
      </c>
      <c r="Y110" s="363">
        <f t="shared" ref="Y110:Y111" si="16">SUM(U110:X110)</f>
        <v>-1.7700000000000002</v>
      </c>
      <c r="Z110" s="363"/>
      <c r="AA110" s="363">
        <v>0.61620537854259594</v>
      </c>
      <c r="AB110" s="363">
        <f t="shared" ref="AB110:AB111" si="17">SUM(Y110:AA110)</f>
        <v>-1.1537946214574042</v>
      </c>
      <c r="AC110" s="355"/>
      <c r="AD110" s="334"/>
    </row>
    <row r="111" spans="1:30" s="352" customFormat="1" x14ac:dyDescent="0.2">
      <c r="A111" s="320" t="str">
        <f>IFERROR(VLOOKUP(B111,mapping_one_neo!A:B,2,FALSE),"")</f>
        <v>Stationery/art &amp; materials AU=0.INP</v>
      </c>
      <c r="B111" s="388" t="s">
        <v>76</v>
      </c>
      <c r="C111" s="342" t="s">
        <v>156</v>
      </c>
      <c r="E111" s="356">
        <v>-1.0475000000000001</v>
      </c>
      <c r="G111" s="419">
        <v>0</v>
      </c>
      <c r="H111" s="419">
        <v>0</v>
      </c>
      <c r="I111" s="419">
        <v>0</v>
      </c>
      <c r="J111" s="419">
        <v>0</v>
      </c>
      <c r="K111" s="419">
        <v>0</v>
      </c>
      <c r="L111" s="419">
        <v>-4.7500000000000001E-2</v>
      </c>
      <c r="M111" s="419">
        <v>-1</v>
      </c>
      <c r="N111" s="419">
        <v>0</v>
      </c>
      <c r="O111" s="419">
        <v>0</v>
      </c>
      <c r="P111" s="419">
        <v>0</v>
      </c>
      <c r="Q111" s="419">
        <v>0</v>
      </c>
      <c r="R111" s="419">
        <v>0</v>
      </c>
      <c r="S111" s="345"/>
      <c r="T111" s="361"/>
      <c r="U111" s="351">
        <v>1.173</v>
      </c>
      <c r="V111" s="351"/>
      <c r="W111" s="351"/>
      <c r="X111" s="351"/>
      <c r="Y111" s="363">
        <f t="shared" si="16"/>
        <v>1.173</v>
      </c>
      <c r="Z111" s="363"/>
      <c r="AA111" s="363">
        <v>0.21951219512195114</v>
      </c>
      <c r="AB111" s="363">
        <f t="shared" si="17"/>
        <v>1.3925121951219512</v>
      </c>
      <c r="AC111" s="355"/>
      <c r="AD111" s="334"/>
    </row>
    <row r="112" spans="1:30" s="387" customFormat="1" x14ac:dyDescent="0.2">
      <c r="A112" s="320">
        <f>IFERROR(VLOOKUP(B112,mapping_one_neo!A:B,2,FALSE),"")</f>
        <v>0</v>
      </c>
      <c r="B112" s="387" t="s">
        <v>77</v>
      </c>
      <c r="C112" s="392"/>
      <c r="E112" s="393">
        <v>-4.9839000000000002</v>
      </c>
      <c r="G112" s="393">
        <v>-0.18292</v>
      </c>
      <c r="H112" s="393">
        <v>-0.19667999999999999</v>
      </c>
      <c r="I112" s="393">
        <v>-0.19005</v>
      </c>
      <c r="J112" s="393">
        <v>-0.72499999999999998</v>
      </c>
      <c r="K112" s="393">
        <v>-0.18343000000000009</v>
      </c>
      <c r="L112" s="393">
        <v>-0.25581999999999983</v>
      </c>
      <c r="M112" s="393">
        <v>-1.625</v>
      </c>
      <c r="N112" s="393">
        <v>-0.125</v>
      </c>
      <c r="O112" s="393">
        <v>-0.625</v>
      </c>
      <c r="P112" s="393">
        <v>-0.125</v>
      </c>
      <c r="Q112" s="393">
        <v>-0.125</v>
      </c>
      <c r="R112" s="393">
        <v>-0.625</v>
      </c>
      <c r="S112" s="349"/>
      <c r="T112" s="346"/>
      <c r="U112" s="393">
        <f>SUM(U109:U111)</f>
        <v>-1.4112</v>
      </c>
      <c r="V112" s="393">
        <f t="shared" ref="V112:AA112" si="18">SUM(V109:V111)</f>
        <v>0</v>
      </c>
      <c r="W112" s="393">
        <f t="shared" si="18"/>
        <v>0</v>
      </c>
      <c r="X112" s="393">
        <f t="shared" si="18"/>
        <v>-0.1</v>
      </c>
      <c r="Y112" s="393">
        <f t="shared" si="18"/>
        <v>-1.5112000000000001</v>
      </c>
      <c r="Z112" s="393">
        <f t="shared" si="18"/>
        <v>0</v>
      </c>
      <c r="AA112" s="393">
        <f t="shared" si="18"/>
        <v>0.83571757366454702</v>
      </c>
      <c r="AB112" s="393">
        <f>SUM(AB109:AB111)</f>
        <v>-0.67548242633545308</v>
      </c>
      <c r="AC112" s="394"/>
      <c r="AD112" s="334"/>
    </row>
    <row r="113" spans="1:30" s="387" customFormat="1" x14ac:dyDescent="0.2">
      <c r="A113" s="320" t="str">
        <f>IFERROR(VLOOKUP(B113,mapping_one_neo!A:B,2,FALSE),"")</f>
        <v/>
      </c>
      <c r="C113" s="392"/>
      <c r="E113" s="397"/>
      <c r="G113" s="397"/>
      <c r="H113" s="397"/>
      <c r="I113" s="397"/>
      <c r="J113" s="397"/>
      <c r="K113" s="397"/>
      <c r="L113" s="397"/>
      <c r="M113" s="397"/>
      <c r="N113" s="397"/>
      <c r="O113" s="397"/>
      <c r="P113" s="397"/>
      <c r="Q113" s="397"/>
      <c r="R113" s="397"/>
      <c r="S113" s="349"/>
      <c r="T113" s="346"/>
      <c r="U113" s="397"/>
      <c r="V113" s="397"/>
      <c r="W113" s="397"/>
      <c r="X113" s="397"/>
      <c r="Y113" s="399"/>
      <c r="Z113" s="399"/>
      <c r="AA113" s="399"/>
      <c r="AB113" s="399"/>
      <c r="AC113" s="394"/>
      <c r="AD113" s="334"/>
    </row>
    <row r="114" spans="1:30" x14ac:dyDescent="0.2">
      <c r="A114" s="320">
        <f>IFERROR(VLOOKUP(B114,mapping_one_neo!A:B,2,FALSE),"")</f>
        <v>0</v>
      </c>
      <c r="B114" s="387" t="s">
        <v>78</v>
      </c>
      <c r="G114" s="398"/>
      <c r="H114" s="398"/>
      <c r="I114" s="398"/>
      <c r="J114" s="398"/>
      <c r="K114" s="398"/>
      <c r="L114" s="398"/>
      <c r="M114" s="398"/>
      <c r="N114" s="398"/>
      <c r="O114" s="398"/>
      <c r="P114" s="398"/>
      <c r="Q114" s="398"/>
      <c r="R114" s="398"/>
      <c r="S114" s="349"/>
      <c r="T114" s="346"/>
      <c r="U114" s="351"/>
      <c r="V114" s="351"/>
      <c r="W114" s="351"/>
      <c r="X114" s="351"/>
      <c r="Y114" s="358"/>
      <c r="Z114" s="358"/>
      <c r="AA114" s="358"/>
      <c r="AB114" s="358"/>
      <c r="AC114" s="350"/>
    </row>
    <row r="115" spans="1:30" s="352" customFormat="1" x14ac:dyDescent="0.2">
      <c r="A115" s="320" t="str">
        <f>IFERROR(VLOOKUP(B115,mapping_one_neo!A:B,2,FALSE),"")</f>
        <v>Postage &amp; courier</v>
      </c>
      <c r="B115" s="388" t="s">
        <v>79</v>
      </c>
      <c r="C115" s="353">
        <v>624210</v>
      </c>
      <c r="E115" s="356">
        <v>-0.78059999999999996</v>
      </c>
      <c r="G115" s="419">
        <v>0</v>
      </c>
      <c r="H115" s="419">
        <v>-2.58E-2</v>
      </c>
      <c r="I115" s="419">
        <v>0</v>
      </c>
      <c r="J115" s="419">
        <v>0</v>
      </c>
      <c r="K115" s="419">
        <v>-0.15480000000000002</v>
      </c>
      <c r="L115" s="419">
        <v>0</v>
      </c>
      <c r="M115" s="419">
        <v>-0.2</v>
      </c>
      <c r="N115" s="419">
        <v>0</v>
      </c>
      <c r="O115" s="419">
        <v>-0.2</v>
      </c>
      <c r="P115" s="419">
        <v>0</v>
      </c>
      <c r="Q115" s="419">
        <v>0</v>
      </c>
      <c r="R115" s="419">
        <v>-0.2</v>
      </c>
      <c r="S115" s="345"/>
      <c r="T115" s="361"/>
      <c r="U115" s="351">
        <v>-0.42608000000000001</v>
      </c>
      <c r="V115" s="351"/>
      <c r="W115" s="351"/>
      <c r="X115" s="351"/>
      <c r="Y115" s="363">
        <v>-0.42608000000000001</v>
      </c>
      <c r="Z115" s="363"/>
      <c r="AA115" s="363"/>
      <c r="AB115" s="363">
        <v>-0.42608000000000001</v>
      </c>
      <c r="AC115" s="355"/>
      <c r="AD115" s="334"/>
    </row>
    <row r="116" spans="1:30" s="352" customFormat="1" x14ac:dyDescent="0.2">
      <c r="A116" s="320" t="str">
        <f>IFERROR(VLOOKUP(B116,mapping_one_neo!A:B,2,FALSE),"")</f>
        <v>Postage &amp; courier</v>
      </c>
      <c r="B116" s="388" t="s">
        <v>80</v>
      </c>
      <c r="C116" s="353">
        <v>626000</v>
      </c>
      <c r="E116" s="356">
        <v>-1.748021999999998</v>
      </c>
      <c r="G116" s="419">
        <v>-8.0930000000000002E-2</v>
      </c>
      <c r="H116" s="419">
        <v>-0.25918000000000002</v>
      </c>
      <c r="I116" s="419">
        <v>-0.13499999999999995</v>
      </c>
      <c r="J116" s="419">
        <v>-0.16423000000000004</v>
      </c>
      <c r="K116" s="419">
        <v>-6.9999999999999951E-2</v>
      </c>
      <c r="L116" s="419">
        <v>-9.4189999999999996E-2</v>
      </c>
      <c r="M116" s="419">
        <v>-0.15741533333333299</v>
      </c>
      <c r="N116" s="419">
        <v>-0.15741533333333299</v>
      </c>
      <c r="O116" s="419">
        <v>-0.15741533333333299</v>
      </c>
      <c r="P116" s="419">
        <v>-0.15741533333333299</v>
      </c>
      <c r="Q116" s="419">
        <v>-0.15741533333333299</v>
      </c>
      <c r="R116" s="419">
        <v>-0.15741533333333299</v>
      </c>
      <c r="S116" s="345"/>
      <c r="T116" s="361"/>
      <c r="U116" s="351">
        <v>-0.41016999999999998</v>
      </c>
      <c r="V116" s="351"/>
      <c r="W116" s="351"/>
      <c r="X116" s="351"/>
      <c r="Y116" s="363">
        <v>-0.41016999999999998</v>
      </c>
      <c r="Z116" s="363"/>
      <c r="AA116" s="363"/>
      <c r="AB116" s="363">
        <v>-0.41016999999999998</v>
      </c>
      <c r="AC116" s="355"/>
      <c r="AD116" s="334"/>
    </row>
    <row r="117" spans="1:30" s="387" customFormat="1" x14ac:dyDescent="0.2">
      <c r="A117" s="320">
        <f>IFERROR(VLOOKUP(B117,mapping_one_neo!A:B,2,FALSE),"")</f>
        <v>0</v>
      </c>
      <c r="B117" s="387" t="s">
        <v>81</v>
      </c>
      <c r="C117" s="392"/>
      <c r="E117" s="393">
        <v>-2.5286219999999977</v>
      </c>
      <c r="G117" s="393">
        <v>-8.0930000000000002E-2</v>
      </c>
      <c r="H117" s="393">
        <v>-0.28498000000000001</v>
      </c>
      <c r="I117" s="393">
        <v>-0.13499999999999995</v>
      </c>
      <c r="J117" s="393">
        <v>-0.16423000000000004</v>
      </c>
      <c r="K117" s="393">
        <v>-0.22479999999999997</v>
      </c>
      <c r="L117" s="393">
        <v>-9.4189999999999996E-2</v>
      </c>
      <c r="M117" s="393">
        <v>-0.35741533333333297</v>
      </c>
      <c r="N117" s="393">
        <v>-0.15741533333333299</v>
      </c>
      <c r="O117" s="393">
        <v>-0.35741533333333297</v>
      </c>
      <c r="P117" s="393">
        <v>-0.15741533333333299</v>
      </c>
      <c r="Q117" s="393">
        <v>-0.15741533333333299</v>
      </c>
      <c r="R117" s="393">
        <v>-0.35741533333333297</v>
      </c>
      <c r="S117" s="345"/>
      <c r="T117" s="346"/>
      <c r="U117" s="424">
        <f>SUM(U115:U116)</f>
        <v>-0.83624999999999994</v>
      </c>
      <c r="V117" s="424">
        <f t="shared" ref="V117:AA117" si="19">SUM(V116)</f>
        <v>0</v>
      </c>
      <c r="W117" s="424">
        <f t="shared" si="19"/>
        <v>0</v>
      </c>
      <c r="X117" s="424">
        <f>SUM(X115:X116)</f>
        <v>0</v>
      </c>
      <c r="Y117" s="424">
        <f>SUM(Y115:Y116)</f>
        <v>-0.83624999999999994</v>
      </c>
      <c r="Z117" s="424">
        <f t="shared" si="19"/>
        <v>0</v>
      </c>
      <c r="AA117" s="424">
        <f t="shared" si="19"/>
        <v>0</v>
      </c>
      <c r="AB117" s="424">
        <f>SUM(AB115:AB116)</f>
        <v>-0.83624999999999994</v>
      </c>
      <c r="AC117" s="394"/>
      <c r="AD117" s="334"/>
    </row>
    <row r="118" spans="1:30" s="387" customFormat="1" x14ac:dyDescent="0.2">
      <c r="A118" s="320" t="str">
        <f>IFERROR(VLOOKUP(B118,mapping_one_neo!A:B,2,FALSE),"")</f>
        <v/>
      </c>
      <c r="C118" s="392"/>
      <c r="E118" s="397"/>
      <c r="G118" s="397"/>
      <c r="H118" s="397"/>
      <c r="I118" s="397"/>
      <c r="J118" s="397"/>
      <c r="K118" s="397"/>
      <c r="L118" s="397"/>
      <c r="M118" s="397"/>
      <c r="N118" s="397"/>
      <c r="O118" s="397"/>
      <c r="P118" s="397"/>
      <c r="Q118" s="397"/>
      <c r="R118" s="397"/>
      <c r="S118" s="349"/>
      <c r="T118" s="346"/>
      <c r="U118" s="397"/>
      <c r="V118" s="397"/>
      <c r="W118" s="397"/>
      <c r="X118" s="397"/>
      <c r="Y118" s="399"/>
      <c r="Z118" s="399"/>
      <c r="AA118" s="399"/>
      <c r="AB118" s="399"/>
      <c r="AC118" s="394"/>
      <c r="AD118" s="334"/>
    </row>
    <row r="119" spans="1:30" s="387" customFormat="1" x14ac:dyDescent="0.2">
      <c r="A119" s="320" t="str">
        <f>IFERROR(VLOOKUP(B119,mapping_one_neo!A:B,2,FALSE),"")</f>
        <v/>
      </c>
      <c r="B119" s="387" t="s">
        <v>777</v>
      </c>
      <c r="C119" s="392"/>
      <c r="E119" s="397"/>
      <c r="G119" s="397"/>
      <c r="H119" s="397"/>
      <c r="I119" s="397"/>
      <c r="J119" s="397"/>
      <c r="K119" s="397"/>
      <c r="L119" s="397"/>
      <c r="M119" s="397"/>
      <c r="N119" s="397"/>
      <c r="O119" s="397"/>
      <c r="P119" s="397"/>
      <c r="Q119" s="397"/>
      <c r="R119" s="397"/>
      <c r="S119" s="349"/>
      <c r="T119" s="346"/>
      <c r="U119" s="397"/>
      <c r="V119" s="397"/>
      <c r="W119" s="397"/>
      <c r="X119" s="397"/>
      <c r="Y119" s="399"/>
      <c r="Z119" s="399"/>
      <c r="AA119" s="399"/>
      <c r="AB119" s="399"/>
      <c r="AC119" s="394"/>
      <c r="AD119" s="334"/>
    </row>
    <row r="120" spans="1:30" s="387" customFormat="1" x14ac:dyDescent="0.2">
      <c r="A120" s="320" t="str">
        <f>IFERROR(VLOOKUP(B120,mapping_one_neo!A:B,2,FALSE),"")</f>
        <v>Other office costs AU=0.INP</v>
      </c>
      <c r="B120" s="352" t="s">
        <v>767</v>
      </c>
      <c r="C120" s="353">
        <v>615600</v>
      </c>
      <c r="E120" s="356">
        <v>-1.98</v>
      </c>
      <c r="G120" s="397"/>
      <c r="H120" s="397"/>
      <c r="I120" s="397"/>
      <c r="J120" s="397"/>
      <c r="K120" s="397">
        <v>-1.98</v>
      </c>
      <c r="L120" s="397"/>
      <c r="M120" s="397"/>
      <c r="N120" s="397"/>
      <c r="O120" s="397"/>
      <c r="P120" s="397"/>
      <c r="Q120" s="397"/>
      <c r="R120" s="397"/>
      <c r="S120" s="349"/>
      <c r="T120" s="346"/>
      <c r="U120" s="351">
        <v>-1.173</v>
      </c>
      <c r="V120" s="397"/>
      <c r="W120" s="397"/>
      <c r="X120" s="397"/>
      <c r="Y120" s="363">
        <v>-1.173</v>
      </c>
      <c r="Z120" s="399"/>
      <c r="AA120" s="399"/>
      <c r="AB120" s="363">
        <v>-1.173</v>
      </c>
      <c r="AC120" s="394"/>
      <c r="AD120" s="334"/>
    </row>
    <row r="121" spans="1:30" s="387" customFormat="1" x14ac:dyDescent="0.2">
      <c r="A121" s="320" t="str">
        <f>IFERROR(VLOOKUP(B121,mapping_one_neo!A:B,2,FALSE),"")</f>
        <v>Other office costs AU=0.INP</v>
      </c>
      <c r="B121" s="352" t="s">
        <v>778</v>
      </c>
      <c r="C121" s="353">
        <v>624211</v>
      </c>
      <c r="E121" s="356">
        <v>-0.98099999999999998</v>
      </c>
      <c r="G121" s="397"/>
      <c r="H121" s="397"/>
      <c r="I121" s="397"/>
      <c r="J121" s="397"/>
      <c r="K121" s="397">
        <v>-0.98099999999999998</v>
      </c>
      <c r="L121" s="397"/>
      <c r="M121" s="397"/>
      <c r="N121" s="397"/>
      <c r="O121" s="397"/>
      <c r="P121" s="397"/>
      <c r="Q121" s="397"/>
      <c r="R121" s="397"/>
      <c r="S121" s="349"/>
      <c r="T121" s="346"/>
      <c r="U121" s="351">
        <v>0</v>
      </c>
      <c r="V121" s="397"/>
      <c r="W121" s="397"/>
      <c r="X121" s="397"/>
      <c r="Y121" s="363">
        <v>0</v>
      </c>
      <c r="Z121" s="399"/>
      <c r="AA121" s="399"/>
      <c r="AB121" s="363">
        <v>0</v>
      </c>
      <c r="AC121" s="394"/>
      <c r="AD121" s="334"/>
    </row>
    <row r="122" spans="1:30" s="387" customFormat="1" x14ac:dyDescent="0.2">
      <c r="A122" s="320" t="str">
        <f>IFERROR(VLOOKUP(B122,mapping_one_neo!A:B,2,FALSE),"")</f>
        <v/>
      </c>
      <c r="B122" s="387" t="s">
        <v>779</v>
      </c>
      <c r="C122" s="392"/>
      <c r="E122" s="393">
        <v>-2.9609999999999999</v>
      </c>
      <c r="G122" s="393">
        <v>0</v>
      </c>
      <c r="H122" s="393">
        <v>0</v>
      </c>
      <c r="I122" s="393">
        <v>0</v>
      </c>
      <c r="J122" s="393">
        <v>0</v>
      </c>
      <c r="K122" s="393">
        <v>-2.9609999999999999</v>
      </c>
      <c r="L122" s="393">
        <v>0</v>
      </c>
      <c r="M122" s="393">
        <v>0</v>
      </c>
      <c r="N122" s="393">
        <v>0</v>
      </c>
      <c r="O122" s="393">
        <v>0</v>
      </c>
      <c r="P122" s="393">
        <v>0</v>
      </c>
      <c r="Q122" s="393">
        <v>0</v>
      </c>
      <c r="R122" s="393">
        <v>0</v>
      </c>
      <c r="S122" s="349"/>
      <c r="T122" s="346"/>
      <c r="U122" s="393">
        <f>SUM(U120:U121)</f>
        <v>-1.173</v>
      </c>
      <c r="V122" s="393">
        <f t="shared" ref="V122:AA122" si="20">SUM(V120:V121)</f>
        <v>0</v>
      </c>
      <c r="W122" s="393">
        <f t="shared" si="20"/>
        <v>0</v>
      </c>
      <c r="X122" s="393">
        <f t="shared" si="20"/>
        <v>0</v>
      </c>
      <c r="Y122" s="393">
        <f t="shared" si="20"/>
        <v>-1.173</v>
      </c>
      <c r="Z122" s="393">
        <f t="shared" si="20"/>
        <v>0</v>
      </c>
      <c r="AA122" s="393">
        <f t="shared" si="20"/>
        <v>0</v>
      </c>
      <c r="AB122" s="393">
        <f>SUM(AB120:AB121)</f>
        <v>-1.173</v>
      </c>
      <c r="AC122" s="394"/>
      <c r="AD122" s="334"/>
    </row>
    <row r="123" spans="1:30" s="387" customFormat="1" x14ac:dyDescent="0.2">
      <c r="A123" s="320" t="str">
        <f>IFERROR(VLOOKUP(B123,mapping_one_neo!A:B,2,FALSE),"")</f>
        <v/>
      </c>
      <c r="C123" s="392"/>
      <c r="E123" s="397"/>
      <c r="G123" s="397"/>
      <c r="H123" s="397"/>
      <c r="I123" s="397"/>
      <c r="J123" s="397"/>
      <c r="K123" s="397"/>
      <c r="L123" s="397"/>
      <c r="M123" s="397"/>
      <c r="N123" s="397"/>
      <c r="O123" s="397"/>
      <c r="P123" s="397"/>
      <c r="Q123" s="397"/>
      <c r="R123" s="397"/>
      <c r="S123" s="349"/>
      <c r="T123" s="346"/>
      <c r="U123" s="397"/>
      <c r="V123" s="397"/>
      <c r="W123" s="397"/>
      <c r="X123" s="397"/>
      <c r="Y123" s="399"/>
      <c r="Z123" s="399"/>
      <c r="AA123" s="399"/>
      <c r="AB123" s="399"/>
      <c r="AC123" s="394"/>
      <c r="AD123" s="334"/>
    </row>
    <row r="124" spans="1:30" x14ac:dyDescent="0.2">
      <c r="A124" s="320">
        <f>IFERROR(VLOOKUP(B124,mapping_one_neo!A:B,2,FALSE),"")</f>
        <v>0</v>
      </c>
      <c r="B124" s="387" t="s">
        <v>82</v>
      </c>
      <c r="J124" s="335">
        <v>0</v>
      </c>
      <c r="M124" s="335">
        <v>0</v>
      </c>
      <c r="S124" s="349"/>
      <c r="T124" s="346"/>
      <c r="U124" s="351"/>
      <c r="V124" s="351"/>
      <c r="W124" s="351"/>
      <c r="X124" s="351"/>
      <c r="Y124" s="358"/>
      <c r="Z124" s="358"/>
      <c r="AA124" s="358"/>
      <c r="AB124" s="358"/>
      <c r="AC124" s="350"/>
    </row>
    <row r="125" spans="1:30" s="352" customFormat="1" x14ac:dyDescent="0.2">
      <c r="A125" s="320" t="str">
        <f>IFERROR(VLOOKUP(B125,mapping_one_neo!A:B,2,FALSE),"")</f>
        <v>Other office costs AU=0.INP</v>
      </c>
      <c r="B125" s="388" t="s">
        <v>83</v>
      </c>
      <c r="C125" s="353">
        <v>618100</v>
      </c>
      <c r="E125" s="356">
        <v>-0.57225000000000004</v>
      </c>
      <c r="G125" s="419">
        <v>-4.9939999999999998E-2</v>
      </c>
      <c r="H125" s="419">
        <v>-4.6719999999999998E-2</v>
      </c>
      <c r="I125" s="419">
        <v>-4.9940000000000012E-2</v>
      </c>
      <c r="J125" s="419">
        <v>-4.8320000000000002E-2</v>
      </c>
      <c r="K125" s="419">
        <v>-4.9939999999999984E-2</v>
      </c>
      <c r="L125" s="419">
        <v>-2.7389999999999998E-2</v>
      </c>
      <c r="M125" s="419">
        <v>-0.05</v>
      </c>
      <c r="N125" s="419">
        <v>-0.05</v>
      </c>
      <c r="O125" s="419">
        <v>-0.05</v>
      </c>
      <c r="P125" s="419">
        <v>-0.05</v>
      </c>
      <c r="Q125" s="419">
        <v>-0.05</v>
      </c>
      <c r="R125" s="419">
        <v>-0.05</v>
      </c>
      <c r="S125" s="345"/>
      <c r="T125" s="361"/>
      <c r="U125" s="351">
        <v>-2.6945600000000001</v>
      </c>
      <c r="V125" s="351"/>
      <c r="W125" s="351"/>
      <c r="X125" s="351"/>
      <c r="Y125" s="363">
        <v>-2.6945600000000001</v>
      </c>
      <c r="Z125" s="363"/>
      <c r="AA125" s="363"/>
      <c r="AB125" s="363">
        <f>SUM(Y125:AA125)</f>
        <v>-2.6945600000000001</v>
      </c>
      <c r="AC125" s="355"/>
      <c r="AD125" s="334" t="s">
        <v>134</v>
      </c>
    </row>
    <row r="126" spans="1:30" s="352" customFormat="1" x14ac:dyDescent="0.2">
      <c r="A126" s="320" t="str">
        <f>IFERROR(VLOOKUP(B126,mapping_one_neo!A:B,2,FALSE),"")</f>
        <v>Other office costs AU=0.INP</v>
      </c>
      <c r="B126" s="388" t="s">
        <v>84</v>
      </c>
      <c r="C126" s="353">
        <v>635110</v>
      </c>
      <c r="E126" s="356">
        <v>-99.999999999999986</v>
      </c>
      <c r="G126" s="419">
        <v>-8.3333333333333339</v>
      </c>
      <c r="H126" s="419">
        <v>-8.3333333333333339</v>
      </c>
      <c r="I126" s="419">
        <v>-8.3333333333333321</v>
      </c>
      <c r="J126" s="419">
        <v>-8.3333333333333357</v>
      </c>
      <c r="K126" s="419">
        <v>-8.3333333333333357</v>
      </c>
      <c r="L126" s="419">
        <v>-8.3333333333333357</v>
      </c>
      <c r="M126" s="419">
        <v>-8.3333333333333339</v>
      </c>
      <c r="N126" s="419">
        <v>-8.3333333333333339</v>
      </c>
      <c r="O126" s="419">
        <v>-8.3333333333333339</v>
      </c>
      <c r="P126" s="419">
        <v>-8.3333333333333339</v>
      </c>
      <c r="Q126" s="419">
        <v>-8.3333333333333339</v>
      </c>
      <c r="R126" s="419">
        <v>-8.3333333333333339</v>
      </c>
      <c r="S126" s="345"/>
      <c r="T126" s="361"/>
      <c r="U126" s="351">
        <v>-91.67</v>
      </c>
      <c r="V126" s="351">
        <v>-7.4999999999999997E-2</v>
      </c>
      <c r="W126" s="351"/>
      <c r="X126" s="351"/>
      <c r="Y126" s="363">
        <v>-91.745000000000005</v>
      </c>
      <c r="Z126" s="363"/>
      <c r="AA126" s="363"/>
      <c r="AB126" s="363">
        <f t="shared" ref="AB126:AB132" si="21">SUM(Y126:AA126)</f>
        <v>-91.745000000000005</v>
      </c>
      <c r="AC126" s="355"/>
      <c r="AD126" s="334"/>
    </row>
    <row r="127" spans="1:30" s="352" customFormat="1" ht="14.25" customHeight="1" x14ac:dyDescent="0.2">
      <c r="A127" s="320" t="str">
        <f>IFERROR(VLOOKUP(B127,mapping_one_neo!A:B,2,FALSE),"")</f>
        <v>Other office costs AU=0.INP</v>
      </c>
      <c r="B127" s="388" t="s">
        <v>85</v>
      </c>
      <c r="C127" s="353">
        <v>635140</v>
      </c>
      <c r="E127" s="356">
        <v>-7.9999999999999991</v>
      </c>
      <c r="G127" s="419">
        <v>-0.57099999999999995</v>
      </c>
      <c r="H127" s="419">
        <v>-0.57099999999999995</v>
      </c>
      <c r="I127" s="419">
        <v>-0.57099999999999995</v>
      </c>
      <c r="J127" s="419">
        <v>-0.57099999999999995</v>
      </c>
      <c r="K127" s="419">
        <v>-0.57099999999999973</v>
      </c>
      <c r="L127" s="419">
        <v>-0.57100000000000017</v>
      </c>
      <c r="M127" s="419">
        <v>-0.57099999999999995</v>
      </c>
      <c r="N127" s="419">
        <v>-0.57099999999999995</v>
      </c>
      <c r="O127" s="419">
        <v>-0.57099999999999995</v>
      </c>
      <c r="P127" s="419">
        <v>-0.57099999999999995</v>
      </c>
      <c r="Q127" s="419">
        <v>-0.57099999999999995</v>
      </c>
      <c r="R127" s="419">
        <v>-1.7190000000000001</v>
      </c>
      <c r="S127" s="345"/>
      <c r="T127" s="361"/>
      <c r="U127" s="425">
        <v>-4.42</v>
      </c>
      <c r="V127" s="351"/>
      <c r="W127" s="351"/>
      <c r="X127" s="351"/>
      <c r="Y127" s="363">
        <v>-4.42</v>
      </c>
      <c r="Z127" s="363"/>
      <c r="AA127" s="363"/>
      <c r="AB127" s="363">
        <f t="shared" si="21"/>
        <v>-4.42</v>
      </c>
      <c r="AC127" s="355"/>
      <c r="AD127" s="334"/>
    </row>
    <row r="128" spans="1:30" s="352" customFormat="1" ht="14.25" customHeight="1" x14ac:dyDescent="0.2">
      <c r="A128" s="320" t="str">
        <f>IFERROR(VLOOKUP(B128,mapping_one_neo!A:B,2,FALSE),"")</f>
        <v>Other office costs AU=0.INP</v>
      </c>
      <c r="B128" s="388" t="s">
        <v>712</v>
      </c>
      <c r="C128" s="353">
        <v>635800</v>
      </c>
      <c r="E128" s="356">
        <v>-1.76</v>
      </c>
      <c r="G128" s="419">
        <v>0</v>
      </c>
      <c r="H128" s="419">
        <v>0</v>
      </c>
      <c r="I128" s="419">
        <v>0</v>
      </c>
      <c r="J128" s="419">
        <v>0</v>
      </c>
      <c r="K128" s="419">
        <v>0</v>
      </c>
      <c r="L128" s="419">
        <v>0</v>
      </c>
      <c r="M128" s="419"/>
      <c r="N128" s="419">
        <v>-1.76</v>
      </c>
      <c r="O128" s="419"/>
      <c r="P128" s="419"/>
      <c r="Q128" s="419"/>
      <c r="R128" s="419"/>
      <c r="S128" s="345"/>
      <c r="T128" s="361"/>
      <c r="U128" s="425">
        <v>-0.11899999999999999</v>
      </c>
      <c r="V128" s="351"/>
      <c r="W128" s="351"/>
      <c r="X128" s="351"/>
      <c r="Y128" s="363">
        <v>-0.11899999999999999</v>
      </c>
      <c r="Z128" s="363"/>
      <c r="AA128" s="363"/>
      <c r="AB128" s="363">
        <f t="shared" si="21"/>
        <v>-0.11899999999999999</v>
      </c>
      <c r="AC128" s="355"/>
      <c r="AD128" s="334"/>
    </row>
    <row r="129" spans="1:30" s="352" customFormat="1" x14ac:dyDescent="0.2">
      <c r="A129" s="320" t="str">
        <f>IFERROR(VLOOKUP(B129,mapping_one_neo!A:B,2,FALSE),"")</f>
        <v>Other office costs AU=0.INP</v>
      </c>
      <c r="B129" s="388" t="s">
        <v>86</v>
      </c>
      <c r="C129" s="353">
        <v>637100</v>
      </c>
      <c r="E129" s="356">
        <v>0</v>
      </c>
      <c r="G129" s="419">
        <v>-0.8</v>
      </c>
      <c r="H129" s="419">
        <v>0.8</v>
      </c>
      <c r="I129" s="419">
        <v>0</v>
      </c>
      <c r="J129" s="419">
        <v>0</v>
      </c>
      <c r="K129" s="419">
        <v>0</v>
      </c>
      <c r="L129" s="419">
        <v>0</v>
      </c>
      <c r="M129" s="419">
        <v>0</v>
      </c>
      <c r="N129" s="419">
        <v>0</v>
      </c>
      <c r="O129" s="419">
        <v>0</v>
      </c>
      <c r="P129" s="419">
        <v>0</v>
      </c>
      <c r="Q129" s="419">
        <v>0</v>
      </c>
      <c r="R129" s="419">
        <v>0</v>
      </c>
      <c r="S129" s="345"/>
      <c r="T129" s="361"/>
      <c r="U129" s="351">
        <v>0</v>
      </c>
      <c r="V129" s="351"/>
      <c r="W129" s="351"/>
      <c r="X129" s="351"/>
      <c r="Y129" s="363">
        <v>0</v>
      </c>
      <c r="Z129" s="363"/>
      <c r="AA129" s="363"/>
      <c r="AB129" s="363">
        <f t="shared" si="21"/>
        <v>0</v>
      </c>
      <c r="AC129" s="355"/>
      <c r="AD129" s="334"/>
    </row>
    <row r="130" spans="1:30" s="352" customFormat="1" x14ac:dyDescent="0.2">
      <c r="A130" s="320" t="str">
        <f>IFERROR(VLOOKUP(B130,mapping_one_neo!A:B,2,FALSE),"")</f>
        <v>Other office costs AU=0.INP</v>
      </c>
      <c r="B130" s="388" t="s">
        <v>87</v>
      </c>
      <c r="C130" s="353">
        <v>658201</v>
      </c>
      <c r="E130" s="356">
        <v>-4.9999999999999982</v>
      </c>
      <c r="G130" s="419">
        <v>-0.21203709999999998</v>
      </c>
      <c r="H130" s="419">
        <v>-0.28796289999999991</v>
      </c>
      <c r="I130" s="419">
        <v>-0.25000000000000011</v>
      </c>
      <c r="J130" s="419">
        <v>-0.24999999999999978</v>
      </c>
      <c r="K130" s="419">
        <v>-0.25000000000000022</v>
      </c>
      <c r="L130" s="419">
        <v>-0.25</v>
      </c>
      <c r="M130" s="419">
        <v>-0.58333333333333326</v>
      </c>
      <c r="N130" s="419">
        <v>-0.58333333333333326</v>
      </c>
      <c r="O130" s="419">
        <v>-0.58333333333333326</v>
      </c>
      <c r="P130" s="419">
        <v>-0.58333333333333326</v>
      </c>
      <c r="Q130" s="419">
        <v>-0.58333333333333326</v>
      </c>
      <c r="R130" s="419">
        <v>-0.58333333333333326</v>
      </c>
      <c r="S130" s="345"/>
      <c r="T130" s="361"/>
      <c r="U130" s="351">
        <v>-3.33</v>
      </c>
      <c r="V130" s="351"/>
      <c r="W130" s="351"/>
      <c r="X130" s="351">
        <v>-0.1</v>
      </c>
      <c r="Y130" s="363">
        <v>-3.43</v>
      </c>
      <c r="Z130" s="363"/>
      <c r="AA130" s="363"/>
      <c r="AB130" s="363">
        <f t="shared" si="21"/>
        <v>-3.43</v>
      </c>
      <c r="AC130" s="355"/>
      <c r="AD130" s="334"/>
    </row>
    <row r="131" spans="1:30" s="352" customFormat="1" x14ac:dyDescent="0.2">
      <c r="A131" s="320" t="str">
        <f>IFERROR(VLOOKUP(B131,mapping_one_neo!A:B,2,FALSE),"")</f>
        <v>Other office costs AU=0.INP</v>
      </c>
      <c r="B131" s="388" t="s">
        <v>88</v>
      </c>
      <c r="C131" s="353">
        <v>658000</v>
      </c>
      <c r="E131" s="356">
        <v>-1.7569999999999999E-2</v>
      </c>
      <c r="G131" s="419">
        <v>-3.13E-3</v>
      </c>
      <c r="H131" s="419">
        <v>-2.8000000000000004E-3</v>
      </c>
      <c r="I131" s="419">
        <v>-3.0199999999999992E-3</v>
      </c>
      <c r="J131" s="419">
        <v>-6.5999999999999913E-4</v>
      </c>
      <c r="K131" s="419">
        <v>-3.9600000000000017E-3</v>
      </c>
      <c r="L131" s="419">
        <v>-3.9999999999999983E-3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351">
        <v>-1.2760000000000001E-2</v>
      </c>
      <c r="V131" s="351"/>
      <c r="W131" s="351"/>
      <c r="X131" s="351"/>
      <c r="Y131" s="363">
        <v>-1.2760000000000001E-2</v>
      </c>
      <c r="Z131" s="363"/>
      <c r="AA131" s="363"/>
      <c r="AB131" s="363">
        <f t="shared" si="21"/>
        <v>-1.2760000000000001E-2</v>
      </c>
      <c r="AC131" s="355"/>
      <c r="AD131" s="334"/>
    </row>
    <row r="132" spans="1:30" s="352" customFormat="1" x14ac:dyDescent="0.2">
      <c r="A132" s="320" t="str">
        <f>IFERROR(VLOOKUP(B132,mapping_one_neo!A:B,2,FALSE),"")</f>
        <v>Other office costs AU=0.INP</v>
      </c>
      <c r="B132" s="388" t="s">
        <v>89</v>
      </c>
      <c r="C132" s="353">
        <v>681124</v>
      </c>
      <c r="E132" s="356">
        <v>-2.8426974999999994</v>
      </c>
      <c r="G132" s="419">
        <v>-0.20135</v>
      </c>
      <c r="H132" s="419">
        <v>-0.18837000000000001</v>
      </c>
      <c r="I132" s="419">
        <v>-0.20132999999999995</v>
      </c>
      <c r="J132" s="419">
        <v>-0.19486000000000003</v>
      </c>
      <c r="K132" s="419">
        <v>-0.20135999999999998</v>
      </c>
      <c r="L132" s="419">
        <v>-0.19485999999999992</v>
      </c>
      <c r="M132" s="419">
        <v>-0.27676125000000001</v>
      </c>
      <c r="N132" s="419">
        <v>-0.27676125000000001</v>
      </c>
      <c r="O132" s="419">
        <v>-0.27676125000000001</v>
      </c>
      <c r="P132" s="419">
        <v>-0.27676125000000001</v>
      </c>
      <c r="Q132" s="419">
        <v>-0.27676125000000001</v>
      </c>
      <c r="R132" s="419">
        <v>-0.27676125000000001</v>
      </c>
      <c r="S132" s="345"/>
      <c r="T132" s="361"/>
      <c r="U132" s="351">
        <v>-2.8420000000000001</v>
      </c>
      <c r="V132" s="351"/>
      <c r="W132" s="351"/>
      <c r="X132" s="351"/>
      <c r="Y132" s="363">
        <v>-2.8420000000000001</v>
      </c>
      <c r="Z132" s="363"/>
      <c r="AA132" s="363"/>
      <c r="AB132" s="363">
        <f t="shared" si="21"/>
        <v>-2.8420000000000001</v>
      </c>
      <c r="AC132" s="355"/>
      <c r="AD132" s="334"/>
    </row>
    <row r="133" spans="1:30" s="352" customFormat="1" x14ac:dyDescent="0.2">
      <c r="A133" s="320" t="str">
        <f>IFERROR(VLOOKUP(B133,mapping_one_neo!A:B,2,FALSE),"")</f>
        <v>Other office costs AU=0.INP</v>
      </c>
      <c r="B133" s="388" t="s">
        <v>90</v>
      </c>
      <c r="C133" s="353"/>
      <c r="E133" s="356">
        <v>0</v>
      </c>
      <c r="G133" s="419">
        <v>0</v>
      </c>
      <c r="H133" s="419">
        <v>0</v>
      </c>
      <c r="I133" s="419">
        <v>0</v>
      </c>
      <c r="J133" s="419">
        <v>0</v>
      </c>
      <c r="K133" s="419">
        <v>0</v>
      </c>
      <c r="L133" s="419">
        <v>0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351"/>
      <c r="V133" s="351"/>
      <c r="W133" s="351"/>
      <c r="X133" s="351"/>
      <c r="Y133" s="363">
        <v>0</v>
      </c>
      <c r="Z133" s="363"/>
      <c r="AA133" s="363"/>
      <c r="AB133" s="363">
        <v>0</v>
      </c>
      <c r="AC133" s="355"/>
      <c r="AD133" s="334"/>
    </row>
    <row r="134" spans="1:30" s="352" customFormat="1" x14ac:dyDescent="0.2">
      <c r="A134" s="320" t="str">
        <f>IFERROR(VLOOKUP(B134,mapping_one_neo!A:B,2,FALSE),"")</f>
        <v>Staff Welfare</v>
      </c>
      <c r="B134" s="388" t="s">
        <v>53</v>
      </c>
      <c r="C134" s="353"/>
      <c r="E134" s="356">
        <v>0</v>
      </c>
      <c r="G134" s="419">
        <v>0</v>
      </c>
      <c r="H134" s="419">
        <v>0</v>
      </c>
      <c r="I134" s="419">
        <v>0</v>
      </c>
      <c r="J134" s="419">
        <v>0</v>
      </c>
      <c r="K134" s="419">
        <v>0</v>
      </c>
      <c r="L134" s="419">
        <v>0</v>
      </c>
      <c r="M134" s="419"/>
      <c r="N134" s="419"/>
      <c r="O134" s="419"/>
      <c r="P134" s="419"/>
      <c r="Q134" s="419"/>
      <c r="R134" s="419"/>
      <c r="S134" s="345"/>
      <c r="T134" s="361"/>
      <c r="U134" s="351"/>
      <c r="V134" s="351"/>
      <c r="W134" s="351"/>
      <c r="X134" s="351"/>
      <c r="Y134" s="363">
        <v>0</v>
      </c>
      <c r="Z134" s="363"/>
      <c r="AA134" s="363"/>
      <c r="AB134" s="363">
        <v>0</v>
      </c>
      <c r="AC134" s="355"/>
      <c r="AD134" s="334"/>
    </row>
    <row r="135" spans="1:30" s="387" customFormat="1" x14ac:dyDescent="0.2">
      <c r="A135" s="320">
        <f>IFERROR(VLOOKUP(B135,mapping_one_neo!A:B,2,FALSE),"")</f>
        <v>0</v>
      </c>
      <c r="B135" s="387" t="s">
        <v>91</v>
      </c>
      <c r="C135" s="392"/>
      <c r="E135" s="393">
        <v>-118.19251749999999</v>
      </c>
      <c r="G135" s="393">
        <v>-10.170790433333334</v>
      </c>
      <c r="H135" s="393">
        <v>-8.630186233333335</v>
      </c>
      <c r="I135" s="393">
        <v>-9.4086233333333311</v>
      </c>
      <c r="J135" s="393">
        <v>-9.3981733333333359</v>
      </c>
      <c r="K135" s="393">
        <v>-9.4095933333333335</v>
      </c>
      <c r="L135" s="393">
        <v>-9.3805833333333357</v>
      </c>
      <c r="M135" s="393">
        <v>-9.8144279166666681</v>
      </c>
      <c r="N135" s="393">
        <v>-11.574427916666668</v>
      </c>
      <c r="O135" s="393">
        <v>-9.8144279166666681</v>
      </c>
      <c r="P135" s="393">
        <v>-9.8144279166666681</v>
      </c>
      <c r="Q135" s="393">
        <v>-9.8144279166666681</v>
      </c>
      <c r="R135" s="393">
        <v>-10.962427916666668</v>
      </c>
      <c r="S135" s="349"/>
      <c r="T135" s="346"/>
      <c r="U135" s="393">
        <f>SUM(U125:U134)</f>
        <v>-105.08832</v>
      </c>
      <c r="V135" s="393">
        <f t="shared" ref="V135:AA135" si="22">SUM(V125:V134)</f>
        <v>-7.4999999999999997E-2</v>
      </c>
      <c r="W135" s="393">
        <f t="shared" si="22"/>
        <v>0</v>
      </c>
      <c r="X135" s="393">
        <f t="shared" si="22"/>
        <v>-0.1</v>
      </c>
      <c r="Y135" s="393">
        <f t="shared" si="22"/>
        <v>-105.26332000000001</v>
      </c>
      <c r="Z135" s="393">
        <f t="shared" si="22"/>
        <v>0</v>
      </c>
      <c r="AA135" s="393">
        <f t="shared" si="22"/>
        <v>0</v>
      </c>
      <c r="AB135" s="393">
        <f>SUM(AB125:AB134)</f>
        <v>-105.26332000000001</v>
      </c>
      <c r="AC135" s="394"/>
      <c r="AD135" s="334"/>
    </row>
    <row r="136" spans="1:30" s="387" customFormat="1" x14ac:dyDescent="0.2">
      <c r="A136" s="320" t="str">
        <f>IFERROR(VLOOKUP(B136,mapping_one_neo!A:B,2,FALSE),"")</f>
        <v/>
      </c>
      <c r="C136" s="392"/>
      <c r="E136" s="397"/>
      <c r="G136" s="397"/>
      <c r="H136" s="397"/>
      <c r="I136" s="397"/>
      <c r="J136" s="397"/>
      <c r="K136" s="397"/>
      <c r="L136" s="397"/>
      <c r="M136" s="397"/>
      <c r="N136" s="397"/>
      <c r="O136" s="397"/>
      <c r="P136" s="397"/>
      <c r="Q136" s="397"/>
      <c r="R136" s="397"/>
      <c r="S136" s="349"/>
      <c r="T136" s="346"/>
      <c r="U136" s="397"/>
      <c r="V136" s="397"/>
      <c r="W136" s="397"/>
      <c r="X136" s="397"/>
      <c r="Y136" s="397"/>
      <c r="Z136" s="397"/>
      <c r="AA136" s="397"/>
      <c r="AB136" s="397"/>
      <c r="AC136" s="394"/>
      <c r="AD136" s="334"/>
    </row>
    <row r="137" spans="1:30" s="458" customFormat="1" x14ac:dyDescent="0.2">
      <c r="A137" s="320" t="str">
        <f>IFERROR(VLOOKUP(B137,mapping_one_neo!A:B,2,FALSE),"")</f>
        <v>Other office costs AU=0.INP</v>
      </c>
      <c r="B137" s="387" t="s">
        <v>811</v>
      </c>
      <c r="C137" s="392"/>
      <c r="D137" s="387"/>
      <c r="E137" s="397"/>
      <c r="F137" s="387"/>
      <c r="G137" s="397"/>
      <c r="H137" s="397"/>
      <c r="I137" s="397"/>
      <c r="J137" s="397"/>
      <c r="K137" s="397"/>
      <c r="L137" s="397"/>
      <c r="M137" s="397"/>
      <c r="N137" s="397"/>
      <c r="O137" s="397"/>
      <c r="P137" s="397"/>
      <c r="Q137" s="397"/>
      <c r="R137" s="397"/>
      <c r="S137" s="349"/>
      <c r="T137" s="346"/>
      <c r="U137" s="397"/>
      <c r="V137" s="397"/>
      <c r="W137" s="397"/>
      <c r="X137" s="397"/>
      <c r="Y137" s="397"/>
      <c r="Z137" s="397">
        <v>17.419463131109438</v>
      </c>
      <c r="AA137" s="397"/>
      <c r="AB137" s="397">
        <v>17.419463131109438</v>
      </c>
      <c r="AC137" s="394"/>
      <c r="AD137" s="334"/>
    </row>
    <row r="138" spans="1:30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397"/>
      <c r="V138" s="397"/>
      <c r="W138" s="397"/>
      <c r="X138" s="397"/>
      <c r="Y138" s="399"/>
      <c r="Z138" s="399"/>
      <c r="AA138" s="399"/>
      <c r="AB138" s="399"/>
      <c r="AC138" s="394"/>
      <c r="AD138" s="334"/>
    </row>
    <row r="139" spans="1:30" x14ac:dyDescent="0.2">
      <c r="A139" s="320">
        <f>IFERROR(VLOOKUP(B139,mapping_one_neo!A:B,2,FALSE),"")</f>
        <v>0</v>
      </c>
      <c r="B139" s="352" t="s">
        <v>92</v>
      </c>
      <c r="C139" s="353"/>
      <c r="E139" s="354">
        <v>-128.66603950000001</v>
      </c>
      <c r="G139" s="354">
        <v>-10.434640433333334</v>
      </c>
      <c r="H139" s="354">
        <v>-9.1118462333333348</v>
      </c>
      <c r="I139" s="354">
        <v>-9.7336733333333303</v>
      </c>
      <c r="J139" s="354">
        <v>-10.287403333333335</v>
      </c>
      <c r="K139" s="354">
        <v>-12.778823333333333</v>
      </c>
      <c r="L139" s="354">
        <v>-9.730593333333335</v>
      </c>
      <c r="M139" s="354">
        <v>-11.796843250000002</v>
      </c>
      <c r="N139" s="354">
        <v>-11.856843250000001</v>
      </c>
      <c r="O139" s="354">
        <v>-10.796843250000002</v>
      </c>
      <c r="P139" s="354">
        <v>-10.096843250000001</v>
      </c>
      <c r="Q139" s="354">
        <v>-10.096843250000001</v>
      </c>
      <c r="R139" s="354">
        <v>-11.944843250000002</v>
      </c>
      <c r="S139" s="349"/>
      <c r="T139" s="346"/>
      <c r="U139" s="354">
        <f>U135+U122+U117+U112</f>
        <v>-108.50877</v>
      </c>
      <c r="V139" s="354">
        <f t="shared" ref="V139:AA139" si="23">V135+V122+V117+V112</f>
        <v>-7.4999999999999997E-2</v>
      </c>
      <c r="W139" s="354">
        <f t="shared" si="23"/>
        <v>0</v>
      </c>
      <c r="X139" s="354">
        <f t="shared" si="23"/>
        <v>-0.2</v>
      </c>
      <c r="Y139" s="354">
        <f t="shared" si="23"/>
        <v>-108.78377000000002</v>
      </c>
      <c r="Z139" s="354">
        <f>Z135+Z122+Z117+Z112+Z137</f>
        <v>17.419463131109438</v>
      </c>
      <c r="AA139" s="354">
        <f t="shared" si="23"/>
        <v>0.83571757366454702</v>
      </c>
      <c r="AB139" s="385">
        <f>AB135+AB122+AB117+AB112+AB137</f>
        <v>-90.528589295226027</v>
      </c>
      <c r="AC139" s="350"/>
    </row>
    <row r="140" spans="1:30" x14ac:dyDescent="0.2">
      <c r="A140" s="320" t="str">
        <f>IFERROR(VLOOKUP(B140,mapping_one_neo!A:B,2,FALSE),"")</f>
        <v/>
      </c>
      <c r="J140" s="335">
        <v>0</v>
      </c>
      <c r="M140" s="335">
        <v>0</v>
      </c>
      <c r="S140" s="349"/>
      <c r="T140" s="346"/>
      <c r="U140" s="351"/>
      <c r="V140" s="351"/>
      <c r="W140" s="351"/>
      <c r="X140" s="351"/>
      <c r="Y140" s="358"/>
      <c r="Z140" s="358"/>
      <c r="AA140" s="358"/>
      <c r="AB140" s="358"/>
      <c r="AC140" s="350"/>
    </row>
    <row r="141" spans="1:30" s="352" customFormat="1" x14ac:dyDescent="0.2">
      <c r="A141" s="320" t="str">
        <f>IFERROR(VLOOKUP(B141,mapping_one_neo!A:B,2,FALSE),"")</f>
        <v>Voice/fax communication costs</v>
      </c>
      <c r="B141" s="400" t="s">
        <v>93</v>
      </c>
      <c r="C141" s="353">
        <v>626110</v>
      </c>
      <c r="E141" s="356">
        <v>-8.0407407407407394</v>
      </c>
      <c r="G141" s="419">
        <v>-0.6</v>
      </c>
      <c r="H141" s="419">
        <v>-0.6</v>
      </c>
      <c r="I141" s="419">
        <v>-0.60000000000000009</v>
      </c>
      <c r="J141" s="419">
        <v>-0.7</v>
      </c>
      <c r="K141" s="419">
        <v>-0.36629999999999985</v>
      </c>
      <c r="L141" s="419">
        <v>-0.10000000000000053</v>
      </c>
      <c r="M141" s="419">
        <v>-0.84574012345678995</v>
      </c>
      <c r="N141" s="419">
        <v>-0.84574012345678995</v>
      </c>
      <c r="O141" s="419">
        <v>-0.84574012345678995</v>
      </c>
      <c r="P141" s="419">
        <v>-0.84574012345678995</v>
      </c>
      <c r="Q141" s="419">
        <v>-0.84574012345678995</v>
      </c>
      <c r="R141" s="419">
        <v>-0.84574012345678995</v>
      </c>
      <c r="S141" s="345"/>
      <c r="T141" s="361"/>
      <c r="U141" s="351">
        <v>-4.5438399999999994</v>
      </c>
      <c r="V141" s="351"/>
      <c r="W141" s="351"/>
      <c r="X141" s="351">
        <v>-0.7</v>
      </c>
      <c r="Y141" s="363">
        <v>-5.2438399999999996</v>
      </c>
      <c r="Z141" s="363"/>
      <c r="AA141" s="363"/>
      <c r="AB141" s="363">
        <f>SUM(Y141:AA141)</f>
        <v>-5.2438399999999996</v>
      </c>
      <c r="AC141" s="355"/>
      <c r="AD141" s="334"/>
    </row>
    <row r="142" spans="1:30" s="352" customFormat="1" x14ac:dyDescent="0.2">
      <c r="A142" s="320" t="str">
        <f>IFERROR(VLOOKUP(B142,mapping_one_neo!A:B,2,FALSE),"")</f>
        <v>Voice/fax communication costs</v>
      </c>
      <c r="B142" s="400" t="s">
        <v>94</v>
      </c>
      <c r="C142" s="353">
        <v>626110</v>
      </c>
      <c r="E142" s="356">
        <v>-4.0082500000000003</v>
      </c>
      <c r="G142" s="419">
        <v>-0.33300000000000002</v>
      </c>
      <c r="H142" s="419">
        <v>-0.33300000000000002</v>
      </c>
      <c r="I142" s="419">
        <v>-0.33300000000000007</v>
      </c>
      <c r="J142" s="419">
        <v>-0.33299999999999996</v>
      </c>
      <c r="K142" s="419">
        <v>-0.33299999999999996</v>
      </c>
      <c r="L142" s="419">
        <v>-0.33300000000000018</v>
      </c>
      <c r="M142" s="419">
        <v>-0.33475000000000005</v>
      </c>
      <c r="N142" s="419">
        <v>-0.33475000000000005</v>
      </c>
      <c r="O142" s="419">
        <v>-0.33475000000000005</v>
      </c>
      <c r="P142" s="419">
        <v>-0.33475000000000005</v>
      </c>
      <c r="Q142" s="419">
        <v>-0.33475000000000005</v>
      </c>
      <c r="R142" s="419">
        <v>-0.33650000000000002</v>
      </c>
      <c r="S142" s="389" t="s">
        <v>134</v>
      </c>
      <c r="T142" s="361"/>
      <c r="U142" s="351">
        <v>-5.42</v>
      </c>
      <c r="V142" s="351"/>
      <c r="W142" s="351"/>
      <c r="X142" s="351">
        <v>-0.1</v>
      </c>
      <c r="Y142" s="363">
        <v>-5.52</v>
      </c>
      <c r="Z142" s="363"/>
      <c r="AA142" s="443">
        <v>0.26927176432880162</v>
      </c>
      <c r="AB142" s="363">
        <f t="shared" ref="AB142:AB147" si="24">SUM(Y142:AA142)</f>
        <v>-5.2507282356711977</v>
      </c>
      <c r="AC142" s="355"/>
      <c r="AD142" s="334"/>
    </row>
    <row r="143" spans="1:30" x14ac:dyDescent="0.2">
      <c r="A143" s="320" t="str">
        <f>IFERROR(VLOOKUP(B143,mapping_one_neo!A:B,2,FALSE),"")</f>
        <v/>
      </c>
      <c r="G143" s="398">
        <v>0</v>
      </c>
      <c r="H143" s="398">
        <v>0</v>
      </c>
      <c r="I143" s="398">
        <v>0</v>
      </c>
      <c r="J143" s="398">
        <v>0</v>
      </c>
      <c r="K143" s="398">
        <v>0</v>
      </c>
      <c r="L143" s="398">
        <v>0</v>
      </c>
      <c r="M143" s="398">
        <v>0</v>
      </c>
      <c r="N143" s="398">
        <v>0</v>
      </c>
      <c r="O143" s="398"/>
      <c r="P143" s="398"/>
      <c r="Q143" s="398"/>
      <c r="R143" s="398"/>
      <c r="S143" s="349"/>
      <c r="T143" s="346"/>
      <c r="U143" s="351"/>
      <c r="V143" s="351"/>
      <c r="W143" s="351"/>
      <c r="X143" s="351"/>
      <c r="Y143" s="358"/>
      <c r="Z143" s="358"/>
      <c r="AA143" s="358"/>
      <c r="AB143" s="363">
        <f t="shared" si="24"/>
        <v>0</v>
      </c>
      <c r="AC143" s="350"/>
    </row>
    <row r="144" spans="1:30" s="352" customFormat="1" x14ac:dyDescent="0.2">
      <c r="A144" s="320" t="str">
        <f>IFERROR(VLOOKUP(B144,mapping_one_neo!A:B,2,FALSE),"")</f>
        <v>Data communication costs AU=0ADJ16</v>
      </c>
      <c r="B144" s="400" t="s">
        <v>95</v>
      </c>
      <c r="C144" s="353">
        <v>626400</v>
      </c>
      <c r="E144" s="356">
        <v>0</v>
      </c>
      <c r="G144" s="419">
        <v>0</v>
      </c>
      <c r="H144" s="419">
        <v>0</v>
      </c>
      <c r="I144" s="419">
        <v>0</v>
      </c>
      <c r="J144" s="419">
        <v>0</v>
      </c>
      <c r="K144" s="419">
        <v>0</v>
      </c>
      <c r="L144" s="419">
        <v>0</v>
      </c>
      <c r="M144" s="419">
        <v>0</v>
      </c>
      <c r="N144" s="419">
        <v>0</v>
      </c>
      <c r="O144" s="419">
        <v>0</v>
      </c>
      <c r="P144" s="419">
        <v>0</v>
      </c>
      <c r="Q144" s="419">
        <v>0</v>
      </c>
      <c r="R144" s="419">
        <v>0</v>
      </c>
      <c r="S144" s="345"/>
      <c r="T144" s="361"/>
      <c r="U144" s="351"/>
      <c r="V144" s="351"/>
      <c r="W144" s="351"/>
      <c r="X144" s="351"/>
      <c r="Y144" s="363">
        <v>0</v>
      </c>
      <c r="Z144" s="363"/>
      <c r="AA144" s="363"/>
      <c r="AB144" s="363">
        <f t="shared" si="24"/>
        <v>0</v>
      </c>
      <c r="AC144" s="355"/>
      <c r="AD144" s="334"/>
    </row>
    <row r="145" spans="1:30" s="352" customFormat="1" x14ac:dyDescent="0.2">
      <c r="A145" s="320" t="str">
        <f>IFERROR(VLOOKUP(B145,mapping_one_neo!A:B,2,FALSE),"")</f>
        <v>Data communication costs AU=0ADJ16</v>
      </c>
      <c r="B145" s="400" t="s">
        <v>96</v>
      </c>
      <c r="C145" s="353">
        <v>626400</v>
      </c>
      <c r="E145" s="356">
        <v>-0.99833333333333341</v>
      </c>
      <c r="G145" s="419">
        <v>-8.3000000000000004E-2</v>
      </c>
      <c r="H145" s="419">
        <v>-8.3000000000000004E-2</v>
      </c>
      <c r="I145" s="419">
        <v>-8.299999999999999E-2</v>
      </c>
      <c r="J145" s="419">
        <v>-8.3000000000000018E-2</v>
      </c>
      <c r="K145" s="419">
        <v>-8.3000000000000018E-2</v>
      </c>
      <c r="L145" s="419">
        <v>-8.2999999999999963E-2</v>
      </c>
      <c r="M145" s="419">
        <v>-8.3333333333333329E-2</v>
      </c>
      <c r="N145" s="419">
        <v>-8.3333333333333329E-2</v>
      </c>
      <c r="O145" s="419">
        <v>-8.3333333333333329E-2</v>
      </c>
      <c r="P145" s="419">
        <v>-8.3333333333333329E-2</v>
      </c>
      <c r="Q145" s="419">
        <v>-8.3333333333333329E-2</v>
      </c>
      <c r="R145" s="419">
        <v>-8.3666666666666598E-2</v>
      </c>
      <c r="S145" s="345"/>
      <c r="T145" s="361"/>
      <c r="U145" s="351">
        <v>-0.83000000000000007</v>
      </c>
      <c r="V145" s="362"/>
      <c r="W145" s="351"/>
      <c r="X145" s="351"/>
      <c r="Y145" s="363">
        <f>SUM(U145:X145)</f>
        <v>-0.83000000000000007</v>
      </c>
      <c r="Z145" s="363"/>
      <c r="AA145" s="363"/>
      <c r="AB145" s="363">
        <f>SUM(Y145:AA145)</f>
        <v>-0.83000000000000007</v>
      </c>
      <c r="AC145" s="355"/>
      <c r="AD145" s="334"/>
    </row>
    <row r="146" spans="1:30" x14ac:dyDescent="0.2">
      <c r="A146" s="320" t="str">
        <f>IFERROR(VLOOKUP(B146,mapping_one_neo!A:B,2,FALSE),"")</f>
        <v/>
      </c>
      <c r="G146" s="398"/>
      <c r="H146" s="398"/>
      <c r="I146" s="398"/>
      <c r="J146" s="398"/>
      <c r="K146" s="398"/>
      <c r="L146" s="398"/>
      <c r="M146" s="398"/>
      <c r="N146" s="398"/>
      <c r="O146" s="398"/>
      <c r="P146" s="398"/>
      <c r="Q146" s="398"/>
      <c r="R146" s="398"/>
      <c r="S146" s="349"/>
      <c r="T146" s="346"/>
      <c r="U146" s="351"/>
      <c r="V146" s="351"/>
      <c r="W146" s="351"/>
      <c r="X146" s="351"/>
      <c r="Y146" s="358"/>
      <c r="Z146" s="358"/>
      <c r="AA146" s="358"/>
      <c r="AB146" s="363">
        <f t="shared" si="24"/>
        <v>0</v>
      </c>
      <c r="AC146" s="350"/>
    </row>
    <row r="147" spans="1:30" x14ac:dyDescent="0.2">
      <c r="A147" s="320">
        <f>IFERROR(VLOOKUP(B147,mapping_one_neo!A:B,2,FALSE),"")</f>
        <v>0</v>
      </c>
      <c r="B147" s="387" t="s">
        <v>97</v>
      </c>
      <c r="J147" s="335">
        <v>0</v>
      </c>
      <c r="M147" s="335">
        <v>0</v>
      </c>
      <c r="S147" s="349"/>
      <c r="T147" s="346"/>
      <c r="U147" s="351"/>
      <c r="V147" s="351"/>
      <c r="W147" s="351"/>
      <c r="X147" s="351"/>
      <c r="Y147" s="358"/>
      <c r="Z147" s="358"/>
      <c r="AA147" s="358"/>
      <c r="AB147" s="363">
        <f t="shared" si="24"/>
        <v>0</v>
      </c>
      <c r="AC147" s="350"/>
    </row>
    <row r="148" spans="1:30" s="352" customFormat="1" x14ac:dyDescent="0.2">
      <c r="A148" s="320" t="str">
        <f>IFERROR(VLOOKUP(B148,mapping_one_neo!A:B,2,FALSE),"")</f>
        <v>Outsourced business systems AU=0ADJ16</v>
      </c>
      <c r="B148" s="388" t="s">
        <v>755</v>
      </c>
      <c r="C148" s="353" t="s">
        <v>157</v>
      </c>
      <c r="E148" s="356">
        <v>0</v>
      </c>
      <c r="G148" s="356">
        <v>0</v>
      </c>
      <c r="H148" s="356">
        <v>0</v>
      </c>
      <c r="I148" s="356">
        <v>0</v>
      </c>
      <c r="J148" s="356">
        <v>0</v>
      </c>
      <c r="K148" s="356">
        <v>0</v>
      </c>
      <c r="L148" s="356">
        <v>0</v>
      </c>
      <c r="M148" s="356">
        <v>0</v>
      </c>
      <c r="N148" s="356">
        <v>0</v>
      </c>
      <c r="O148" s="356">
        <v>0</v>
      </c>
      <c r="P148" s="356">
        <v>0</v>
      </c>
      <c r="Q148" s="356">
        <v>0</v>
      </c>
      <c r="R148" s="356">
        <v>0</v>
      </c>
      <c r="S148" s="345"/>
      <c r="T148" s="361"/>
      <c r="U148" s="362"/>
      <c r="V148" s="362"/>
      <c r="W148" s="362"/>
      <c r="X148" s="351"/>
      <c r="Y148" s="363"/>
      <c r="Z148" s="363"/>
      <c r="AA148" s="363"/>
      <c r="AB148" s="363"/>
      <c r="AC148" s="355"/>
      <c r="AD148" s="334"/>
    </row>
    <row r="149" spans="1:30" s="352" customFormat="1" x14ac:dyDescent="0.2">
      <c r="A149" s="320" t="str">
        <f>IFERROR(VLOOKUP(B149,mapping_one_neo!A:B,2,FALSE),"")</f>
        <v>Outsourced business systems AU=0ADJ16</v>
      </c>
      <c r="B149" s="388" t="s">
        <v>98</v>
      </c>
      <c r="C149" s="353" t="s">
        <v>157</v>
      </c>
      <c r="E149" s="356">
        <v>-18</v>
      </c>
      <c r="G149" s="419">
        <v>-1.5</v>
      </c>
      <c r="H149" s="419">
        <v>-1.5</v>
      </c>
      <c r="I149" s="419">
        <v>-1.5</v>
      </c>
      <c r="J149" s="419">
        <v>-1.5</v>
      </c>
      <c r="K149" s="419">
        <v>-1.5</v>
      </c>
      <c r="L149" s="419">
        <v>-1.5</v>
      </c>
      <c r="M149" s="419">
        <v>-1.5</v>
      </c>
      <c r="N149" s="419">
        <v>-1.5</v>
      </c>
      <c r="O149" s="419">
        <v>-1.5</v>
      </c>
      <c r="P149" s="419">
        <v>-1.5</v>
      </c>
      <c r="Q149" s="419">
        <v>-1.5</v>
      </c>
      <c r="R149" s="419">
        <v>-1.5</v>
      </c>
      <c r="S149" s="345"/>
      <c r="T149" s="361"/>
      <c r="U149" s="351">
        <v>-17.5</v>
      </c>
      <c r="V149" s="351"/>
      <c r="W149" s="351"/>
      <c r="X149" s="351"/>
      <c r="Y149" s="363">
        <f>SUM(U149:X149)</f>
        <v>-17.5</v>
      </c>
      <c r="Z149" s="363"/>
      <c r="AA149" s="363"/>
      <c r="AB149" s="363">
        <f>SUM(Y149:AA149)</f>
        <v>-17.5</v>
      </c>
      <c r="AC149" s="355"/>
      <c r="AD149" s="334"/>
    </row>
    <row r="150" spans="1:30" s="352" customFormat="1" x14ac:dyDescent="0.2">
      <c r="A150" s="320" t="str">
        <f>IFERROR(VLOOKUP(B150,mapping_one_neo!A:B,2,FALSE),"")</f>
        <v>Outsourced business systems AU=0ADJ16</v>
      </c>
      <c r="B150" s="388" t="s">
        <v>799</v>
      </c>
      <c r="C150" s="353" t="s">
        <v>157</v>
      </c>
      <c r="E150" s="356"/>
      <c r="G150" s="419"/>
      <c r="H150" s="419"/>
      <c r="I150" s="419"/>
      <c r="J150" s="419"/>
      <c r="K150" s="419"/>
      <c r="L150" s="419"/>
      <c r="M150" s="419"/>
      <c r="N150" s="419"/>
      <c r="O150" s="419"/>
      <c r="P150" s="419"/>
      <c r="Q150" s="419"/>
      <c r="R150" s="419"/>
      <c r="S150" s="345"/>
      <c r="T150" s="361"/>
      <c r="U150" s="351">
        <v>-0.58000000000000007</v>
      </c>
      <c r="V150" s="351"/>
      <c r="W150" s="351"/>
      <c r="X150" s="351"/>
      <c r="Y150" s="363">
        <f t="shared" ref="Y150:Y157" si="25">SUM(U150:X150)</f>
        <v>-0.58000000000000007</v>
      </c>
      <c r="Z150" s="363"/>
      <c r="AA150" s="363"/>
      <c r="AB150" s="363">
        <f t="shared" ref="AB150:AB157" si="26">SUM(Y150:AA150)</f>
        <v>-0.58000000000000007</v>
      </c>
      <c r="AC150" s="355"/>
      <c r="AD150" s="334"/>
    </row>
    <row r="151" spans="1:30" s="352" customFormat="1" x14ac:dyDescent="0.2">
      <c r="A151" s="320" t="str">
        <f>IFERROR(VLOOKUP(B151,mapping_one_neo!A:B,2,FALSE),"")</f>
        <v>Computer equipment maintenance/service AU=0ADJ16</v>
      </c>
      <c r="B151" s="388" t="s">
        <v>99</v>
      </c>
      <c r="C151" s="353">
        <v>615620</v>
      </c>
      <c r="E151" s="356">
        <v>-0.61181084444444411</v>
      </c>
      <c r="G151" s="419">
        <v>0</v>
      </c>
      <c r="H151" s="419">
        <v>0</v>
      </c>
      <c r="I151" s="419">
        <v>0</v>
      </c>
      <c r="J151" s="419">
        <v>0</v>
      </c>
      <c r="K151" s="419">
        <v>0</v>
      </c>
      <c r="L151" s="419">
        <v>0</v>
      </c>
      <c r="M151" s="419">
        <v>-0.101968474074074</v>
      </c>
      <c r="N151" s="419">
        <v>-0.101968474074074</v>
      </c>
      <c r="O151" s="419">
        <v>-0.101968474074074</v>
      </c>
      <c r="P151" s="419">
        <v>-0.101968474074074</v>
      </c>
      <c r="Q151" s="419">
        <v>-0.101968474074074</v>
      </c>
      <c r="R151" s="419">
        <v>-0.101968474074074</v>
      </c>
      <c r="S151" s="345"/>
      <c r="T151" s="361"/>
      <c r="U151" s="351">
        <v>-4.0660700000000034</v>
      </c>
      <c r="V151" s="351"/>
      <c r="W151" s="351"/>
      <c r="X151" s="351">
        <v>-1.76</v>
      </c>
      <c r="Y151" s="363">
        <f t="shared" si="25"/>
        <v>-5.8260700000000032</v>
      </c>
      <c r="Z151" s="363"/>
      <c r="AA151" s="363"/>
      <c r="AB151" s="363">
        <f t="shared" si="26"/>
        <v>-5.8260700000000032</v>
      </c>
      <c r="AC151" s="355"/>
      <c r="AD151" s="334"/>
    </row>
    <row r="152" spans="1:30" s="352" customFormat="1" x14ac:dyDescent="0.2">
      <c r="A152" s="320" t="str">
        <f>IFERROR(VLOOKUP(B152,mapping_one_neo!A:B,2,FALSE),"")</f>
        <v>Outsourced business systems AU=0ADJ16</v>
      </c>
      <c r="B152" s="388" t="s">
        <v>100</v>
      </c>
      <c r="C152" s="353" t="s">
        <v>157</v>
      </c>
      <c r="E152" s="356">
        <v>-5.7623066666666656</v>
      </c>
      <c r="G152" s="419">
        <v>-0.47642000000000029</v>
      </c>
      <c r="H152" s="419">
        <v>-0.44569000000000059</v>
      </c>
      <c r="I152" s="419">
        <v>-0.4764199999999994</v>
      </c>
      <c r="J152" s="419">
        <v>-0.46104999999999863</v>
      </c>
      <c r="K152" s="419">
        <v>-0.47642000000000095</v>
      </c>
      <c r="L152" s="419">
        <v>-0.46106000000000025</v>
      </c>
      <c r="M152" s="419">
        <v>-0.4916666666666667</v>
      </c>
      <c r="N152" s="419">
        <v>-0.4916666666666667</v>
      </c>
      <c r="O152" s="419">
        <v>-0.4916666666666667</v>
      </c>
      <c r="P152" s="419">
        <v>-0.4916666666666667</v>
      </c>
      <c r="Q152" s="419">
        <v>-0.4916666666666667</v>
      </c>
      <c r="R152" s="419">
        <v>-0.50691333333333199</v>
      </c>
      <c r="S152" s="345"/>
      <c r="T152" s="361"/>
      <c r="U152" s="351">
        <v>-25</v>
      </c>
      <c r="V152" s="351"/>
      <c r="W152" s="351"/>
      <c r="X152" s="351"/>
      <c r="Y152" s="363">
        <f t="shared" si="25"/>
        <v>-25</v>
      </c>
      <c r="Z152" s="363"/>
      <c r="AA152" s="363"/>
      <c r="AB152" s="363">
        <f t="shared" si="26"/>
        <v>-25</v>
      </c>
      <c r="AC152" s="355"/>
      <c r="AD152" s="334"/>
    </row>
    <row r="153" spans="1:30" s="352" customFormat="1" x14ac:dyDescent="0.2">
      <c r="A153" s="320" t="str">
        <f>IFERROR(VLOOKUP(B153,mapping_one_neo!A:B,2,FALSE),"")</f>
        <v>Outsourced business systems AU=0ADJ16</v>
      </c>
      <c r="B153" s="388" t="s">
        <v>101</v>
      </c>
      <c r="C153" s="353" t="s">
        <v>157</v>
      </c>
      <c r="E153" s="356">
        <v>-29.459999999999994</v>
      </c>
      <c r="G153" s="419">
        <v>-2.3999999999999995</v>
      </c>
      <c r="H153" s="419">
        <v>-2.5100000000000002</v>
      </c>
      <c r="I153" s="419">
        <v>-2.4550000000000001</v>
      </c>
      <c r="J153" s="419">
        <v>-2.4550000000000001</v>
      </c>
      <c r="K153" s="419">
        <v>-2.4550000000000001</v>
      </c>
      <c r="L153" s="419">
        <v>-2.4550000000000001</v>
      </c>
      <c r="M153" s="419">
        <v>-2.4550000000000001</v>
      </c>
      <c r="N153" s="419">
        <v>-2.4550000000000001</v>
      </c>
      <c r="O153" s="419">
        <v>-2.4550000000000001</v>
      </c>
      <c r="P153" s="419">
        <v>-2.4550000000000001</v>
      </c>
      <c r="Q153" s="419">
        <v>-2.4550000000000001</v>
      </c>
      <c r="R153" s="419">
        <v>-2.4550000000000001</v>
      </c>
      <c r="S153" s="345"/>
      <c r="T153" s="361"/>
      <c r="U153" s="351">
        <v>-5.25</v>
      </c>
      <c r="V153" s="351"/>
      <c r="W153" s="351"/>
      <c r="X153" s="351"/>
      <c r="Y153" s="363">
        <f t="shared" si="25"/>
        <v>-5.25</v>
      </c>
      <c r="Z153" s="363"/>
      <c r="AA153" s="363"/>
      <c r="AB153" s="363">
        <f t="shared" si="26"/>
        <v>-5.25</v>
      </c>
      <c r="AC153" s="355"/>
      <c r="AD153" s="334" t="s">
        <v>134</v>
      </c>
    </row>
    <row r="154" spans="1:30" s="352" customFormat="1" x14ac:dyDescent="0.2">
      <c r="A154" s="320" t="str">
        <f>IFERROR(VLOOKUP(B154,mapping_one_neo!A:B,2,FALSE),"")</f>
        <v>Outsourced business systems AU=0ADJ16</v>
      </c>
      <c r="B154" s="388" t="s">
        <v>102</v>
      </c>
      <c r="C154" s="353" t="s">
        <v>157</v>
      </c>
      <c r="E154" s="356">
        <v>-6.9993333333333316</v>
      </c>
      <c r="G154" s="419">
        <v>-0.58299999999999996</v>
      </c>
      <c r="H154" s="419">
        <v>-0.58299999999999996</v>
      </c>
      <c r="I154" s="419">
        <v>-0.58299999999999996</v>
      </c>
      <c r="J154" s="419">
        <v>-0.58299999999999996</v>
      </c>
      <c r="K154" s="419">
        <v>-0.58300000000000018</v>
      </c>
      <c r="L154" s="419">
        <v>-0.58299999999999974</v>
      </c>
      <c r="M154" s="419">
        <v>-0.58299999999999996</v>
      </c>
      <c r="N154" s="419">
        <v>-0.58299999999999996</v>
      </c>
      <c r="O154" s="419">
        <v>-0.58299999999999996</v>
      </c>
      <c r="P154" s="419">
        <v>-0.58299999999999996</v>
      </c>
      <c r="Q154" s="419">
        <v>-0.58299999999999996</v>
      </c>
      <c r="R154" s="419">
        <v>-0.58633333333333104</v>
      </c>
      <c r="S154" s="345"/>
      <c r="T154" s="361"/>
      <c r="U154" s="351"/>
      <c r="V154" s="351"/>
      <c r="W154" s="351"/>
      <c r="X154" s="351"/>
      <c r="Y154" s="363">
        <f t="shared" si="25"/>
        <v>0</v>
      </c>
      <c r="Z154" s="363"/>
      <c r="AA154" s="363"/>
      <c r="AB154" s="363">
        <f t="shared" si="26"/>
        <v>0</v>
      </c>
      <c r="AC154" s="355"/>
      <c r="AD154" s="334"/>
    </row>
    <row r="155" spans="1:30" s="352" customFormat="1" x14ac:dyDescent="0.2">
      <c r="A155" s="320" t="str">
        <f>IFERROR(VLOOKUP(B155,mapping_one_neo!A:B,2,FALSE),"")</f>
        <v>Outsourced business systems AU=0ADJ16</v>
      </c>
      <c r="B155" s="388" t="s">
        <v>103</v>
      </c>
      <c r="C155" s="353">
        <v>681202</v>
      </c>
      <c r="E155" s="356">
        <v>0</v>
      </c>
      <c r="G155" s="419">
        <v>0</v>
      </c>
      <c r="H155" s="419">
        <v>0</v>
      </c>
      <c r="I155" s="419">
        <v>0</v>
      </c>
      <c r="J155" s="419">
        <v>0</v>
      </c>
      <c r="K155" s="419">
        <v>0</v>
      </c>
      <c r="L155" s="419">
        <v>0</v>
      </c>
      <c r="M155" s="419">
        <v>0</v>
      </c>
      <c r="N155" s="419">
        <v>0</v>
      </c>
      <c r="O155" s="419">
        <v>0</v>
      </c>
      <c r="P155" s="419">
        <v>0</v>
      </c>
      <c r="Q155" s="419">
        <v>0</v>
      </c>
      <c r="R155" s="419">
        <v>0</v>
      </c>
      <c r="S155" s="345"/>
      <c r="T155" s="361"/>
      <c r="U155" s="351"/>
      <c r="V155" s="351"/>
      <c r="W155" s="351"/>
      <c r="X155" s="351"/>
      <c r="Y155" s="363">
        <f t="shared" si="25"/>
        <v>0</v>
      </c>
      <c r="Z155" s="363"/>
      <c r="AA155" s="363"/>
      <c r="AB155" s="363">
        <f t="shared" si="26"/>
        <v>0</v>
      </c>
      <c r="AC155" s="355"/>
      <c r="AD155" s="334"/>
    </row>
    <row r="156" spans="1:30" s="352" customFormat="1" x14ac:dyDescent="0.2">
      <c r="A156" s="320" t="str">
        <f>IFERROR(VLOOKUP(B156,mapping_one_neo!A:B,2,FALSE),"")</f>
        <v>Outsourced business systems AU=0ADJ16</v>
      </c>
      <c r="B156" s="388" t="s">
        <v>104</v>
      </c>
      <c r="C156" s="353">
        <v>615625</v>
      </c>
      <c r="E156" s="356">
        <v>-3</v>
      </c>
      <c r="G156" s="419">
        <v>-0.25</v>
      </c>
      <c r="H156" s="419">
        <v>-0.25</v>
      </c>
      <c r="I156" s="419">
        <v>-0.25</v>
      </c>
      <c r="J156" s="419">
        <v>-0.25</v>
      </c>
      <c r="K156" s="419">
        <v>-0.25</v>
      </c>
      <c r="L156" s="419">
        <v>-0.25</v>
      </c>
      <c r="M156" s="419">
        <v>-0.25</v>
      </c>
      <c r="N156" s="419">
        <v>-0.25</v>
      </c>
      <c r="O156" s="419">
        <v>-0.25</v>
      </c>
      <c r="P156" s="419">
        <v>-0.25</v>
      </c>
      <c r="Q156" s="419">
        <v>-0.25</v>
      </c>
      <c r="R156" s="419">
        <v>-0.25</v>
      </c>
      <c r="S156" s="345"/>
      <c r="T156" s="361"/>
      <c r="U156" s="351"/>
      <c r="V156" s="351">
        <v>-3.75</v>
      </c>
      <c r="W156" s="351"/>
      <c r="X156" s="351"/>
      <c r="Y156" s="363">
        <f t="shared" si="25"/>
        <v>-3.75</v>
      </c>
      <c r="Z156" s="363"/>
      <c r="AA156" s="363"/>
      <c r="AB156" s="363">
        <f t="shared" si="26"/>
        <v>-3.75</v>
      </c>
      <c r="AC156" s="355"/>
      <c r="AD156" s="334"/>
    </row>
    <row r="157" spans="1:30" s="352" customFormat="1" x14ac:dyDescent="0.2">
      <c r="A157" s="320" t="str">
        <f>IFERROR(VLOOKUP(B157,mapping_one_neo!A:B,2,FALSE),"")</f>
        <v>WPP Business Services/IBM cost allocation</v>
      </c>
      <c r="B157" s="388" t="s">
        <v>105</v>
      </c>
      <c r="C157" s="353">
        <v>622617</v>
      </c>
      <c r="E157" s="356">
        <v>-22.998333333333335</v>
      </c>
      <c r="G157" s="419">
        <v>-1.9166666666666667</v>
      </c>
      <c r="H157" s="419">
        <v>-1.9163333333333334</v>
      </c>
      <c r="I157" s="419">
        <v>-1.9163333333333337</v>
      </c>
      <c r="J157" s="419">
        <v>-1.9163333333333341</v>
      </c>
      <c r="K157" s="419">
        <v>-1.9163333333333332</v>
      </c>
      <c r="L157" s="419">
        <v>-1.9163333333333323</v>
      </c>
      <c r="M157" s="419">
        <v>-1.9166666666666667</v>
      </c>
      <c r="N157" s="419">
        <v>-1.9166666666666667</v>
      </c>
      <c r="O157" s="419">
        <v>-1.9166666666666667</v>
      </c>
      <c r="P157" s="419">
        <v>-1.9166666666666667</v>
      </c>
      <c r="Q157" s="419">
        <v>-1.9166666666666667</v>
      </c>
      <c r="R157" s="419">
        <v>-1.9166666666666667</v>
      </c>
      <c r="S157" s="345"/>
      <c r="T157" s="361"/>
      <c r="U157" s="351"/>
      <c r="V157" s="351"/>
      <c r="W157" s="351"/>
      <c r="X157" s="471">
        <f>(-1.91666666666667*10)+(-6.719/12*10)</f>
        <v>-24.765833333333369</v>
      </c>
      <c r="Y157" s="363">
        <f t="shared" si="25"/>
        <v>-24.765833333333369</v>
      </c>
      <c r="Z157" s="363"/>
      <c r="AA157" s="363"/>
      <c r="AB157" s="363">
        <f t="shared" si="26"/>
        <v>-24.765833333333369</v>
      </c>
      <c r="AC157" s="355"/>
      <c r="AD157" s="334"/>
    </row>
    <row r="158" spans="1:30" s="387" customFormat="1" x14ac:dyDescent="0.2">
      <c r="A158" s="320">
        <f>IFERROR(VLOOKUP(B158,mapping_one_neo!A:B,2,FALSE),"")</f>
        <v>0</v>
      </c>
      <c r="B158" s="387" t="s">
        <v>106</v>
      </c>
      <c r="C158" s="392"/>
      <c r="E158" s="393">
        <v>-86.831784177777763</v>
      </c>
      <c r="G158" s="393">
        <v>-7.1260866666666667</v>
      </c>
      <c r="H158" s="393">
        <v>-7.205023333333334</v>
      </c>
      <c r="I158" s="393">
        <v>-7.1807533333333335</v>
      </c>
      <c r="J158" s="393">
        <v>-7.1653833333333328</v>
      </c>
      <c r="K158" s="393">
        <v>-7.1807533333333344</v>
      </c>
      <c r="L158" s="393">
        <v>-7.1653933333333324</v>
      </c>
      <c r="M158" s="393">
        <v>-7.298301807407408</v>
      </c>
      <c r="N158" s="393">
        <v>-7.298301807407408</v>
      </c>
      <c r="O158" s="393">
        <v>-7.298301807407408</v>
      </c>
      <c r="P158" s="393">
        <v>-7.298301807407408</v>
      </c>
      <c r="Q158" s="393">
        <v>-7.298301807407408</v>
      </c>
      <c r="R158" s="393">
        <v>-7.3168818074074045</v>
      </c>
      <c r="S158" s="349"/>
      <c r="T158" s="346"/>
      <c r="U158" s="393">
        <f>SUM(U148:U157)</f>
        <v>-52.396070000000002</v>
      </c>
      <c r="V158" s="393">
        <f t="shared" ref="V158:AA158" si="27">SUM(V148:V157)</f>
        <v>-3.75</v>
      </c>
      <c r="W158" s="393">
        <f t="shared" si="27"/>
        <v>0</v>
      </c>
      <c r="X158" s="393">
        <f t="shared" si="27"/>
        <v>-26.52583333333337</v>
      </c>
      <c r="Y158" s="393">
        <f t="shared" si="27"/>
        <v>-82.671903333333375</v>
      </c>
      <c r="Z158" s="393">
        <f t="shared" si="27"/>
        <v>0</v>
      </c>
      <c r="AA158" s="393">
        <f t="shared" si="27"/>
        <v>0</v>
      </c>
      <c r="AB158" s="393">
        <f>SUM(AB148:AB157)</f>
        <v>-82.671903333333375</v>
      </c>
      <c r="AC158" s="394"/>
      <c r="AD158" s="334"/>
    </row>
    <row r="159" spans="1:30" s="387" customFormat="1" x14ac:dyDescent="0.2">
      <c r="A159" s="320" t="str">
        <f>IFERROR(VLOOKUP(B159,mapping_one_neo!A:B,2,FALSE),"")</f>
        <v/>
      </c>
      <c r="C159" s="353"/>
      <c r="E159" s="397"/>
      <c r="G159" s="397"/>
      <c r="H159" s="397"/>
      <c r="I159" s="397"/>
      <c r="J159" s="397"/>
      <c r="K159" s="397"/>
      <c r="L159" s="397"/>
      <c r="M159" s="397"/>
      <c r="N159" s="397"/>
      <c r="O159" s="397"/>
      <c r="P159" s="397"/>
      <c r="Q159" s="397"/>
      <c r="R159" s="397"/>
      <c r="S159" s="349"/>
      <c r="T159" s="346"/>
      <c r="U159" s="397"/>
      <c r="V159" s="397"/>
      <c r="W159" s="397"/>
      <c r="X159" s="397"/>
      <c r="Y159" s="397"/>
      <c r="Z159" s="397"/>
      <c r="AA159" s="397"/>
      <c r="AB159" s="397"/>
      <c r="AC159" s="394"/>
      <c r="AD159" s="334"/>
    </row>
    <row r="160" spans="1:30" s="352" customFormat="1" x14ac:dyDescent="0.2">
      <c r="A160" s="320" t="str">
        <f>IFERROR(VLOOKUP(B160,mapping_one_neo!A:B,2,FALSE),"")</f>
        <v>Stationery/art &amp; materials AU=0.INP</v>
      </c>
      <c r="B160" s="388" t="s">
        <v>107</v>
      </c>
      <c r="C160" s="353" t="s">
        <v>158</v>
      </c>
      <c r="E160" s="356">
        <v>-1.5</v>
      </c>
      <c r="G160" s="419">
        <v>-0.125</v>
      </c>
      <c r="H160" s="419">
        <v>-0.125</v>
      </c>
      <c r="I160" s="419">
        <v>-0.125</v>
      </c>
      <c r="J160" s="419">
        <v>-0.125</v>
      </c>
      <c r="K160" s="419">
        <v>-0.125</v>
      </c>
      <c r="L160" s="419">
        <v>-0.125</v>
      </c>
      <c r="M160" s="419">
        <v>-0.125</v>
      </c>
      <c r="N160" s="419">
        <v>-0.125</v>
      </c>
      <c r="O160" s="419">
        <v>-0.125</v>
      </c>
      <c r="P160" s="419">
        <v>-0.125</v>
      </c>
      <c r="Q160" s="419">
        <v>-0.125</v>
      </c>
      <c r="R160" s="419">
        <v>-0.125</v>
      </c>
      <c r="S160" s="345"/>
      <c r="T160" s="361"/>
      <c r="U160" s="351">
        <v>-1</v>
      </c>
      <c r="V160" s="351"/>
      <c r="W160" s="351"/>
      <c r="X160" s="351">
        <v>-0.1</v>
      </c>
      <c r="Y160" s="363">
        <f>SUM(U160:X160)</f>
        <v>-1.1000000000000001</v>
      </c>
      <c r="Z160" s="363"/>
      <c r="AA160" s="363">
        <v>0.40390743920669281</v>
      </c>
      <c r="AB160" s="363">
        <f>SUM(Y160:AA160)</f>
        <v>-0.69609256079330728</v>
      </c>
      <c r="AC160" s="355"/>
      <c r="AD160" s="334"/>
    </row>
    <row r="161" spans="1:30" s="352" customFormat="1" x14ac:dyDescent="0.2">
      <c r="A161" s="320" t="str">
        <f>IFERROR(VLOOKUP(B161,mapping_one_neo!A:B,2,FALSE),"")</f>
        <v>Software/hardware expenses</v>
      </c>
      <c r="B161" s="388" t="s">
        <v>108</v>
      </c>
      <c r="C161" s="353">
        <v>606420</v>
      </c>
      <c r="E161" s="356">
        <v>-3.9547024999999989</v>
      </c>
      <c r="G161" s="419">
        <v>-0.44634000000000001</v>
      </c>
      <c r="H161" s="419">
        <v>0</v>
      </c>
      <c r="I161" s="419">
        <v>-0.68500000000000005</v>
      </c>
      <c r="J161" s="419">
        <v>0</v>
      </c>
      <c r="K161" s="419">
        <v>0</v>
      </c>
      <c r="L161" s="419">
        <v>-3.0450000000000088E-2</v>
      </c>
      <c r="M161" s="419">
        <v>-1</v>
      </c>
      <c r="N161" s="419">
        <v>-0.35858250000000003</v>
      </c>
      <c r="O161" s="419">
        <v>-0.35858250000000003</v>
      </c>
      <c r="P161" s="419">
        <v>-0.35858250000000003</v>
      </c>
      <c r="Q161" s="419">
        <v>-0.35858250000000003</v>
      </c>
      <c r="R161" s="419">
        <v>-0.35858250000000003</v>
      </c>
      <c r="S161" s="345"/>
      <c r="T161" s="361"/>
      <c r="U161" s="351">
        <v>-0.25800000000000001</v>
      </c>
      <c r="V161" s="351"/>
      <c r="W161" s="351"/>
      <c r="X161" s="351">
        <v>-1.5</v>
      </c>
      <c r="Y161" s="363">
        <f t="shared" ref="Y161:Y164" si="28">SUM(U161:X161)</f>
        <v>-1.758</v>
      </c>
      <c r="Z161" s="363"/>
      <c r="AA161" s="363"/>
      <c r="AB161" s="363">
        <f t="shared" ref="AB161:AB164" si="29">SUM(Y161:AA161)</f>
        <v>-1.758</v>
      </c>
      <c r="AC161" s="355"/>
      <c r="AD161" s="334" t="s">
        <v>792</v>
      </c>
    </row>
    <row r="162" spans="1:30" s="352" customFormat="1" x14ac:dyDescent="0.2">
      <c r="A162" s="320" t="str">
        <f>IFERROR(VLOOKUP(B162,mapping_one_neo!A:B,2,FALSE),"")</f>
        <v>Stationery/art &amp; materials AU=0.INP</v>
      </c>
      <c r="B162" s="388" t="s">
        <v>109</v>
      </c>
      <c r="C162" s="353" t="s">
        <v>159</v>
      </c>
      <c r="E162" s="356">
        <v>-7.5</v>
      </c>
      <c r="G162" s="419">
        <v>-0.625</v>
      </c>
      <c r="H162" s="419">
        <v>-0.625</v>
      </c>
      <c r="I162" s="419">
        <v>-0.625</v>
      </c>
      <c r="J162" s="419">
        <v>-0.625</v>
      </c>
      <c r="K162" s="419">
        <v>-0.625</v>
      </c>
      <c r="L162" s="419">
        <v>-0.625</v>
      </c>
      <c r="M162" s="419">
        <v>-0.625</v>
      </c>
      <c r="N162" s="419">
        <v>-0.625</v>
      </c>
      <c r="O162" s="419">
        <v>-0.625</v>
      </c>
      <c r="P162" s="419">
        <v>-0.625</v>
      </c>
      <c r="Q162" s="419">
        <v>-0.625</v>
      </c>
      <c r="R162" s="419">
        <v>-0.625</v>
      </c>
      <c r="S162" s="345"/>
      <c r="T162" s="361"/>
      <c r="U162" s="351">
        <v>-6.33</v>
      </c>
      <c r="V162" s="351"/>
      <c r="W162" s="351"/>
      <c r="X162" s="351">
        <v>-0.2</v>
      </c>
      <c r="Y162" s="363">
        <f t="shared" si="28"/>
        <v>-6.53</v>
      </c>
      <c r="Z162" s="363"/>
      <c r="AA162" s="363"/>
      <c r="AB162" s="363">
        <f t="shared" si="29"/>
        <v>-6.53</v>
      </c>
      <c r="AC162" s="355"/>
      <c r="AD162" s="334"/>
    </row>
    <row r="163" spans="1:30" s="352" customFormat="1" x14ac:dyDescent="0.2">
      <c r="A163" s="320" t="str">
        <f>IFERROR(VLOOKUP(B163,mapping_one_neo!A:B,2,FALSE),"")</f>
        <v>Other office costs AU=0.INP</v>
      </c>
      <c r="B163" s="388" t="s">
        <v>110</v>
      </c>
      <c r="C163" s="353">
        <v>658201</v>
      </c>
      <c r="E163" s="356">
        <v>-3.9603704333333338</v>
      </c>
      <c r="G163" s="419">
        <v>-0.37096289999999998</v>
      </c>
      <c r="H163" s="419">
        <v>-0.29503710000000005</v>
      </c>
      <c r="I163" s="419">
        <v>-0.33300000000000007</v>
      </c>
      <c r="J163" s="419">
        <v>-0.33299999999999996</v>
      </c>
      <c r="K163" s="419">
        <v>-0.33299999999999996</v>
      </c>
      <c r="L163" s="419">
        <v>-0.33300000000000018</v>
      </c>
      <c r="M163" s="419">
        <v>-0.33333333333333331</v>
      </c>
      <c r="N163" s="419">
        <v>-0.33333333333333331</v>
      </c>
      <c r="O163" s="419">
        <v>-0.33333333333333331</v>
      </c>
      <c r="P163" s="419">
        <v>-0.33333333333333331</v>
      </c>
      <c r="Q163" s="419">
        <v>-0.33333333333333331</v>
      </c>
      <c r="R163" s="419">
        <v>-0.29570376666666598</v>
      </c>
      <c r="S163" s="345"/>
      <c r="T163" s="361"/>
      <c r="U163" s="351">
        <v>-2.5</v>
      </c>
      <c r="V163" s="351"/>
      <c r="W163" s="351"/>
      <c r="X163" s="351">
        <v>-0.1</v>
      </c>
      <c r="Y163" s="363">
        <f t="shared" si="28"/>
        <v>-2.6</v>
      </c>
      <c r="Z163" s="363"/>
      <c r="AA163" s="363"/>
      <c r="AB163" s="363">
        <f t="shared" si="29"/>
        <v>-2.6</v>
      </c>
      <c r="AC163" s="355"/>
      <c r="AD163" s="334"/>
    </row>
    <row r="164" spans="1:30" s="352" customFormat="1" x14ac:dyDescent="0.2">
      <c r="A164" s="320" t="str">
        <f>IFERROR(VLOOKUP(B164,mapping_one_neo!A:B,2,FALSE),"")</f>
        <v>Other office costs AU=0.INP</v>
      </c>
      <c r="B164" s="388" t="s">
        <v>111</v>
      </c>
      <c r="C164" s="353">
        <v>681122</v>
      </c>
      <c r="E164" s="356">
        <v>-7.2424500000000016</v>
      </c>
      <c r="G164" s="419">
        <v>-0.54120000000000001</v>
      </c>
      <c r="H164" s="419">
        <v>-0.50627999999999995</v>
      </c>
      <c r="I164" s="419">
        <v>-0.54116999999999993</v>
      </c>
      <c r="J164" s="419">
        <v>-0.62921000000000005</v>
      </c>
      <c r="K164" s="419">
        <v>-0.63658999999999999</v>
      </c>
      <c r="L164" s="419">
        <v>-0.61274000000000006</v>
      </c>
      <c r="M164" s="419">
        <v>-0.62921000000000005</v>
      </c>
      <c r="N164" s="419">
        <v>-0.62921000000000005</v>
      </c>
      <c r="O164" s="419">
        <v>-0.62921000000000005</v>
      </c>
      <c r="P164" s="419">
        <v>-0.62921000000000005</v>
      </c>
      <c r="Q164" s="419">
        <v>-0.62921000000000005</v>
      </c>
      <c r="R164" s="419">
        <v>-0.62921000000000005</v>
      </c>
      <c r="S164" s="345"/>
      <c r="T164" s="361"/>
      <c r="U164" s="351">
        <v>-7.4736500000000001</v>
      </c>
      <c r="V164" s="351"/>
      <c r="W164" s="351"/>
      <c r="X164" s="351"/>
      <c r="Y164" s="363">
        <f t="shared" si="28"/>
        <v>-7.4736500000000001</v>
      </c>
      <c r="Z164" s="363"/>
      <c r="AA164" s="363"/>
      <c r="AB164" s="363">
        <f t="shared" si="29"/>
        <v>-7.4736500000000001</v>
      </c>
      <c r="AC164" s="355"/>
      <c r="AD164" s="334"/>
    </row>
    <row r="165" spans="1:30" s="387" customFormat="1" x14ac:dyDescent="0.2">
      <c r="A165" s="320">
        <f>IFERROR(VLOOKUP(B165,mapping_one_neo!A:B,2,FALSE),"")</f>
        <v>0</v>
      </c>
      <c r="B165" s="387" t="s">
        <v>112</v>
      </c>
      <c r="C165" s="353"/>
      <c r="E165" s="393">
        <v>-24.157522933333336</v>
      </c>
      <c r="G165" s="393">
        <v>-2.1085029</v>
      </c>
      <c r="H165" s="393">
        <v>-1.5513170999999999</v>
      </c>
      <c r="I165" s="393">
        <v>-2.3091699999999999</v>
      </c>
      <c r="J165" s="393">
        <v>-1.71221</v>
      </c>
      <c r="K165" s="393">
        <v>-1.71959</v>
      </c>
      <c r="L165" s="393">
        <v>-1.7261900000000003</v>
      </c>
      <c r="M165" s="393">
        <v>-2.7125433333333335</v>
      </c>
      <c r="N165" s="393">
        <v>-2.0711258333333333</v>
      </c>
      <c r="O165" s="393">
        <v>-2.0711258333333333</v>
      </c>
      <c r="P165" s="393">
        <v>-2.0711258333333333</v>
      </c>
      <c r="Q165" s="393">
        <v>-2.0711258333333333</v>
      </c>
      <c r="R165" s="393">
        <v>-2.0334962666666661</v>
      </c>
      <c r="S165" s="349"/>
      <c r="T165" s="346"/>
      <c r="U165" s="393">
        <f>SUM(U160:U164)</f>
        <v>-17.56165</v>
      </c>
      <c r="V165" s="393">
        <f>SUM(V160:V164)</f>
        <v>0</v>
      </c>
      <c r="W165" s="393">
        <f t="shared" ref="W165:AA165" si="30">SUM(W160:W164)</f>
        <v>0</v>
      </c>
      <c r="X165" s="393">
        <f t="shared" si="30"/>
        <v>-1.9000000000000001</v>
      </c>
      <c r="Y165" s="393">
        <f t="shared" si="30"/>
        <v>-19.461649999999999</v>
      </c>
      <c r="Z165" s="393">
        <f t="shared" si="30"/>
        <v>0</v>
      </c>
      <c r="AA165" s="393">
        <f t="shared" si="30"/>
        <v>0.40390743920669281</v>
      </c>
      <c r="AB165" s="393">
        <f>SUM(AB160:AB164)</f>
        <v>-19.057742560793308</v>
      </c>
      <c r="AC165" s="355"/>
      <c r="AD165" s="334"/>
    </row>
    <row r="166" spans="1:30" s="387" customFormat="1" x14ac:dyDescent="0.2">
      <c r="A166" s="320" t="str">
        <f>IFERROR(VLOOKUP(B166,mapping_one_neo!A:B,2,FALSE),"")</f>
        <v/>
      </c>
      <c r="C166" s="353"/>
      <c r="E166" s="397"/>
      <c r="G166" s="397"/>
      <c r="H166" s="397"/>
      <c r="I166" s="397"/>
      <c r="J166" s="397"/>
      <c r="K166" s="397"/>
      <c r="L166" s="397"/>
      <c r="M166" s="397"/>
      <c r="N166" s="397"/>
      <c r="O166" s="397"/>
      <c r="P166" s="397"/>
      <c r="Q166" s="397"/>
      <c r="R166" s="397"/>
      <c r="S166" s="349"/>
      <c r="T166" s="346"/>
      <c r="U166" s="397"/>
      <c r="V166" s="397"/>
      <c r="W166" s="397"/>
      <c r="X166" s="397"/>
      <c r="Y166" s="397"/>
      <c r="Z166" s="397"/>
      <c r="AA166" s="397"/>
      <c r="AB166" s="397"/>
      <c r="AC166" s="394"/>
      <c r="AD166" s="334"/>
    </row>
    <row r="167" spans="1:30" s="458" customFormat="1" x14ac:dyDescent="0.2">
      <c r="A167" s="320" t="str">
        <f>IFERROR(VLOOKUP(B167,mapping_one_neo!A:B,2,FALSE),"")</f>
        <v>Other office costs AU=0.INP</v>
      </c>
      <c r="B167" s="387" t="s">
        <v>520</v>
      </c>
      <c r="C167" s="392"/>
      <c r="D167" s="387"/>
      <c r="E167" s="397"/>
      <c r="F167" s="387"/>
      <c r="G167" s="397"/>
      <c r="H167" s="397"/>
      <c r="I167" s="397"/>
      <c r="J167" s="397"/>
      <c r="K167" s="397"/>
      <c r="L167" s="397"/>
      <c r="M167" s="397"/>
      <c r="N167" s="397"/>
      <c r="O167" s="397"/>
      <c r="P167" s="397"/>
      <c r="Q167" s="397"/>
      <c r="R167" s="397"/>
      <c r="S167" s="349"/>
      <c r="T167" s="346"/>
      <c r="U167" s="397"/>
      <c r="V167" s="397"/>
      <c r="W167" s="397">
        <v>-15.5833333333333</v>
      </c>
      <c r="X167" s="397"/>
      <c r="Y167" s="397">
        <v>-15.5833333333333</v>
      </c>
      <c r="Z167" s="397">
        <v>17.864616420310838</v>
      </c>
      <c r="AA167" s="397"/>
      <c r="AB167" s="397">
        <f>SUM(Y167:AA167)</f>
        <v>2.2812830869775382</v>
      </c>
      <c r="AC167" s="394"/>
      <c r="AD167" s="334"/>
    </row>
    <row r="168" spans="1:30" s="400" customFormat="1" x14ac:dyDescent="0.2">
      <c r="A168" s="320" t="str">
        <f>IFERROR(VLOOKUP(B168,mapping_one_neo!A:B,2,FALSE),"")</f>
        <v>vide</v>
      </c>
      <c r="B168" s="400" t="s">
        <v>113</v>
      </c>
      <c r="C168" s="402"/>
      <c r="E168" s="356">
        <v>-9.492231230702151</v>
      </c>
      <c r="G168" s="419">
        <v>-0.79101916666666661</v>
      </c>
      <c r="H168" s="419">
        <v>-0.79101916666666661</v>
      </c>
      <c r="I168" s="419">
        <v>-0.79101916666666661</v>
      </c>
      <c r="J168" s="419">
        <v>-0.79101916666666661</v>
      </c>
      <c r="K168" s="419">
        <v>-0.79101916666666661</v>
      </c>
      <c r="L168" s="419">
        <v>-0.79101916666666661</v>
      </c>
      <c r="M168" s="419">
        <v>-0.79101916666666661</v>
      </c>
      <c r="N168" s="419">
        <v>-0.79101916666666661</v>
      </c>
      <c r="O168" s="419">
        <v>-0.79101916666666661</v>
      </c>
      <c r="P168" s="419">
        <v>-0.79101916666666661</v>
      </c>
      <c r="Q168" s="419">
        <v>-0.79101916666666661</v>
      </c>
      <c r="R168" s="419">
        <v>-0.79102039736881802</v>
      </c>
      <c r="S168" s="345"/>
      <c r="T168" s="361"/>
      <c r="U168" s="426"/>
      <c r="V168" s="426"/>
      <c r="W168" s="426"/>
      <c r="X168" s="426"/>
      <c r="Y168" s="405"/>
      <c r="Z168" s="405"/>
      <c r="AA168" s="405"/>
      <c r="AB168" s="363"/>
      <c r="AC168" s="403"/>
      <c r="AD168" s="334"/>
    </row>
    <row r="169" spans="1:30" x14ac:dyDescent="0.2">
      <c r="A169" s="320" t="str">
        <f>IFERROR(VLOOKUP(B169,mapping_one_neo!A:B,2,FALSE),"")</f>
        <v/>
      </c>
      <c r="J169" s="335">
        <v>0</v>
      </c>
      <c r="M169" s="335">
        <v>0</v>
      </c>
      <c r="S169" s="349"/>
      <c r="T169" s="346"/>
      <c r="U169" s="351"/>
      <c r="V169" s="351"/>
      <c r="W169" s="351"/>
      <c r="X169" s="351"/>
      <c r="Y169" s="358"/>
      <c r="Z169" s="358"/>
      <c r="AA169" s="358"/>
      <c r="AB169" s="358"/>
      <c r="AC169" s="350"/>
    </row>
    <row r="170" spans="1:30" x14ac:dyDescent="0.2">
      <c r="A170" s="320">
        <f>IFERROR(VLOOKUP(B170,mapping_one_neo!A:B,2,FALSE),"")</f>
        <v>0</v>
      </c>
      <c r="B170" s="352" t="s">
        <v>114</v>
      </c>
      <c r="C170" s="353"/>
      <c r="E170" s="354">
        <v>-133.52886241588732</v>
      </c>
      <c r="G170" s="404">
        <v>-11.041608733333334</v>
      </c>
      <c r="H170" s="404">
        <v>-10.563359600000002</v>
      </c>
      <c r="I170" s="404">
        <v>-11.2969425</v>
      </c>
      <c r="J170" s="404">
        <v>-10.7846125</v>
      </c>
      <c r="K170" s="404">
        <v>-10.473662500000001</v>
      </c>
      <c r="L170" s="404">
        <v>-10.198602500000002</v>
      </c>
      <c r="M170" s="404">
        <v>-12.065687764197531</v>
      </c>
      <c r="N170" s="404">
        <v>-11.424270264197531</v>
      </c>
      <c r="O170" s="404">
        <v>-11.424270264197531</v>
      </c>
      <c r="P170" s="404">
        <v>-11.424270264197531</v>
      </c>
      <c r="Q170" s="404">
        <v>-11.424270264197531</v>
      </c>
      <c r="R170" s="404">
        <v>-11.407305261566346</v>
      </c>
      <c r="S170" s="349"/>
      <c r="T170" s="346"/>
      <c r="U170" s="354">
        <f t="shared" ref="U170:V170" si="31">U165+U158+U145+U142+U141+U167</f>
        <v>-80.751559999999998</v>
      </c>
      <c r="V170" s="354">
        <f t="shared" si="31"/>
        <v>-3.75</v>
      </c>
      <c r="W170" s="354">
        <f>W165+W158+W145+W142+W141+W167</f>
        <v>-15.5833333333333</v>
      </c>
      <c r="X170" s="354">
        <f t="shared" ref="X170:AA170" si="32">X165+X158+X145+X142+X141+X167</f>
        <v>-29.22583333333337</v>
      </c>
      <c r="Y170" s="357">
        <f t="shared" si="32"/>
        <v>-129.31072666666665</v>
      </c>
      <c r="Z170" s="357">
        <f t="shared" si="32"/>
        <v>17.864616420310838</v>
      </c>
      <c r="AA170" s="357">
        <f t="shared" si="32"/>
        <v>0.67317920353549443</v>
      </c>
      <c r="AB170" s="446">
        <f>AB165+AB158+AB145+AB142+AB141+AB167</f>
        <v>-110.77293104282036</v>
      </c>
      <c r="AC170" s="403"/>
    </row>
    <row r="171" spans="1:30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351"/>
      <c r="V171" s="351"/>
      <c r="W171" s="351"/>
      <c r="X171" s="351"/>
      <c r="Y171" s="358"/>
      <c r="Z171" s="358"/>
      <c r="AA171" s="358"/>
      <c r="AB171" s="358"/>
      <c r="AC171" s="350"/>
    </row>
    <row r="172" spans="1:30" x14ac:dyDescent="0.2">
      <c r="A172" s="320" t="str">
        <f>IFERROR(VLOOKUP(B172,mapping_one_neo!A:B,2,FALSE),"")</f>
        <v/>
      </c>
      <c r="S172" s="349"/>
      <c r="T172" s="346"/>
      <c r="U172" s="351"/>
      <c r="V172" s="351"/>
      <c r="W172" s="351"/>
      <c r="X172" s="351"/>
      <c r="Y172" s="358"/>
      <c r="Z172" s="358"/>
      <c r="AA172" s="358"/>
      <c r="AB172" s="358"/>
      <c r="AC172" s="350"/>
    </row>
    <row r="173" spans="1:30" x14ac:dyDescent="0.2">
      <c r="A173" s="320">
        <f>IFERROR(VLOOKUP(B173,mapping_one_neo!A:B,2,FALSE),"")</f>
        <v>0</v>
      </c>
      <c r="B173" s="352" t="s">
        <v>115</v>
      </c>
      <c r="S173" s="349"/>
      <c r="T173" s="346"/>
      <c r="U173" s="351"/>
      <c r="V173" s="351"/>
      <c r="W173" s="351"/>
      <c r="X173" s="351"/>
      <c r="Y173" s="358"/>
      <c r="Z173" s="358"/>
      <c r="AA173" s="358"/>
      <c r="AB173" s="358"/>
      <c r="AC173" s="350"/>
    </row>
    <row r="174" spans="1:30" s="352" customFormat="1" x14ac:dyDescent="0.2">
      <c r="A174" s="320" t="str">
        <f>IFERROR(VLOOKUP(B174,mapping_one_neo!A:B,2,FALSE),"")</f>
        <v>Insurance</v>
      </c>
      <c r="B174" s="352" t="s">
        <v>116</v>
      </c>
      <c r="C174" s="353" t="s">
        <v>160</v>
      </c>
      <c r="E174" s="356">
        <v>-0.69833333333333336</v>
      </c>
      <c r="G174" s="419">
        <v>-5.8000000000000003E-2</v>
      </c>
      <c r="H174" s="419">
        <v>-5.8000000000000003E-2</v>
      </c>
      <c r="I174" s="419">
        <v>-5.800000000000001E-2</v>
      </c>
      <c r="J174" s="419">
        <v>-5.7999999999999996E-2</v>
      </c>
      <c r="K174" s="419">
        <v>-5.8000000000000024E-2</v>
      </c>
      <c r="L174" s="419">
        <v>-5.7999999999999996E-2</v>
      </c>
      <c r="M174" s="419">
        <v>-5.8333333333333327E-2</v>
      </c>
      <c r="N174" s="419">
        <v>-5.8333333333333327E-2</v>
      </c>
      <c r="O174" s="419">
        <v>-5.8333333333333327E-2</v>
      </c>
      <c r="P174" s="419">
        <v>-5.8333333333333327E-2</v>
      </c>
      <c r="Q174" s="419">
        <v>-5.8333333333333327E-2</v>
      </c>
      <c r="R174" s="419">
        <v>-5.8666666666666603E-2</v>
      </c>
      <c r="S174" s="345"/>
      <c r="T174" s="361"/>
      <c r="U174" s="351">
        <v>-3.75</v>
      </c>
      <c r="V174" s="362"/>
      <c r="W174" s="362"/>
      <c r="X174" s="362">
        <v>-0.15</v>
      </c>
      <c r="Y174" s="363">
        <f>SUM(U174:X174)</f>
        <v>-3.9</v>
      </c>
      <c r="Z174" s="363"/>
      <c r="AA174" s="363"/>
      <c r="AB174" s="363">
        <f>SUM(Y174:AA174)</f>
        <v>-3.9</v>
      </c>
      <c r="AC174" s="355"/>
      <c r="AD174" s="334"/>
    </row>
    <row r="175" spans="1:30" s="352" customFormat="1" x14ac:dyDescent="0.2">
      <c r="A175" s="320" t="str">
        <f>IFERROR(VLOOKUP(B175,mapping_one_neo!A:B,2,FALSE),"")</f>
        <v>Insurance</v>
      </c>
      <c r="B175" s="352" t="s">
        <v>117</v>
      </c>
      <c r="C175" s="353">
        <v>616021</v>
      </c>
      <c r="E175" s="356">
        <v>0</v>
      </c>
      <c r="G175" s="419">
        <v>0</v>
      </c>
      <c r="H175" s="419">
        <v>0</v>
      </c>
      <c r="I175" s="419">
        <v>0</v>
      </c>
      <c r="J175" s="419">
        <v>0</v>
      </c>
      <c r="K175" s="419">
        <v>0</v>
      </c>
      <c r="L175" s="419">
        <v>0</v>
      </c>
      <c r="M175" s="419">
        <v>0</v>
      </c>
      <c r="N175" s="419">
        <v>0</v>
      </c>
      <c r="O175" s="419">
        <v>0</v>
      </c>
      <c r="P175" s="419">
        <v>0</v>
      </c>
      <c r="Q175" s="419">
        <v>0</v>
      </c>
      <c r="R175" s="419">
        <v>0</v>
      </c>
      <c r="S175" s="345"/>
      <c r="T175" s="361"/>
      <c r="U175" s="351">
        <v>-0.26600000000000001</v>
      </c>
      <c r="V175" s="351">
        <v>0</v>
      </c>
      <c r="W175" s="351"/>
      <c r="X175" s="351"/>
      <c r="Y175" s="363">
        <f t="shared" ref="Y175:Y181" si="33">SUM(U175:X175)</f>
        <v>-0.26600000000000001</v>
      </c>
      <c r="Z175" s="363"/>
      <c r="AA175" s="363"/>
      <c r="AB175" s="363">
        <f t="shared" ref="AB175:AB182" si="34">SUM(Y175:AA175)</f>
        <v>-0.26600000000000001</v>
      </c>
      <c r="AC175" s="355"/>
      <c r="AD175" s="334"/>
    </row>
    <row r="176" spans="1:30" s="352" customFormat="1" x14ac:dyDescent="0.2">
      <c r="A176" s="320" t="str">
        <f>IFERROR(VLOOKUP(B176,mapping_one_neo!A:B,2,FALSE),"")</f>
        <v>Audit fees</v>
      </c>
      <c r="B176" s="352" t="s">
        <v>118</v>
      </c>
      <c r="C176" s="353">
        <v>622600</v>
      </c>
      <c r="E176" s="356">
        <v>-4</v>
      </c>
      <c r="G176" s="419">
        <v>-0.33333333333333331</v>
      </c>
      <c r="H176" s="419">
        <v>-0.33333333333333331</v>
      </c>
      <c r="I176" s="419">
        <v>-0.33333333333333337</v>
      </c>
      <c r="J176" s="419">
        <v>-0.33333333333333326</v>
      </c>
      <c r="K176" s="419">
        <v>-0.33333333333333326</v>
      </c>
      <c r="L176" s="419">
        <v>-0.33333333333333326</v>
      </c>
      <c r="M176" s="419">
        <v>-0.33333333333333326</v>
      </c>
      <c r="N176" s="419">
        <v>-0.33333333333333348</v>
      </c>
      <c r="O176" s="419">
        <v>-0.33333333333333331</v>
      </c>
      <c r="P176" s="419">
        <v>-0.33333333333333331</v>
      </c>
      <c r="Q176" s="419">
        <v>-0.33333333333333331</v>
      </c>
      <c r="R176" s="419">
        <v>-0.33333333333333331</v>
      </c>
      <c r="S176" s="345"/>
      <c r="T176" s="361"/>
      <c r="U176" s="351"/>
      <c r="V176" s="351">
        <v>-3.3333333333333299</v>
      </c>
      <c r="W176" s="351"/>
      <c r="X176" s="351"/>
      <c r="Y176" s="363">
        <f t="shared" si="33"/>
        <v>-3.3333333333333299</v>
      </c>
      <c r="Z176" s="363"/>
      <c r="AA176" s="363"/>
      <c r="AB176" s="363">
        <f t="shared" si="34"/>
        <v>-3.3333333333333299</v>
      </c>
      <c r="AC176" s="355"/>
      <c r="AD176" s="334"/>
    </row>
    <row r="177" spans="1:30" s="352" customFormat="1" x14ac:dyDescent="0.2">
      <c r="A177" s="320" t="str">
        <f>IFERROR(VLOOKUP(B177,mapping_one_neo!A:B,2,FALSE),"")</f>
        <v>Other finance &amp; general costs</v>
      </c>
      <c r="B177" s="352" t="s">
        <v>119</v>
      </c>
      <c r="C177" s="353">
        <v>618200</v>
      </c>
      <c r="E177" s="356">
        <v>-15.28218</v>
      </c>
      <c r="G177" s="419">
        <v>-0.86299999999999999</v>
      </c>
      <c r="H177" s="419">
        <v>-0.625</v>
      </c>
      <c r="I177" s="419">
        <v>-0.625</v>
      </c>
      <c r="J177" s="419">
        <v>-0.625</v>
      </c>
      <c r="K177" s="419">
        <v>-0.60273999999999983</v>
      </c>
      <c r="L177" s="419">
        <v>-0.61644000000000032</v>
      </c>
      <c r="M177" s="419">
        <v>-0.625</v>
      </c>
      <c r="N177" s="419">
        <v>-0.625</v>
      </c>
      <c r="O177" s="419">
        <v>-0.625</v>
      </c>
      <c r="P177" s="419">
        <v>-0.625</v>
      </c>
      <c r="Q177" s="419">
        <v>-0.625</v>
      </c>
      <c r="R177" s="419">
        <v>-8.1999999999999993</v>
      </c>
      <c r="S177" s="345"/>
      <c r="T177" s="361"/>
      <c r="U177" s="351">
        <v>-6.2431299999999998</v>
      </c>
      <c r="V177" s="351"/>
      <c r="W177" s="351"/>
      <c r="X177" s="351">
        <v>0</v>
      </c>
      <c r="Y177" s="363">
        <f t="shared" si="33"/>
        <v>-6.2431299999999998</v>
      </c>
      <c r="Z177" s="363"/>
      <c r="AA177" s="363"/>
      <c r="AB177" s="363">
        <f t="shared" si="34"/>
        <v>-6.2431299999999998</v>
      </c>
      <c r="AC177" s="355"/>
      <c r="AD177" s="334"/>
    </row>
    <row r="178" spans="1:30" s="352" customFormat="1" x14ac:dyDescent="0.2">
      <c r="A178" s="320" t="str">
        <f>IFERROR(VLOOKUP(B178,mapping_one_neo!A:B,2,FALSE),"")</f>
        <v>Bank charges</v>
      </c>
      <c r="B178" s="352" t="s">
        <v>120</v>
      </c>
      <c r="C178" s="353">
        <v>627800</v>
      </c>
      <c r="E178" s="356">
        <v>-4.3593520000000003</v>
      </c>
      <c r="G178" s="419">
        <v>-0.31032999999999999</v>
      </c>
      <c r="H178" s="419">
        <v>-0.26900000000000002</v>
      </c>
      <c r="I178" s="419">
        <v>-0.51026000000000005</v>
      </c>
      <c r="J178" s="419">
        <v>-0.48784999999999989</v>
      </c>
      <c r="K178" s="419">
        <v>-0.26075000000000004</v>
      </c>
      <c r="L178" s="419">
        <v>-0.46876000000000007</v>
      </c>
      <c r="M178" s="419">
        <v>-0.34206700000000001</v>
      </c>
      <c r="N178" s="419">
        <v>-0.34206700000000001</v>
      </c>
      <c r="O178" s="419">
        <v>-0.34206700000000001</v>
      </c>
      <c r="P178" s="419">
        <v>-0.34206700000000001</v>
      </c>
      <c r="Q178" s="419">
        <v>-0.34206700000000001</v>
      </c>
      <c r="R178" s="419">
        <v>-0.34206700000000001</v>
      </c>
      <c r="S178" s="345"/>
      <c r="T178" s="361"/>
      <c r="U178" s="351">
        <v>-2.5462400000000001</v>
      </c>
      <c r="V178" s="351"/>
      <c r="W178" s="351"/>
      <c r="X178" s="351"/>
      <c r="Y178" s="363">
        <f t="shared" si="33"/>
        <v>-2.5462400000000001</v>
      </c>
      <c r="Z178" s="363"/>
      <c r="AA178" s="363"/>
      <c r="AB178" s="363">
        <f t="shared" si="34"/>
        <v>-2.5462400000000001</v>
      </c>
      <c r="AC178" s="355"/>
      <c r="AD178" s="334"/>
    </row>
    <row r="179" spans="1:30" s="352" customFormat="1" x14ac:dyDescent="0.2">
      <c r="A179" s="320" t="str">
        <f>IFERROR(VLOOKUP(B179,mapping_one_neo!A:B,2,FALSE),"")</f>
        <v>Other finance &amp; general costs</v>
      </c>
      <c r="B179" s="352" t="s">
        <v>756</v>
      </c>
      <c r="C179" s="353" t="s">
        <v>757</v>
      </c>
      <c r="E179" s="356">
        <v>0</v>
      </c>
      <c r="G179" s="419">
        <v>0</v>
      </c>
      <c r="H179" s="419">
        <v>0</v>
      </c>
      <c r="I179" s="419">
        <v>0</v>
      </c>
      <c r="J179" s="419">
        <v>-0.33400000000000002</v>
      </c>
      <c r="K179" s="419">
        <v>0.24400000000000002</v>
      </c>
      <c r="L179" s="419">
        <v>0.09</v>
      </c>
      <c r="M179" s="419"/>
      <c r="N179" s="419"/>
      <c r="O179" s="419"/>
      <c r="P179" s="419"/>
      <c r="Q179" s="419"/>
      <c r="R179" s="419"/>
      <c r="S179" s="345"/>
      <c r="T179" s="361"/>
      <c r="U179" s="351">
        <v>-0.20399999999999999</v>
      </c>
      <c r="V179" s="351"/>
      <c r="W179" s="351"/>
      <c r="X179" s="351"/>
      <c r="Y179" s="363">
        <f t="shared" si="33"/>
        <v>-0.20399999999999999</v>
      </c>
      <c r="Z179" s="363"/>
      <c r="AA179" s="363"/>
      <c r="AB179" s="363">
        <f t="shared" si="34"/>
        <v>-0.20399999999999999</v>
      </c>
      <c r="AC179" s="355"/>
      <c r="AD179" s="334"/>
    </row>
    <row r="180" spans="1:30" s="352" customFormat="1" x14ac:dyDescent="0.2">
      <c r="A180" s="320" t="str">
        <f>IFERROR(VLOOKUP(B180,mapping_one_neo!A:B,2,FALSE),"")</f>
        <v>Other finance &amp; general costs</v>
      </c>
      <c r="B180" s="352" t="s">
        <v>121</v>
      </c>
      <c r="C180" s="353">
        <v>622605</v>
      </c>
      <c r="E180" s="356">
        <v>-1.1000000000000001</v>
      </c>
      <c r="G180" s="419">
        <v>0</v>
      </c>
      <c r="H180" s="419">
        <v>0</v>
      </c>
      <c r="I180" s="419">
        <v>0</v>
      </c>
      <c r="J180" s="419">
        <v>0</v>
      </c>
      <c r="K180" s="419">
        <v>-0.3</v>
      </c>
      <c r="L180" s="419">
        <v>0</v>
      </c>
      <c r="M180" s="419">
        <v>0</v>
      </c>
      <c r="N180" s="419">
        <v>0</v>
      </c>
      <c r="O180" s="419">
        <v>-0.4</v>
      </c>
      <c r="P180" s="419"/>
      <c r="Q180" s="419"/>
      <c r="R180" s="419">
        <v>-0.4</v>
      </c>
      <c r="S180" s="345"/>
      <c r="T180" s="361"/>
      <c r="U180" s="351">
        <v>-0.3</v>
      </c>
      <c r="V180" s="351"/>
      <c r="W180" s="351"/>
      <c r="X180" s="351">
        <v>-0.5</v>
      </c>
      <c r="Y180" s="363">
        <f t="shared" si="33"/>
        <v>-0.8</v>
      </c>
      <c r="Z180" s="363"/>
      <c r="AA180" s="363"/>
      <c r="AB180" s="363">
        <f t="shared" si="34"/>
        <v>-0.8</v>
      </c>
      <c r="AC180" s="355"/>
      <c r="AD180" s="334"/>
    </row>
    <row r="181" spans="1:30" s="352" customFormat="1" x14ac:dyDescent="0.2">
      <c r="A181" s="320" t="str">
        <f>IFERROR(VLOOKUP(B181,mapping_one_neo!A:B,2,FALSE),"")</f>
        <v>I/G exchange gains/(losses)</v>
      </c>
      <c r="B181" s="352" t="s">
        <v>793</v>
      </c>
      <c r="C181" s="353">
        <v>766000</v>
      </c>
      <c r="E181" s="356">
        <v>13.01343</v>
      </c>
      <c r="G181" s="419">
        <v>4.4179300000000001</v>
      </c>
      <c r="H181" s="419">
        <v>7.4658999999999995</v>
      </c>
      <c r="I181" s="419">
        <v>0.92795000000000094</v>
      </c>
      <c r="J181" s="419"/>
      <c r="K181" s="419">
        <v>5.7760000000000034E-2</v>
      </c>
      <c r="L181" s="419">
        <v>0.14388999999999896</v>
      </c>
      <c r="M181" s="419"/>
      <c r="N181" s="419"/>
      <c r="O181" s="419"/>
      <c r="P181" s="419"/>
      <c r="Q181" s="419"/>
      <c r="R181" s="419"/>
      <c r="S181" s="345"/>
      <c r="T181" s="361"/>
      <c r="U181" s="351">
        <v>2.0527700000000002</v>
      </c>
      <c r="V181" s="351"/>
      <c r="W181" s="351"/>
      <c r="X181" s="351"/>
      <c r="Y181" s="363">
        <f t="shared" si="33"/>
        <v>2.0527700000000002</v>
      </c>
      <c r="Z181" s="363"/>
      <c r="AA181" s="363"/>
      <c r="AB181" s="363">
        <f t="shared" si="34"/>
        <v>2.0527700000000002</v>
      </c>
      <c r="AC181" s="355"/>
      <c r="AD181" s="334"/>
    </row>
    <row r="182" spans="1:30" s="449" customFormat="1" x14ac:dyDescent="0.2">
      <c r="A182" s="320" t="str">
        <f>IFERROR(VLOOKUP(B182,mapping_one_neo!A:B,2,FALSE),"")</f>
        <v>Other finance &amp; general costs</v>
      </c>
      <c r="B182" s="352" t="s">
        <v>820</v>
      </c>
      <c r="C182" s="353"/>
      <c r="D182" s="352"/>
      <c r="E182" s="356">
        <v>0</v>
      </c>
      <c r="F182" s="352"/>
      <c r="G182" s="419">
        <v>0</v>
      </c>
      <c r="H182" s="419">
        <v>0</v>
      </c>
      <c r="I182" s="419">
        <v>0</v>
      </c>
      <c r="J182" s="419">
        <v>0</v>
      </c>
      <c r="K182" s="419">
        <v>0</v>
      </c>
      <c r="L182" s="419">
        <v>0</v>
      </c>
      <c r="M182" s="419"/>
      <c r="N182" s="419"/>
      <c r="O182" s="419"/>
      <c r="P182" s="419"/>
      <c r="Q182" s="419"/>
      <c r="R182" s="419"/>
      <c r="S182" s="345"/>
      <c r="T182" s="361"/>
      <c r="U182" s="351"/>
      <c r="V182" s="351"/>
      <c r="W182" s="351"/>
      <c r="X182" s="351"/>
      <c r="Y182" s="363"/>
      <c r="Z182" s="363">
        <v>2.8677511003193081</v>
      </c>
      <c r="AA182" s="363"/>
      <c r="AB182" s="472">
        <f t="shared" si="34"/>
        <v>2.8677511003193081</v>
      </c>
      <c r="AC182" s="355"/>
      <c r="AD182" s="334"/>
    </row>
    <row r="183" spans="1:30" x14ac:dyDescent="0.2">
      <c r="A183" s="320">
        <f>IFERROR(VLOOKUP(B183,mapping_one_neo!A:B,2,FALSE),"")</f>
        <v>0</v>
      </c>
      <c r="B183" s="352" t="s">
        <v>122</v>
      </c>
      <c r="C183" s="353"/>
      <c r="E183" s="354">
        <v>-12.426435333333337</v>
      </c>
      <c r="G183" s="354">
        <v>2.8532666666666668</v>
      </c>
      <c r="H183" s="354">
        <v>6.1805666666666657</v>
      </c>
      <c r="I183" s="354">
        <v>-0.59864333333333253</v>
      </c>
      <c r="J183" s="354">
        <v>-1.8381833333333333</v>
      </c>
      <c r="K183" s="354">
        <v>-1.2530633333333332</v>
      </c>
      <c r="L183" s="354">
        <v>-1.2426433333333347</v>
      </c>
      <c r="M183" s="354">
        <v>-1.3587336666666667</v>
      </c>
      <c r="N183" s="354">
        <v>-1.3587336666666667</v>
      </c>
      <c r="O183" s="354">
        <v>-1.7587336666666666</v>
      </c>
      <c r="P183" s="354">
        <v>-1.3587336666666667</v>
      </c>
      <c r="Q183" s="354">
        <v>-1.3587336666666667</v>
      </c>
      <c r="R183" s="354">
        <v>-9.3340669999999992</v>
      </c>
      <c r="S183" s="349"/>
      <c r="T183" s="346"/>
      <c r="U183" s="354">
        <f>SUM(U174:U181)</f>
        <v>-11.256600000000001</v>
      </c>
      <c r="V183" s="354">
        <f t="shared" ref="V183:AA183" si="35">SUM(V174:V180)</f>
        <v>-3.3333333333333299</v>
      </c>
      <c r="W183" s="354">
        <f t="shared" si="35"/>
        <v>0</v>
      </c>
      <c r="X183" s="354">
        <f t="shared" si="35"/>
        <v>-0.65</v>
      </c>
      <c r="Y183" s="354">
        <f>SUM(Y174:Y181)</f>
        <v>-15.239933333333331</v>
      </c>
      <c r="Z183" s="354">
        <f>SUM(Z176:Z182)</f>
        <v>2.8677511003193081</v>
      </c>
      <c r="AA183" s="354">
        <f t="shared" si="35"/>
        <v>0</v>
      </c>
      <c r="AB183" s="445">
        <f>SUM(AB174:AB182)</f>
        <v>-12.372182233014023</v>
      </c>
      <c r="AC183" s="350"/>
    </row>
    <row r="184" spans="1:30" x14ac:dyDescent="0.2">
      <c r="A184" s="320" t="str">
        <f>IFERROR(VLOOKUP(B184,mapping_one_neo!A:B,2,FALSE),"")</f>
        <v/>
      </c>
      <c r="S184" s="349"/>
      <c r="T184" s="346"/>
      <c r="U184" s="351"/>
      <c r="V184" s="351"/>
      <c r="W184" s="351"/>
      <c r="X184" s="351"/>
      <c r="Y184" s="358"/>
      <c r="Z184" s="358"/>
      <c r="AA184" s="358"/>
      <c r="AB184" s="358"/>
      <c r="AC184" s="350"/>
    </row>
    <row r="185" spans="1:30" s="352" customFormat="1" x14ac:dyDescent="0.2">
      <c r="A185" s="320">
        <f>IFERROR(VLOOKUP(B185,mapping_one_neo!A:B,2,FALSE),"")</f>
        <v>0</v>
      </c>
      <c r="B185" s="352" t="s">
        <v>123</v>
      </c>
      <c r="C185" s="353"/>
      <c r="E185" s="356">
        <v>-1056.4001456871595</v>
      </c>
      <c r="G185" s="356">
        <v>-72.381549166666659</v>
      </c>
      <c r="H185" s="356">
        <v>-77.538119166666675</v>
      </c>
      <c r="I185" s="356">
        <v>-87.084399166666671</v>
      </c>
      <c r="J185" s="356">
        <v>-83.282141759259233</v>
      </c>
      <c r="K185" s="356">
        <v>-81.486561759259217</v>
      </c>
      <c r="L185" s="356">
        <v>-79.562363981481568</v>
      </c>
      <c r="M185" s="356">
        <v>-101.4223185968211</v>
      </c>
      <c r="N185" s="356">
        <v>-91.743487902376756</v>
      </c>
      <c r="O185" s="356">
        <v>-90.708533423210099</v>
      </c>
      <c r="P185" s="356">
        <v>-91.704564673210086</v>
      </c>
      <c r="Q185" s="356">
        <v>-90.004564673210098</v>
      </c>
      <c r="R185" s="356">
        <v>-109.48154141833135</v>
      </c>
      <c r="S185" s="349"/>
      <c r="T185" s="346"/>
      <c r="U185" s="354">
        <f>U58+U83+U104+U139+U170+U183</f>
        <v>-765.33379000000014</v>
      </c>
      <c r="V185" s="354">
        <f t="shared" ref="V185:AB185" si="36">V58+V83+V104+V139+V170+V183</f>
        <v>-143.57135333333335</v>
      </c>
      <c r="W185" s="354">
        <f t="shared" si="36"/>
        <v>-15.5833333333333</v>
      </c>
      <c r="X185" s="354">
        <f t="shared" si="36"/>
        <v>-68.733833333333379</v>
      </c>
      <c r="Y185" s="357">
        <f t="shared" si="36"/>
        <v>-1004.7223099999999</v>
      </c>
      <c r="Z185" s="357">
        <f t="shared" si="36"/>
        <v>173.93005442896583</v>
      </c>
      <c r="AA185" s="357">
        <f t="shared" si="36"/>
        <v>20.045482143053704</v>
      </c>
      <c r="AB185" s="447">
        <f t="shared" si="36"/>
        <v>-810.74677342798054</v>
      </c>
      <c r="AC185" s="355"/>
      <c r="AD185" s="334"/>
    </row>
    <row r="186" spans="1:30" x14ac:dyDescent="0.2">
      <c r="A186" s="320" t="str">
        <f>IFERROR(VLOOKUP(B186,mapping_one_neo!A:B,2,FALSE),"")</f>
        <v/>
      </c>
      <c r="S186" s="349"/>
      <c r="T186" s="346"/>
      <c r="U186" s="351"/>
      <c r="V186" s="351"/>
      <c r="W186" s="351"/>
      <c r="X186" s="351"/>
      <c r="Y186" s="358"/>
      <c r="Z186" s="358"/>
      <c r="AA186" s="358"/>
      <c r="AB186" s="358"/>
      <c r="AC186" s="350"/>
    </row>
    <row r="187" spans="1:30" x14ac:dyDescent="0.2">
      <c r="A187" s="320" t="str">
        <f>IFERROR(VLOOKUP(B187,mapping_one_neo!A:B,2,FALSE),"")</f>
        <v>Country overhead AU=0.INP Neo</v>
      </c>
      <c r="B187" s="352" t="s">
        <v>124</v>
      </c>
      <c r="C187" s="337" t="s">
        <v>768</v>
      </c>
      <c r="E187" s="356">
        <v>-562.73365000000001</v>
      </c>
      <c r="G187" s="356">
        <v>-46.894470833333337</v>
      </c>
      <c r="H187" s="356">
        <v>-46.894470833333337</v>
      </c>
      <c r="I187" s="356">
        <v>-46.894470833333337</v>
      </c>
      <c r="J187" s="356">
        <v>-46.894470833333337</v>
      </c>
      <c r="K187" s="356">
        <v>-46.894470833333337</v>
      </c>
      <c r="L187" s="356">
        <v>-46.894470833333337</v>
      </c>
      <c r="M187" s="356">
        <v>-46.894470833333337</v>
      </c>
      <c r="N187" s="356">
        <v>-46.894470833333337</v>
      </c>
      <c r="O187" s="356">
        <v>-46.894470833333337</v>
      </c>
      <c r="P187" s="356">
        <v>-46.894470833333337</v>
      </c>
      <c r="Q187" s="356">
        <v>-46.894470833333337</v>
      </c>
      <c r="R187" s="356">
        <v>-46.894470833333337</v>
      </c>
      <c r="S187" s="349"/>
      <c r="T187" s="346"/>
      <c r="U187" s="351">
        <v>-39.17</v>
      </c>
      <c r="V187" s="351">
        <v>0</v>
      </c>
      <c r="W187" s="351">
        <v>-400.08000000000004</v>
      </c>
      <c r="X187" s="351">
        <v>0</v>
      </c>
      <c r="Y187" s="358">
        <v>-439.25000000000006</v>
      </c>
      <c r="Z187" s="358"/>
      <c r="AA187" s="358"/>
      <c r="AB187" s="363">
        <v>-439.25000000000006</v>
      </c>
      <c r="AC187" s="350"/>
    </row>
    <row r="188" spans="1:30" x14ac:dyDescent="0.2">
      <c r="A188" s="320" t="str">
        <f>IFERROR(VLOOKUP(B188,mapping_one_neo!A:B,2,FALSE),"")</f>
        <v/>
      </c>
      <c r="S188" s="349"/>
      <c r="T188" s="346"/>
      <c r="U188" s="351"/>
      <c r="V188" s="351"/>
      <c r="W188" s="351"/>
      <c r="X188" s="351"/>
      <c r="Y188" s="358"/>
      <c r="Z188" s="358"/>
      <c r="AA188" s="358"/>
      <c r="AB188" s="358"/>
      <c r="AC188" s="350"/>
    </row>
    <row r="189" spans="1:30" s="352" customFormat="1" ht="13.5" thickBot="1" x14ac:dyDescent="0.25">
      <c r="A189" s="320">
        <f>IFERROR(VLOOKUP(B189,mapping_one_neo!A:B,2,FALSE),"")</f>
        <v>0</v>
      </c>
      <c r="B189" s="352" t="s">
        <v>125</v>
      </c>
      <c r="C189" s="353"/>
      <c r="E189" s="406">
        <v>1064.7890899761505</v>
      </c>
      <c r="G189" s="407">
        <v>-47.638120017778</v>
      </c>
      <c r="H189" s="407">
        <v>66.287604982221978</v>
      </c>
      <c r="I189" s="407">
        <v>60.890894982221901</v>
      </c>
      <c r="J189" s="407">
        <v>121.09979912740795</v>
      </c>
      <c r="K189" s="407">
        <v>107.85232907407365</v>
      </c>
      <c r="L189" s="407">
        <v>131.96869745185273</v>
      </c>
      <c r="M189" s="407">
        <v>11.106425399242518</v>
      </c>
      <c r="N189" s="407">
        <v>75.889422760352915</v>
      </c>
      <c r="O189" s="407">
        <v>216.34490612047261</v>
      </c>
      <c r="P189" s="407">
        <v>127.9979051561865</v>
      </c>
      <c r="Q189" s="407">
        <v>124.69790515618649</v>
      </c>
      <c r="R189" s="407">
        <v>67.698319783708541</v>
      </c>
      <c r="S189" s="349"/>
      <c r="T189" s="346"/>
      <c r="U189" s="406">
        <f>U6+U49+U185+U187</f>
        <v>-267.79059366666974</v>
      </c>
      <c r="V189" s="406">
        <f t="shared" ref="V189:AA189" si="37">V6+V49+V185+V187</f>
        <v>-83.754430583333345</v>
      </c>
      <c r="W189" s="406">
        <f t="shared" si="37"/>
        <v>-415.66333333333336</v>
      </c>
      <c r="X189" s="406">
        <f t="shared" si="37"/>
        <v>-89.985333333333386</v>
      </c>
      <c r="Y189" s="411">
        <f t="shared" si="37"/>
        <v>-868.69369091666908</v>
      </c>
      <c r="Z189" s="411">
        <f t="shared" si="37"/>
        <v>677.24221643052635</v>
      </c>
      <c r="AA189" s="411">
        <f t="shared" si="37"/>
        <v>20.582067508907365</v>
      </c>
      <c r="AB189" s="411">
        <f>AB6+AB49+AB185+AB187</f>
        <v>-170.86940697723531</v>
      </c>
      <c r="AC189" s="355"/>
      <c r="AD189" s="334"/>
    </row>
    <row r="190" spans="1:30" s="408" customFormat="1" ht="13.5" thickTop="1" x14ac:dyDescent="0.2">
      <c r="A190" s="320" t="str">
        <f>IFERROR(VLOOKUP(B190,mapping_one_neo!A:B,2,FALSE),"")</f>
        <v/>
      </c>
      <c r="E190" s="409">
        <v>0.17023361408393931</v>
      </c>
      <c r="G190" s="408">
        <v>-0.1395572912694007</v>
      </c>
      <c r="H190" s="408">
        <v>0.14595496269585756</v>
      </c>
      <c r="I190" s="408">
        <v>0.12442763665003939</v>
      </c>
      <c r="J190" s="408">
        <v>0.23553786205916724</v>
      </c>
      <c r="K190" s="408">
        <v>0.20834089102311387</v>
      </c>
      <c r="L190" s="408">
        <v>0.23022728151277719</v>
      </c>
      <c r="M190" s="408">
        <v>2.296659815619486E-2</v>
      </c>
      <c r="N190" s="408">
        <v>0.14945030311906116</v>
      </c>
      <c r="O190" s="408">
        <v>0.35450467469009223</v>
      </c>
      <c r="P190" s="408">
        <v>0.22213063957647869</v>
      </c>
      <c r="Q190" s="408">
        <v>0.21829793772579228</v>
      </c>
      <c r="R190" s="408">
        <v>0.10992658010645354</v>
      </c>
      <c r="S190" s="349"/>
      <c r="T190" s="346"/>
      <c r="U190" s="427">
        <v>0.10138171547854044</v>
      </c>
      <c r="V190" s="427" t="e">
        <v>#DIV/0!</v>
      </c>
      <c r="W190" s="427" t="e">
        <v>#DIV/0!</v>
      </c>
      <c r="X190" s="427" t="e">
        <v>#DIV/0!</v>
      </c>
      <c r="Y190" s="427">
        <v>-0.11464460809174173</v>
      </c>
      <c r="Z190" s="427"/>
      <c r="AA190" s="427" t="e">
        <v>#DIV/0!</v>
      </c>
      <c r="AB190" s="427">
        <v>-0.11464460809174173</v>
      </c>
      <c r="AC190" s="410"/>
      <c r="AD190" s="334"/>
    </row>
    <row r="191" spans="1:30" x14ac:dyDescent="0.2">
      <c r="A191" s="320" t="str">
        <f>IFERROR(VLOOKUP(B191,mapping_one_neo!A:B,2,FALSE),"")</f>
        <v/>
      </c>
      <c r="S191" s="349"/>
      <c r="T191" s="346"/>
      <c r="U191" s="351"/>
      <c r="V191" s="351"/>
      <c r="W191" s="351"/>
      <c r="X191" s="351"/>
      <c r="Y191" s="358"/>
      <c r="Z191" s="358"/>
      <c r="AA191" s="358"/>
      <c r="AB191" s="358"/>
      <c r="AC191" s="350"/>
    </row>
    <row r="192" spans="1:30" x14ac:dyDescent="0.2">
      <c r="A192" s="320" t="str">
        <f>IFERROR(VLOOKUP(B192,mapping_one_neo!A:B,2,FALSE),"")</f>
        <v>I/G exchange gains/(losses)</v>
      </c>
      <c r="B192" s="352" t="s">
        <v>126</v>
      </c>
      <c r="S192" s="349"/>
      <c r="T192" s="346"/>
      <c r="U192" s="428">
        <v>1.7572399999999999</v>
      </c>
      <c r="V192" s="412">
        <v>0</v>
      </c>
      <c r="W192" s="412">
        <v>0</v>
      </c>
      <c r="X192" s="412">
        <v>0</v>
      </c>
      <c r="Y192" s="401">
        <v>1.7572399999999999</v>
      </c>
      <c r="Z192" s="401"/>
      <c r="AA192" s="401"/>
      <c r="AB192" s="429">
        <v>1.7572399999999999</v>
      </c>
      <c r="AC192" s="350"/>
    </row>
    <row r="193" spans="1:30" x14ac:dyDescent="0.2">
      <c r="A193" s="473"/>
      <c r="B193" s="334" t="s">
        <v>126</v>
      </c>
      <c r="C193" s="337">
        <v>768003</v>
      </c>
      <c r="G193" s="335">
        <v>-46.894470833333337</v>
      </c>
      <c r="S193" s="349"/>
      <c r="T193" s="346"/>
      <c r="U193" s="430">
        <v>1.6765399999999999</v>
      </c>
      <c r="V193" s="351"/>
      <c r="W193" s="351"/>
      <c r="X193" s="351"/>
      <c r="Y193" s="358"/>
      <c r="Z193" s="358"/>
      <c r="AA193" s="358"/>
      <c r="AB193" s="431">
        <v>0</v>
      </c>
      <c r="AC193" s="350"/>
    </row>
    <row r="194" spans="1:30" x14ac:dyDescent="0.2">
      <c r="A194" s="320">
        <f>IFERROR(VLOOKUP(B194,mapping_one_neo!A:B,2,FALSE),"")</f>
        <v>0</v>
      </c>
      <c r="B194" s="334" t="s">
        <v>127</v>
      </c>
      <c r="C194" s="337">
        <v>758000</v>
      </c>
      <c r="S194" s="349"/>
      <c r="T194" s="346"/>
      <c r="U194" s="432">
        <v>8.0699999999999994E-2</v>
      </c>
      <c r="V194" s="413"/>
      <c r="W194" s="413"/>
      <c r="X194" s="413"/>
      <c r="Y194" s="433"/>
      <c r="Z194" s="433"/>
      <c r="AA194" s="433"/>
      <c r="AB194" s="434">
        <v>0</v>
      </c>
      <c r="AC194" s="350"/>
    </row>
    <row r="195" spans="1:30" x14ac:dyDescent="0.2">
      <c r="A195" s="320" t="str">
        <f>IFERROR(VLOOKUP(B195,mapping_one_neo!A:B,2,FALSE),"")</f>
        <v/>
      </c>
      <c r="S195" s="349"/>
      <c r="T195" s="346"/>
      <c r="U195" s="351"/>
      <c r="V195" s="351"/>
      <c r="W195" s="351"/>
      <c r="X195" s="351"/>
      <c r="Y195" s="358"/>
      <c r="Z195" s="358"/>
      <c r="AA195" s="358"/>
      <c r="AB195" s="358"/>
      <c r="AC195" s="350"/>
    </row>
    <row r="196" spans="1:30" x14ac:dyDescent="0.2">
      <c r="A196" s="320" t="str">
        <f>IFERROR(VLOOKUP(B196,mapping_one_neo!A:B,2,FALSE),"")</f>
        <v>I/G exchange gains/(losses)</v>
      </c>
      <c r="B196" s="352" t="s">
        <v>128</v>
      </c>
      <c r="S196" s="349"/>
      <c r="T196" s="346"/>
      <c r="U196" s="428">
        <v>-1.2369700000000001</v>
      </c>
      <c r="V196" s="412">
        <v>0</v>
      </c>
      <c r="W196" s="412">
        <v>0</v>
      </c>
      <c r="X196" s="412">
        <v>0</v>
      </c>
      <c r="Y196" s="401">
        <v>-1.2369700000000001</v>
      </c>
      <c r="Z196" s="401"/>
      <c r="AA196" s="401"/>
      <c r="AB196" s="429">
        <v>-1.2369700000000001</v>
      </c>
      <c r="AC196" s="350"/>
    </row>
    <row r="197" spans="1:30" x14ac:dyDescent="0.2">
      <c r="A197" s="473"/>
      <c r="B197" s="334" t="s">
        <v>129</v>
      </c>
      <c r="C197" s="337">
        <v>666000</v>
      </c>
      <c r="S197" s="349"/>
      <c r="T197" s="346"/>
      <c r="U197" s="430">
        <v>-1.2376100000000001</v>
      </c>
      <c r="V197" s="351"/>
      <c r="W197" s="351"/>
      <c r="X197" s="351"/>
      <c r="Y197" s="358"/>
      <c r="Z197" s="358"/>
      <c r="AA197" s="358"/>
      <c r="AB197" s="431">
        <v>0</v>
      </c>
      <c r="AC197" s="350"/>
    </row>
    <row r="198" spans="1:30" x14ac:dyDescent="0.2">
      <c r="A198" s="320">
        <f>IFERROR(VLOOKUP(B198,mapping_one_neo!A:B,2,FALSE),"")</f>
        <v>0</v>
      </c>
      <c r="B198" s="334" t="s">
        <v>127</v>
      </c>
      <c r="C198" s="414" t="s">
        <v>758</v>
      </c>
      <c r="S198" s="349"/>
      <c r="T198" s="346"/>
      <c r="U198" s="432">
        <v>6.4000000000000005E-4</v>
      </c>
      <c r="V198" s="413"/>
      <c r="W198" s="413"/>
      <c r="X198" s="413"/>
      <c r="Y198" s="433"/>
      <c r="Z198" s="433"/>
      <c r="AA198" s="433"/>
      <c r="AB198" s="434">
        <v>0</v>
      </c>
      <c r="AC198" s="350"/>
    </row>
    <row r="199" spans="1:30" x14ac:dyDescent="0.2">
      <c r="A199" s="320" t="str">
        <f>IFERROR(VLOOKUP(B199,mapping_one_neo!A:B,2,FALSE),"")</f>
        <v/>
      </c>
      <c r="S199" s="349"/>
      <c r="T199" s="346"/>
      <c r="U199" s="351"/>
      <c r="V199" s="351"/>
      <c r="W199" s="351"/>
      <c r="X199" s="351"/>
      <c r="Y199" s="358"/>
      <c r="Z199" s="358"/>
      <c r="AA199" s="358"/>
      <c r="AB199" s="358" t="s">
        <v>134</v>
      </c>
      <c r="AC199" s="350"/>
    </row>
    <row r="200" spans="1:30" x14ac:dyDescent="0.2">
      <c r="A200" s="320">
        <f>IFERROR(VLOOKUP(B200,mapping_one_neo!A:B,2,FALSE),"")</f>
        <v>0</v>
      </c>
      <c r="B200" s="352" t="s">
        <v>130</v>
      </c>
      <c r="S200" s="349"/>
      <c r="T200" s="346"/>
      <c r="U200" s="415">
        <v>193.59591633333065</v>
      </c>
      <c r="V200" s="415">
        <v>-83.679430583333357</v>
      </c>
      <c r="W200" s="415">
        <v>-415.66333333333336</v>
      </c>
      <c r="X200" s="415">
        <v>-76.719499999999996</v>
      </c>
      <c r="Y200" s="435">
        <v>-408.8406909166689</v>
      </c>
      <c r="Z200" s="435">
        <v>655.04221643052631</v>
      </c>
      <c r="AA200" s="435">
        <v>20.582067508907368</v>
      </c>
      <c r="AB200" s="435"/>
      <c r="AC200" s="350"/>
    </row>
    <row r="201" spans="1:30" x14ac:dyDescent="0.2">
      <c r="A201" s="320" t="str">
        <f>IFERROR(VLOOKUP(B201,mapping_one_neo!A:B,2,FALSE),"")</f>
        <v/>
      </c>
      <c r="S201" s="349"/>
      <c r="T201" s="346"/>
      <c r="U201" s="351"/>
      <c r="V201" s="351"/>
      <c r="W201" s="351"/>
      <c r="X201" s="351"/>
      <c r="Y201" s="358"/>
      <c r="Z201" s="358"/>
      <c r="AA201" s="358"/>
      <c r="AB201" s="358"/>
      <c r="AC201" s="350"/>
    </row>
    <row r="202" spans="1:30" s="352" customFormat="1" x14ac:dyDescent="0.2">
      <c r="A202" s="320">
        <f>IFERROR(VLOOKUP(B202,mapping_one_neo!A:B,2,FALSE),"")</f>
        <v>0</v>
      </c>
      <c r="B202" s="352" t="s">
        <v>131</v>
      </c>
      <c r="C202" s="353"/>
      <c r="E202" s="356"/>
      <c r="G202" s="335"/>
      <c r="H202" s="335"/>
      <c r="I202" s="335"/>
      <c r="J202" s="335"/>
      <c r="K202" s="335"/>
      <c r="L202" s="335"/>
      <c r="M202" s="335"/>
      <c r="N202" s="335"/>
      <c r="O202" s="335"/>
      <c r="P202" s="335"/>
      <c r="Q202" s="335"/>
      <c r="R202" s="335"/>
      <c r="S202" s="349"/>
      <c r="T202" s="346"/>
      <c r="U202" s="415">
        <v>159.20882333333051</v>
      </c>
      <c r="V202" s="354"/>
      <c r="W202" s="354"/>
      <c r="X202" s="415">
        <v>-69.477566666666689</v>
      </c>
      <c r="Y202" s="435">
        <v>0</v>
      </c>
      <c r="Z202" s="435"/>
      <c r="AA202" s="435">
        <v>0</v>
      </c>
      <c r="AB202" s="435">
        <v>0</v>
      </c>
      <c r="AC202" s="355"/>
    </row>
    <row r="203" spans="1:30" ht="13.5" thickBot="1" x14ac:dyDescent="0.25">
      <c r="A203" s="320" t="str">
        <f>IFERROR(VLOOKUP(B203,mapping_one_neo!A:B,2,FALSE),"")</f>
        <v/>
      </c>
      <c r="S203" s="349"/>
      <c r="T203" s="416"/>
      <c r="U203" s="418"/>
      <c r="V203" s="418"/>
      <c r="W203" s="418"/>
      <c r="X203" s="418"/>
      <c r="Y203" s="436"/>
      <c r="Z203" s="436"/>
      <c r="AA203" s="436"/>
      <c r="AB203" s="436"/>
      <c r="AC203" s="417"/>
    </row>
    <row r="204" spans="1:30" x14ac:dyDescent="0.2">
      <c r="A204" s="320" t="str">
        <f>IFERROR(VLOOKUP(B204,mapping_one_neo!A:B,2,FALSE),"")</f>
        <v/>
      </c>
    </row>
    <row r="205" spans="1:30" s="352" customFormat="1" x14ac:dyDescent="0.2">
      <c r="A205" s="320">
        <f>IFERROR(VLOOKUP(B205,mapping_one_neo!A:B,2,FALSE),"")</f>
        <v>0</v>
      </c>
      <c r="B205" s="352" t="s">
        <v>132</v>
      </c>
      <c r="C205" s="353"/>
      <c r="E205" s="356"/>
      <c r="G205" s="356"/>
      <c r="H205" s="356"/>
      <c r="I205" s="356"/>
      <c r="J205" s="356"/>
      <c r="K205" s="356"/>
      <c r="L205" s="356"/>
      <c r="M205" s="356"/>
      <c r="N205" s="356"/>
      <c r="O205" s="356"/>
      <c r="P205" s="356"/>
      <c r="Q205" s="356"/>
      <c r="R205" s="356"/>
      <c r="U205" s="356"/>
      <c r="V205" s="356"/>
      <c r="W205" s="356"/>
      <c r="X205" s="356"/>
      <c r="Y205" s="437"/>
      <c r="Z205" s="437"/>
      <c r="AA205" s="437"/>
      <c r="AB205" s="437">
        <f>AB6+AB49+AB58+AB83+AB104+AB139+AB170+AB183+U187+U192+U196-AB167</f>
        <v>227.44957993578723</v>
      </c>
      <c r="AD205" s="352" t="s">
        <v>136</v>
      </c>
    </row>
    <row r="206" spans="1:30" x14ac:dyDescent="0.2">
      <c r="A206" s="320" t="str">
        <f>IFERROR(VLOOKUP(B206,mapping_one_neo!A:B,2,FALSE),"")</f>
        <v/>
      </c>
    </row>
    <row r="207" spans="1:30" s="352" customFormat="1" x14ac:dyDescent="0.2">
      <c r="A207" s="320">
        <f>IFERROR(VLOOKUP(B207,mapping_one_neo!A:B,2,FALSE),"")</f>
        <v>0</v>
      </c>
      <c r="B207" s="352" t="s">
        <v>133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35"/>
      <c r="V207" s="335"/>
      <c r="W207" s="356"/>
      <c r="X207" s="356"/>
      <c r="Y207" s="437"/>
      <c r="Z207" s="437"/>
      <c r="AA207" s="437"/>
      <c r="AB207" s="437"/>
    </row>
    <row r="208" spans="1:30" x14ac:dyDescent="0.2">
      <c r="A208" s="320" t="str">
        <f>IFERROR(VLOOKUP(B208,mapping_one_neo!A:B,2,FALSE),"")</f>
        <v/>
      </c>
    </row>
    <row r="209" spans="1:30" x14ac:dyDescent="0.2">
      <c r="A209" s="320" t="str">
        <f>IFERROR(VLOOKUP(B209,mapping_one_neo!A:B,2,FALSE),"")</f>
        <v/>
      </c>
    </row>
    <row r="210" spans="1:30" x14ac:dyDescent="0.2">
      <c r="B210" s="334" t="s">
        <v>794</v>
      </c>
    </row>
    <row r="215" spans="1:30" s="335" customFormat="1" x14ac:dyDescent="0.2">
      <c r="A215" s="320"/>
      <c r="C215" s="337"/>
      <c r="D215" s="334"/>
      <c r="F215" s="334"/>
      <c r="S215" s="334"/>
      <c r="T215" s="334"/>
      <c r="Y215" s="420"/>
      <c r="Z215" s="420"/>
      <c r="AA215" s="420"/>
      <c r="AB215" s="420"/>
      <c r="AC215" s="334"/>
      <c r="AD215" s="334"/>
    </row>
    <row r="216" spans="1:30" s="335" customFormat="1" x14ac:dyDescent="0.2">
      <c r="A216" s="320"/>
      <c r="C216" s="337"/>
      <c r="D216" s="334"/>
      <c r="F216" s="334"/>
      <c r="S216" s="334"/>
      <c r="T216" s="334"/>
      <c r="Y216" s="420"/>
      <c r="Z216" s="420"/>
      <c r="AA216" s="420"/>
      <c r="AB216" s="420"/>
      <c r="AC216" s="334"/>
      <c r="AD216" s="334"/>
    </row>
    <row r="217" spans="1:30" s="335" customFormat="1" x14ac:dyDescent="0.2">
      <c r="A217" s="320"/>
      <c r="C217" s="337"/>
      <c r="D217" s="334"/>
      <c r="F217" s="334"/>
      <c r="S217" s="334"/>
      <c r="T217" s="334"/>
      <c r="Y217" s="420"/>
      <c r="Z217" s="420"/>
      <c r="AA217" s="420"/>
      <c r="AB217" s="420"/>
      <c r="AC217" s="334"/>
      <c r="AD217" s="334"/>
    </row>
    <row r="218" spans="1:30" s="335" customFormat="1" x14ac:dyDescent="0.2">
      <c r="A218" s="320"/>
      <c r="C218" s="337"/>
      <c r="D218" s="334"/>
      <c r="F218" s="334"/>
      <c r="S218" s="334"/>
      <c r="T218" s="334"/>
      <c r="Y218" s="420"/>
      <c r="Z218" s="420"/>
      <c r="AA218" s="420"/>
      <c r="AB218" s="420"/>
      <c r="AC218" s="334"/>
      <c r="AD218" s="334"/>
    </row>
    <row r="219" spans="1:30" s="335" customFormat="1" x14ac:dyDescent="0.2">
      <c r="A219" s="320"/>
      <c r="C219" s="337"/>
      <c r="D219" s="334"/>
      <c r="F219" s="334"/>
      <c r="S219" s="334"/>
      <c r="T219" s="334"/>
      <c r="Y219" s="420"/>
      <c r="Z219" s="420"/>
      <c r="AA219" s="420"/>
      <c r="AB219" s="420"/>
      <c r="AC219" s="334"/>
      <c r="AD219" s="334"/>
    </row>
  </sheetData>
  <autoFilter ref="A1:AE219"/>
  <mergeCells count="1">
    <mergeCell ref="AD9:AD10"/>
  </mergeCells>
  <pageMargins left="0.7" right="0.7" top="0.75" bottom="0.75" header="0.3" footer="0.3"/>
  <pageSetup paperSize="121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9" tint="0.39997558519241921"/>
    <pageSetUpPr fitToPage="1"/>
  </sheetPr>
  <dimension ref="A1:N76"/>
  <sheetViews>
    <sheetView showGridLines="0" topLeftCell="A50" workbookViewId="0">
      <selection activeCell="F83" sqref="F83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customWidth="1"/>
    <col min="5" max="6" width="13.85546875" style="289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43009</v>
      </c>
      <c r="E13" s="324" t="e">
        <f ca="1">juilletNTENANT()</f>
        <v>#NAME?</v>
      </c>
      <c r="F13" s="323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287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287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SUMIF(Octobre!$A:$A,'p&amp;l Octobre'!D16,Octobre!$AB:$AB)</f>
        <v>3557.63168633333</v>
      </c>
      <c r="F16" s="289">
        <f>SUMIF(Octobre!$A:$A,'p&amp;l Octobre'!D16,Octobre!$X:$X)</f>
        <v>0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0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291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SUMIF(Octobre!$A:$A,'p&amp;l Octobre'!D19,Octobre!$AB:$AB)</f>
        <v>-1897.9453649999996</v>
      </c>
      <c r="F19" s="289">
        <f>SUMIF(Octobre!$A:$A,'p&amp;l Octobre'!D19,Octobre!$X:$X)</f>
        <v>-1.04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8">
        <f>SUMIF(Octobre!$A:$A,'p&amp;l Octobre'!D20,Octobre!$AB:$AB)</f>
        <v>-829.78071224999997</v>
      </c>
      <c r="F20" s="289">
        <f>SUMIF(Octobre!$A:$A,'p&amp;l Octobre'!D20,Octobre!$X:$X)</f>
        <v>-2.9870000000000001</v>
      </c>
      <c r="G20" s="293" t="e">
        <f t="shared" ca="1" si="0"/>
        <v>#NAME?</v>
      </c>
      <c r="H20" s="293" t="e">
        <f t="shared" ca="1" si="0"/>
        <v>#NAME?</v>
      </c>
      <c r="K20" s="475"/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SUMIF(Octobre!$A:$A,'p&amp;l Octobre'!D21,Octobre!$AB:$AB)</f>
        <v>-185.35557</v>
      </c>
      <c r="F21" s="289">
        <f>SUMIF(Octobre!$A:$A,'p&amp;l Octobre'!D21,Octobre!$X:$X)</f>
        <v>-12.7395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SUMIF(Octobre!$A:$A,'p&amp;l Octobre'!D22,Octobre!$AB:$AB)</f>
        <v>0</v>
      </c>
      <c r="F22" s="289">
        <f>SUMIF(Octobre!$A:$A,'p&amp;l Octobre'!D22,Octobre!$X:$X)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SUMIF(Octobre!$A:$A,'p&amp;l Octobre'!D23,Octobre!$AB:$AB)</f>
        <v>0</v>
      </c>
      <c r="F23" s="289">
        <f>SUMIF(Octobre!$A:$A,'p&amp;l Octobre'!D23,Octobre!$X:$X)</f>
        <v>0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SUMIF(Octobre!$A:$A,'p&amp;l Octobre'!D24,Octobre!$AB:$AB)</f>
        <v>0.74</v>
      </c>
      <c r="F24" s="289">
        <f>SUMIF(Octobre!$A:$A,'p&amp;l Octobre'!D24,Octobre!$X:$X)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SUMIF(Octobre!$A:$A,'p&amp;l Octobre'!D25,Octobre!$AB:$AB)</f>
        <v>454.73874736741419</v>
      </c>
      <c r="F25" s="289">
        <f>SUMIF(Octobre!$A:$A,'p&amp;l Octobre'!D25,Octobre!$X:$X)</f>
        <v>-4.4850000000000003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SUMIF(Octobre!$A:$A,'p&amp;l Octobre'!D26,Octobre!$AB:$AB)</f>
        <v>-36.80442</v>
      </c>
      <c r="F26" s="289">
        <f>SUMIF(Octobre!$A:$A,'p&amp;l Octobre'!D26,Octobre!$X:$X)</f>
        <v>0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SUMIF(Octobre!$A:$A,'p&amp;l Octobre'!D27,Octobre!$AB:$AB)</f>
        <v>-10.199999999999999</v>
      </c>
      <c r="F27" s="289">
        <f>SUMIF(Octobre!$A:$A,'p&amp;l Octobre'!D27,Octobre!$X:$X)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SUMIF(Octobre!$A:$A,'p&amp;l Octobre'!D28,Octobre!$AB:$AB)</f>
        <v>26.103000000000002</v>
      </c>
      <c r="F28" s="289">
        <f>SUMIF(Octobre!$A:$A,'p&amp;l Octobre'!D28,Octobre!$X:$X)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-2478.5043198825852</v>
      </c>
      <c r="F29" s="317">
        <f>SUMIF(Fev!$A:$A,'p&amp;l Octobre'!D29,Fev!$X:$X)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318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SUMIF(Octobre!$A:$A,'p&amp;l Octobre'!D31,Octobre!$AB:$AB)</f>
        <v>-242.34</v>
      </c>
      <c r="F31" s="289">
        <f>SUMIF(Octobre!$A:$A,'p&amp;l Octobre'!D31,Octobre!$X:$X)</f>
        <v>-11.5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SUMIF(Octobre!$A:$A,'p&amp;l Octobre'!D32,Octobre!$AB:$AB)</f>
        <v>57.275476708333571</v>
      </c>
      <c r="F32" s="289">
        <f>SUMIF(Octobre!$A:$A,'p&amp;l Octobre'!D32,Octobre!$X:$X)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  <c r="J32" t="s">
        <v>822</v>
      </c>
    </row>
    <row r="33" spans="1:13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-185.06452329166643</v>
      </c>
      <c r="F33" s="317">
        <f>SUMIF(Fev!$A:$A,'p&amp;l Octobre'!D33,Fev!$X:$X)</f>
        <v>0</v>
      </c>
      <c r="G33" s="294"/>
      <c r="H33" s="294"/>
    </row>
    <row r="34" spans="1:13" x14ac:dyDescent="0.25">
      <c r="A34" t="s">
        <v>329</v>
      </c>
      <c r="B34" t="s">
        <v>172</v>
      </c>
      <c r="C34">
        <v>0</v>
      </c>
      <c r="D34" t="s">
        <v>511</v>
      </c>
      <c r="E34" s="327">
        <f>SUMIF(Octobre!$A:$A,'p&amp;l Octobre'!D34,Octobre!$AB:$AB)</f>
        <v>-30.483400000000003</v>
      </c>
      <c r="F34" s="289">
        <f>SUMIF(Octobre!$A:$A,'p&amp;l Octobre'!D34,Octobre!$X:$X)</f>
        <v>-7.7830000000000004</v>
      </c>
      <c r="G34" s="293" t="e">
        <f t="shared" ref="G34:H38" ca="1" si="1">PutCtData("PKAMOUNT","AMOUNT",G$4:G$7,$A34:$C34,G$10:G$11,$E34)</f>
        <v>#NAME?</v>
      </c>
      <c r="H34" s="293" t="e">
        <f t="shared" ca="1" si="1"/>
        <v>#NAME?</v>
      </c>
    </row>
    <row r="35" spans="1:13" x14ac:dyDescent="0.25">
      <c r="A35" t="s">
        <v>330</v>
      </c>
      <c r="B35" t="s">
        <v>172</v>
      </c>
      <c r="C35">
        <v>0</v>
      </c>
      <c r="D35" t="s">
        <v>510</v>
      </c>
      <c r="E35" s="327">
        <f>SUMIF(Octobre!$A:$A,'p&amp;l Octobre'!D35,Octobre!$AB:$AB)</f>
        <v>-148.69282000000004</v>
      </c>
      <c r="F35" s="289">
        <f>SUMIF(Octobre!$A:$A,'p&amp;l Octobre'!D35,Octobre!$X:$X)</f>
        <v>-1.8</v>
      </c>
      <c r="G35" s="293" t="e">
        <f t="shared" ca="1" si="1"/>
        <v>#NAME?</v>
      </c>
      <c r="H35" s="293" t="e">
        <f t="shared" ca="1" si="1"/>
        <v>#NAME?</v>
      </c>
    </row>
    <row r="36" spans="1:13" x14ac:dyDescent="0.25">
      <c r="A36" t="s">
        <v>326</v>
      </c>
      <c r="B36" t="s">
        <v>172</v>
      </c>
      <c r="C36">
        <v>0</v>
      </c>
      <c r="D36" t="s">
        <v>512</v>
      </c>
      <c r="E36" s="327">
        <f>SUMIF(Octobre!$A:$A,'p&amp;l Octobre'!D36,Octobre!$AB:$AB)</f>
        <v>-22.587319999999998</v>
      </c>
      <c r="F36" s="289">
        <f>SUMIF(Octobre!$A:$A,'p&amp;l Octobre'!D36,Octobre!$X:$X)</f>
        <v>0</v>
      </c>
      <c r="G36" s="293" t="e">
        <f t="shared" ca="1" si="1"/>
        <v>#NAME?</v>
      </c>
      <c r="H36" s="293" t="e">
        <f t="shared" ca="1" si="1"/>
        <v>#NAME?</v>
      </c>
    </row>
    <row r="37" spans="1:13" x14ac:dyDescent="0.25">
      <c r="A37" t="s">
        <v>324</v>
      </c>
      <c r="B37" t="s">
        <v>172</v>
      </c>
      <c r="C37">
        <v>0</v>
      </c>
      <c r="D37" t="s">
        <v>513</v>
      </c>
      <c r="E37" s="476">
        <f>SUMIF(Octobre!$A:$A,'p&amp;l Octobre'!D37,Octobre!$AB:$AB)</f>
        <v>-16.356440000000003</v>
      </c>
      <c r="F37" s="289">
        <f>SUMIF(Octobre!$A:$A,'p&amp;l Octobre'!D37,Octobre!$X:$X)</f>
        <v>0</v>
      </c>
      <c r="G37" s="293" t="e">
        <f t="shared" ca="1" si="1"/>
        <v>#NAME?</v>
      </c>
      <c r="H37" s="293" t="e">
        <f t="shared" ca="1" si="1"/>
        <v>#NAME?</v>
      </c>
    </row>
    <row r="38" spans="1:13" x14ac:dyDescent="0.25">
      <c r="A38" t="s">
        <v>324</v>
      </c>
      <c r="B38" t="s">
        <v>172</v>
      </c>
      <c r="C38">
        <v>0</v>
      </c>
      <c r="D38" t="s">
        <v>816</v>
      </c>
      <c r="E38" s="476">
        <f>SUMIF(Octobre!$A:$A,'p&amp;l Octobre'!D38,Octobre!$AB:$AB)</f>
        <v>30.3892279751107</v>
      </c>
      <c r="F38" s="289">
        <f>SUMIF(Octobre!$A:$A,'p&amp;l Octobre'!D38,Octobre!$X:$X)</f>
        <v>0</v>
      </c>
      <c r="G38" s="293" t="e">
        <f t="shared" ca="1" si="1"/>
        <v>#NAME?</v>
      </c>
      <c r="H38" s="293" t="e">
        <f t="shared" ca="1" si="1"/>
        <v>#NAME?</v>
      </c>
    </row>
    <row r="39" spans="1:13" x14ac:dyDescent="0.25">
      <c r="A39" t="s">
        <v>776</v>
      </c>
      <c r="B39" t="s">
        <v>776</v>
      </c>
      <c r="C39" t="s">
        <v>776</v>
      </c>
      <c r="D39" s="147" t="s">
        <v>729</v>
      </c>
      <c r="E39" s="326">
        <f>SUM(E34:E38)</f>
        <v>-187.73075202488934</v>
      </c>
      <c r="F39" s="317">
        <f>SUMIF(Fev!$A:$A,'p&amp;l Octobre'!D39,Fev!$X:$X)</f>
        <v>0</v>
      </c>
      <c r="G39" s="294"/>
      <c r="H39" s="294"/>
    </row>
    <row r="40" spans="1:13" s="284" customFormat="1" x14ac:dyDescent="0.25">
      <c r="A40" t="s">
        <v>776</v>
      </c>
      <c r="B40" t="s">
        <v>776</v>
      </c>
      <c r="C40" t="s">
        <v>776</v>
      </c>
      <c r="D40" s="127"/>
      <c r="E40" s="328"/>
      <c r="F40" s="318"/>
      <c r="G40" s="295"/>
      <c r="H40" s="295"/>
    </row>
    <row r="41" spans="1:13" x14ac:dyDescent="0.25">
      <c r="A41" t="s">
        <v>337</v>
      </c>
      <c r="B41" t="s">
        <v>172</v>
      </c>
      <c r="C41">
        <v>0</v>
      </c>
      <c r="D41" t="s">
        <v>514</v>
      </c>
      <c r="E41" s="327">
        <f>SUMIF(Octobre!$A:$A,'p&amp;l Octobre'!D41,Octobre!$AB:$AB)</f>
        <v>-3.6005099999999999</v>
      </c>
      <c r="F41" s="289">
        <f>SUMIF(Octobre!$A:$A,'p&amp;l Octobre'!D41,Octobre!$X:$X)</f>
        <v>0.85</v>
      </c>
      <c r="G41" s="293" t="e">
        <f t="shared" ref="G41:H44" ca="1" si="2">PutCtData("PKAMOUNT","AMOUNT",G$4:G$7,$A41:$C41,G$10:G$11,$E41)</f>
        <v>#NAME?</v>
      </c>
      <c r="H41" s="293" t="e">
        <f t="shared" ca="1" si="2"/>
        <v>#NAME?</v>
      </c>
    </row>
    <row r="42" spans="1:13" x14ac:dyDescent="0.25">
      <c r="A42" t="s">
        <v>339</v>
      </c>
      <c r="B42" t="s">
        <v>172</v>
      </c>
      <c r="C42">
        <v>0</v>
      </c>
      <c r="D42" t="s">
        <v>515</v>
      </c>
      <c r="E42" s="327">
        <f>SUMIF(Octobre!$A:$A,'p&amp;l Octobre'!D42,Octobre!$AB:$AB)</f>
        <v>-3.1534000000000004</v>
      </c>
      <c r="F42" s="289">
        <f>SUMIF(Octobre!$A:$A,'p&amp;l Octobre'!D42,Octobre!$X:$X)</f>
        <v>-0.92499999999999993</v>
      </c>
      <c r="G42" s="293" t="e">
        <f t="shared" ca="1" si="2"/>
        <v>#NAME?</v>
      </c>
      <c r="H42" s="293" t="e">
        <f t="shared" ca="1" si="2"/>
        <v>#NAME?</v>
      </c>
    </row>
    <row r="43" spans="1:13" x14ac:dyDescent="0.25">
      <c r="A43" t="s">
        <v>338</v>
      </c>
      <c r="B43" t="s">
        <v>172</v>
      </c>
      <c r="C43">
        <v>0</v>
      </c>
      <c r="D43" t="s">
        <v>516</v>
      </c>
      <c r="E43" s="327">
        <f>SUMIF(Octobre!$A:$A,'p&amp;l Octobre'!D43,Octobre!$AB:$AB)</f>
        <v>-230.47953999999999</v>
      </c>
      <c r="F43" s="289">
        <f>SUMIF(Octobre!$A:$A,'p&amp;l Octobre'!D43,Octobre!$X:$X)</f>
        <v>-28.1</v>
      </c>
      <c r="G43" s="293" t="e">
        <f t="shared" ca="1" si="2"/>
        <v>#NAME?</v>
      </c>
      <c r="H43" s="293" t="e">
        <f t="shared" ca="1" si="2"/>
        <v>#NAME?</v>
      </c>
    </row>
    <row r="44" spans="1:13" x14ac:dyDescent="0.25">
      <c r="A44" t="s">
        <v>357</v>
      </c>
      <c r="B44" t="s">
        <v>172</v>
      </c>
      <c r="C44">
        <v>0</v>
      </c>
      <c r="D44" t="s">
        <v>517</v>
      </c>
      <c r="E44" s="327">
        <f>SUMIF(Octobre!$A:$A,'p&amp;l Octobre'!D44,Octobre!$AB:$AB)</f>
        <v>12.955654459635603</v>
      </c>
      <c r="F44" s="289">
        <f>SUMIF(Octobre!$A:$A,'p&amp;l Octobre'!D44,Octobre!$X:$X)</f>
        <v>-0.9</v>
      </c>
      <c r="G44" s="293" t="e">
        <f t="shared" ca="1" si="2"/>
        <v>#NAME?</v>
      </c>
      <c r="H44" s="293" t="e">
        <f t="shared" ca="1" si="2"/>
        <v>#NAME?</v>
      </c>
    </row>
    <row r="45" spans="1:13" x14ac:dyDescent="0.25">
      <c r="A45" t="s">
        <v>776</v>
      </c>
      <c r="B45" t="s">
        <v>776</v>
      </c>
      <c r="C45" t="s">
        <v>776</v>
      </c>
      <c r="D45" s="147" t="s">
        <v>725</v>
      </c>
      <c r="E45" s="326">
        <f>SUM(E41:E44)</f>
        <v>-224.27779554036437</v>
      </c>
      <c r="F45" s="317">
        <f>SUMIF(Fev!$A:$A,'p&amp;l Octobre'!D45,Fev!$X:$X)</f>
        <v>0</v>
      </c>
      <c r="G45" s="294"/>
      <c r="H45" s="294"/>
    </row>
    <row r="46" spans="1:13" x14ac:dyDescent="0.25">
      <c r="A46" t="s">
        <v>776</v>
      </c>
      <c r="B46" t="s">
        <v>776</v>
      </c>
      <c r="C46" t="s">
        <v>776</v>
      </c>
      <c r="D46" s="127"/>
      <c r="E46" s="327"/>
      <c r="F46" s="316"/>
      <c r="G46" s="286"/>
      <c r="H46" s="286"/>
    </row>
    <row r="47" spans="1:13" x14ac:dyDescent="0.25">
      <c r="A47" t="s">
        <v>359</v>
      </c>
      <c r="B47" t="s">
        <v>172</v>
      </c>
      <c r="C47">
        <v>0</v>
      </c>
      <c r="D47" t="s">
        <v>518</v>
      </c>
      <c r="E47" s="327">
        <f>SUMIF(Octobre!$A:$A,'p&amp;l Octobre'!D47,Octobre!$AB:$AB)</f>
        <v>-7.9015749871287611</v>
      </c>
      <c r="F47" s="289">
        <f>SUMIF(Octobre!$A:$A,'p&amp;l Octobre'!D47,Octobre!$X:$X)</f>
        <v>-0.4</v>
      </c>
      <c r="G47" s="293" t="e">
        <f t="shared" ref="G47:H55" ca="1" si="3">PutCtData("PKAMOUNT","AMOUNT",G$4:G$7,$A47:$C47,G$10:G$11,$E47)</f>
        <v>#NAME?</v>
      </c>
      <c r="H47" s="293" t="e">
        <f t="shared" ca="1" si="3"/>
        <v>#NAME?</v>
      </c>
      <c r="J47" s="284"/>
      <c r="K47" s="284"/>
      <c r="L47" s="284"/>
      <c r="M47" s="284"/>
    </row>
    <row r="48" spans="1:13" x14ac:dyDescent="0.25">
      <c r="A48" t="s">
        <v>364</v>
      </c>
      <c r="B48" t="s">
        <v>172</v>
      </c>
      <c r="C48">
        <v>0</v>
      </c>
      <c r="D48" t="s">
        <v>519</v>
      </c>
      <c r="E48" s="327">
        <f>SUMIF(Octobre!$A:$A,'p&amp;l Octobre'!D48,Octobre!$AB:$AB)</f>
        <v>-0.83624999999999994</v>
      </c>
      <c r="F48" s="289">
        <f>SUMIF(Octobre!$A:$A,'p&amp;l Octobre'!D48,Octobre!$X:$X)</f>
        <v>0</v>
      </c>
      <c r="G48" s="293" t="e">
        <f t="shared" ca="1" si="3"/>
        <v>#NAME?</v>
      </c>
      <c r="H48" s="293" t="e">
        <f t="shared" ca="1" si="3"/>
        <v>#NAME?</v>
      </c>
      <c r="J48" s="284"/>
      <c r="K48" s="284"/>
      <c r="L48" s="284"/>
      <c r="M48" s="284"/>
    </row>
    <row r="49" spans="1:13" x14ac:dyDescent="0.25">
      <c r="A49" t="s">
        <v>366</v>
      </c>
      <c r="B49" t="s">
        <v>172</v>
      </c>
      <c r="C49">
        <v>0</v>
      </c>
      <c r="D49" t="s">
        <v>520</v>
      </c>
      <c r="E49" s="327">
        <f>SUMIF(Octobre!$A:$A,'p&amp;l Octobre'!D49,Octobre!$AB:$AB)</f>
        <v>-96.809223781913033</v>
      </c>
      <c r="F49" s="289">
        <f>SUMIF(Octobre!$A:$A,'p&amp;l Octobre'!D49,Octobre!$X:$X)</f>
        <v>-0.2</v>
      </c>
      <c r="G49" s="293" t="e">
        <f t="shared" ca="1" si="3"/>
        <v>#NAME?</v>
      </c>
      <c r="H49" s="293" t="e">
        <f t="shared" ca="1" si="3"/>
        <v>#NAME?</v>
      </c>
      <c r="J49" s="284"/>
      <c r="K49" s="284"/>
      <c r="L49" s="284"/>
      <c r="M49" s="284"/>
    </row>
    <row r="50" spans="1:13" x14ac:dyDescent="0.25">
      <c r="A50" t="s">
        <v>372</v>
      </c>
      <c r="B50" t="s">
        <v>196</v>
      </c>
      <c r="C50">
        <v>0</v>
      </c>
      <c r="D50" t="s">
        <v>521</v>
      </c>
      <c r="E50" s="327">
        <f>SUMIF(Octobre!$A:$A,'p&amp;l Octobre'!D50,Octobre!$AB:$AB)</f>
        <v>-10.494568235671197</v>
      </c>
      <c r="F50" s="289">
        <f>SUMIF(Octobre!$A:$A,'p&amp;l Octobre'!D50,Octobre!$X:$X)</f>
        <v>-0.79999999999999993</v>
      </c>
      <c r="G50" s="293" t="e">
        <f t="shared" ca="1" si="3"/>
        <v>#NAME?</v>
      </c>
      <c r="H50" s="293" t="e">
        <f t="shared" ca="1" si="3"/>
        <v>#NAME?</v>
      </c>
    </row>
    <row r="51" spans="1:13" x14ac:dyDescent="0.25">
      <c r="A51" t="s">
        <v>373</v>
      </c>
      <c r="B51" t="s">
        <v>196</v>
      </c>
      <c r="C51">
        <v>0</v>
      </c>
      <c r="D51" t="s">
        <v>524</v>
      </c>
      <c r="E51" s="327">
        <f>SUMIF(Octobre!$A:$A,'p&amp;l Octobre'!D51,Octobre!$AB:$AB)</f>
        <v>-0.83000000000000007</v>
      </c>
      <c r="F51" s="289">
        <f>SUMIF(Octobre!$A:$A,'p&amp;l Octobre'!D51,Octobre!$X:$X)</f>
        <v>0</v>
      </c>
      <c r="G51" s="293" t="e">
        <f t="shared" ca="1" si="3"/>
        <v>#NAME?</v>
      </c>
      <c r="H51" s="293" t="e">
        <f t="shared" ca="1" si="3"/>
        <v>#NAME?</v>
      </c>
    </row>
    <row r="52" spans="1:13" x14ac:dyDescent="0.25">
      <c r="A52" t="s">
        <v>374</v>
      </c>
      <c r="B52" t="s">
        <v>196</v>
      </c>
      <c r="C52">
        <v>0</v>
      </c>
      <c r="D52" t="s">
        <v>522</v>
      </c>
      <c r="E52" s="327">
        <f>SUMIF(Octobre!$A:$A,'p&amp;l Octobre'!D52,Octobre!$AB:$AB)</f>
        <v>-52.08</v>
      </c>
      <c r="F52" s="289">
        <f>SUMIF(Octobre!$A:$A,'p&amp;l Octobre'!D52,Octobre!$X:$X)</f>
        <v>0</v>
      </c>
      <c r="G52" s="293" t="e">
        <f t="shared" ca="1" si="3"/>
        <v>#NAME?</v>
      </c>
      <c r="H52" s="293" t="e">
        <f t="shared" ca="1" si="3"/>
        <v>#NAME?</v>
      </c>
    </row>
    <row r="53" spans="1:13" x14ac:dyDescent="0.25">
      <c r="A53" t="s">
        <v>371</v>
      </c>
      <c r="B53" t="s">
        <v>196</v>
      </c>
      <c r="C53">
        <v>0</v>
      </c>
      <c r="D53" t="s">
        <v>525</v>
      </c>
      <c r="E53" s="327">
        <f>SUMIF(Octobre!$A:$A,'p&amp;l Octobre'!D53,Octobre!$AB:$AB)</f>
        <v>-5.8260700000000032</v>
      </c>
      <c r="F53" s="289">
        <f>SUMIF(Octobre!$A:$A,'p&amp;l Octobre'!D53,Octobre!$X:$X)</f>
        <v>-1.76</v>
      </c>
      <c r="G53" s="293" t="e">
        <f t="shared" ca="1" si="3"/>
        <v>#NAME?</v>
      </c>
      <c r="H53" s="293" t="e">
        <f t="shared" ca="1" si="3"/>
        <v>#NAME?</v>
      </c>
    </row>
    <row r="54" spans="1:13" x14ac:dyDescent="0.25">
      <c r="A54" t="s">
        <v>367</v>
      </c>
      <c r="B54" t="s">
        <v>196</v>
      </c>
      <c r="C54">
        <v>0</v>
      </c>
      <c r="D54" t="s">
        <v>523</v>
      </c>
      <c r="E54" s="327">
        <f>SUMIF(Octobre!$A:$A,'p&amp;l Octobre'!D54,Octobre!$AB:$AB)</f>
        <v>-1.758</v>
      </c>
      <c r="F54" s="289">
        <f>SUMIF(Octobre!$A:$A,'p&amp;l Octobre'!D54,Octobre!$X:$X)</f>
        <v>-1.5</v>
      </c>
      <c r="G54" s="293" t="e">
        <f t="shared" ca="1" si="3"/>
        <v>#NAME?</v>
      </c>
      <c r="H54" s="293" t="e">
        <f t="shared" ca="1" si="3"/>
        <v>#NAME?</v>
      </c>
    </row>
    <row r="55" spans="1:13" x14ac:dyDescent="0.25">
      <c r="A55" t="s">
        <v>378</v>
      </c>
      <c r="B55" t="s">
        <v>296</v>
      </c>
      <c r="D55" t="s">
        <v>645</v>
      </c>
      <c r="E55" s="327">
        <f>SUMIF(Octobre!$A:$A,'p&amp;l Octobre'!D55,Octobre!$AB:$AB)</f>
        <v>-24.765833333333369</v>
      </c>
      <c r="F55" s="288">
        <f>SUMIF(Octobre!$A:$A,'p&amp;l Octobre'!D55,Octobre!$X:$X)</f>
        <v>-24.765833333333369</v>
      </c>
      <c r="G55" s="293" t="e">
        <f t="shared" ca="1" si="3"/>
        <v>#NAME?</v>
      </c>
      <c r="H55" s="293" t="e">
        <f t="shared" ca="1" si="3"/>
        <v>#NAME?</v>
      </c>
    </row>
    <row r="56" spans="1:13" x14ac:dyDescent="0.25">
      <c r="A56" t="s">
        <v>776</v>
      </c>
      <c r="B56" t="s">
        <v>776</v>
      </c>
      <c r="C56" t="s">
        <v>776</v>
      </c>
      <c r="D56" s="147" t="s">
        <v>726</v>
      </c>
      <c r="E56" s="326">
        <f>SUM(E47:E55)</f>
        <v>-201.3015203380464</v>
      </c>
      <c r="F56" s="317">
        <f>SUMIF(Fev!$A:$A,'p&amp;l Octobre'!D56,Fev!$X:$X)</f>
        <v>0</v>
      </c>
      <c r="G56" s="294"/>
      <c r="H56" s="294"/>
    </row>
    <row r="57" spans="1:13" x14ac:dyDescent="0.25">
      <c r="A57" t="s">
        <v>776</v>
      </c>
      <c r="B57" t="s">
        <v>776</v>
      </c>
      <c r="C57" t="s">
        <v>776</v>
      </c>
      <c r="D57" s="127"/>
      <c r="E57" s="327"/>
      <c r="F57" s="316"/>
      <c r="G57" s="286"/>
      <c r="H57" s="286"/>
    </row>
    <row r="58" spans="1:13" x14ac:dyDescent="0.25">
      <c r="A58" t="s">
        <v>393</v>
      </c>
      <c r="B58" t="s">
        <v>172</v>
      </c>
      <c r="C58">
        <v>0</v>
      </c>
      <c r="D58" t="s">
        <v>526</v>
      </c>
      <c r="E58" s="327">
        <f>SUMIF(Octobre!$A:$A,'p&amp;l Octobre'!D58,Octobre!$AB:$AB)</f>
        <v>-4.1660000000000004</v>
      </c>
      <c r="F58" s="289">
        <f>SUMIF(Octobre!$A:$A,'p&amp;l Octobre'!D58,Octobre!$X:$X)</f>
        <v>-0.15</v>
      </c>
      <c r="G58" s="293" t="e">
        <f t="shared" ref="G58:H62" ca="1" si="4">PutCtData("PKAMOUNT","AMOUNT",G$4:G$7,$A58:$C58,G$10:G$11,$E58)</f>
        <v>#NAME?</v>
      </c>
      <c r="H58" s="293" t="e">
        <f t="shared" ca="1" si="4"/>
        <v>#NAME?</v>
      </c>
    </row>
    <row r="59" spans="1:13" x14ac:dyDescent="0.25">
      <c r="A59" t="s">
        <v>385</v>
      </c>
      <c r="B59" t="s">
        <v>172</v>
      </c>
      <c r="C59" t="s">
        <v>386</v>
      </c>
      <c r="D59" t="s">
        <v>527</v>
      </c>
      <c r="E59" s="327">
        <f>SUMIF(Octobre!$A:$A,'p&amp;l Octobre'!D59,Octobre!$AB:$AB)</f>
        <v>-3.3333333333333299</v>
      </c>
      <c r="F59" s="289">
        <f>SUMIF(Octobre!$A:$A,'p&amp;l Octobre'!D59,Octobre!$X:$X)</f>
        <v>0</v>
      </c>
      <c r="G59" s="293" t="e">
        <f t="shared" ca="1" si="4"/>
        <v>#NAME?</v>
      </c>
      <c r="H59" s="293" t="e">
        <f t="shared" ca="1" si="4"/>
        <v>#NAME?</v>
      </c>
    </row>
    <row r="60" spans="1:13" x14ac:dyDescent="0.25">
      <c r="A60" t="s">
        <v>399</v>
      </c>
      <c r="B60" t="s">
        <v>172</v>
      </c>
      <c r="C60">
        <v>0</v>
      </c>
      <c r="D60" t="s">
        <v>528</v>
      </c>
      <c r="E60" s="327">
        <f>SUMIF(Octobre!$A:$A,'p&amp;l Octobre'!D60,Octobre!$AB:$AB)</f>
        <v>-4.3793788996806917</v>
      </c>
      <c r="F60" s="289">
        <f>SUMIF(Octobre!$A:$A,'p&amp;l Octobre'!D60,Octobre!$X:$X)</f>
        <v>-0.5</v>
      </c>
      <c r="G60" s="293" t="e">
        <f t="shared" ca="1" si="4"/>
        <v>#NAME?</v>
      </c>
      <c r="H60" s="293" t="e">
        <f t="shared" ca="1" si="4"/>
        <v>#NAME?</v>
      </c>
    </row>
    <row r="61" spans="1:13" x14ac:dyDescent="0.25">
      <c r="A61" t="s">
        <v>394</v>
      </c>
      <c r="B61" t="s">
        <v>172</v>
      </c>
      <c r="C61">
        <v>0</v>
      </c>
      <c r="D61" t="s">
        <v>529</v>
      </c>
      <c r="E61" s="327">
        <f>SUMIF(Octobre!$A:$A,'p&amp;l Octobre'!D61,Octobre!$AB:$AB)</f>
        <v>-2.5462400000000001</v>
      </c>
      <c r="F61" s="289">
        <f>SUMIF(Octobre!$A:$A,'p&amp;l Octobre'!D61,Octobre!$X:$X)</f>
        <v>0</v>
      </c>
      <c r="G61" s="293" t="e">
        <f t="shared" ca="1" si="4"/>
        <v>#NAME?</v>
      </c>
      <c r="H61" s="293" t="e">
        <f t="shared" ca="1" si="4"/>
        <v>#NAME?</v>
      </c>
    </row>
    <row r="62" spans="1:13" x14ac:dyDescent="0.25">
      <c r="A62" t="s">
        <v>774</v>
      </c>
      <c r="B62" t="s">
        <v>172</v>
      </c>
      <c r="D62" t="s">
        <v>772</v>
      </c>
      <c r="E62" s="327">
        <f>SUMIF(Octobre!$A:$A,'p&amp;l Octobre'!D62,Octobre!$AB:$AB)</f>
        <v>0</v>
      </c>
      <c r="F62" s="289">
        <f>SUMIF(Octobre!$A:$A,'p&amp;l Octobre'!D62,Octobre!$X:$X)</f>
        <v>0</v>
      </c>
      <c r="G62" s="293" t="e">
        <f t="shared" ca="1" si="4"/>
        <v>#NAME?</v>
      </c>
      <c r="H62" s="293" t="e">
        <f t="shared" ca="1" si="4"/>
        <v>#NAME?</v>
      </c>
    </row>
    <row r="63" spans="1:13" x14ac:dyDescent="0.25">
      <c r="A63" t="s">
        <v>776</v>
      </c>
      <c r="B63" t="s">
        <v>776</v>
      </c>
      <c r="C63" t="s">
        <v>776</v>
      </c>
      <c r="D63" s="147" t="s">
        <v>727</v>
      </c>
      <c r="E63" s="326">
        <f>SUM(E58:E61)</f>
        <v>-14.424952233014022</v>
      </c>
      <c r="F63" s="317">
        <f>SUMIF(Fev!$A:$A,'p&amp;l Octobre'!D63,Fev!$X:$X)</f>
        <v>0</v>
      </c>
      <c r="G63" s="294"/>
      <c r="H63" s="294"/>
    </row>
    <row r="64" spans="1:13" x14ac:dyDescent="0.25">
      <c r="A64" t="s">
        <v>776</v>
      </c>
      <c r="B64" t="s">
        <v>776</v>
      </c>
      <c r="C64" t="s">
        <v>776</v>
      </c>
      <c r="D64" s="127"/>
      <c r="E64" s="327"/>
      <c r="F64" s="316"/>
      <c r="G64" s="286"/>
      <c r="H64" s="286"/>
    </row>
    <row r="65" spans="1:8" x14ac:dyDescent="0.25">
      <c r="A65" t="s">
        <v>404</v>
      </c>
      <c r="B65" t="s">
        <v>172</v>
      </c>
      <c r="C65" t="s">
        <v>201</v>
      </c>
      <c r="D65" t="s">
        <v>530</v>
      </c>
      <c r="E65" s="327">
        <f>SUMIF(Octobre!$A:$A,'p&amp;l Octobre'!D65,Octobre!$U:$U)</f>
        <v>-39.17</v>
      </c>
      <c r="F65" s="289">
        <f>SUMIF(Octobre!$A:$A,'p&amp;l Octobre'!D65,Octobre!$X:$X)</f>
        <v>0</v>
      </c>
      <c r="G65" s="293" t="e">
        <f ca="1">PutCtData("PKAMOUNT","AMOUNT",G$4:G$7,$A65:$C65,G$10:G$11,$E65)</f>
        <v>#NAME?</v>
      </c>
      <c r="H65" s="293" t="e">
        <f ca="1">PutCtData("PKAMOUNT","AMOUNT",H$4:H$7,$A65:$C65,H$10:H$11,$E65)</f>
        <v>#NAME?</v>
      </c>
    </row>
    <row r="66" spans="1:8" x14ac:dyDescent="0.25">
      <c r="A66" t="s">
        <v>776</v>
      </c>
      <c r="B66" t="s">
        <v>776</v>
      </c>
      <c r="C66" t="s">
        <v>776</v>
      </c>
      <c r="D66" s="147" t="s">
        <v>728</v>
      </c>
      <c r="E66" s="326">
        <f>SUM(E64:E65)</f>
        <v>-39.17</v>
      </c>
      <c r="F66" s="317">
        <f>SUMIF(Fev!$A:$A,'p&amp;l Octobre'!D66,Fev!$X:$X)</f>
        <v>0</v>
      </c>
      <c r="G66" s="294"/>
      <c r="H66" s="294"/>
    </row>
    <row r="67" spans="1:8" x14ac:dyDescent="0.25">
      <c r="E67" s="327"/>
    </row>
    <row r="68" spans="1:8" x14ac:dyDescent="0.25">
      <c r="A68" t="s">
        <v>420</v>
      </c>
      <c r="B68" t="s">
        <v>172</v>
      </c>
      <c r="C68">
        <v>0</v>
      </c>
      <c r="D68" t="s">
        <v>532</v>
      </c>
      <c r="E68" s="327">
        <f>SUMIF(Octobre!$A:$A,'p&amp;l Octobre'!D68,Octobre!$AB:$AB)</f>
        <v>2.5730399999999998</v>
      </c>
      <c r="F68" s="289">
        <f>SUMIF(Octobre!$A:$A,'p&amp;l Octobre'!D68,Octobre!$X:$X)</f>
        <v>0</v>
      </c>
      <c r="G68" s="293" t="e">
        <f ca="1">PutCtData("PKAMOUNT","AMOUNT",G$4:G$7,$A68:$C68,G$10:G$11,$E68)</f>
        <v>#NAME?</v>
      </c>
      <c r="H68" s="293" t="e">
        <f ca="1">PutCtData("PKAMOUNT","AMOUNT",H$4:H$7,$A68:$C68,H$10:H$11,$E68)</f>
        <v>#NAME?</v>
      </c>
    </row>
    <row r="69" spans="1:8" x14ac:dyDescent="0.25">
      <c r="A69" t="s">
        <v>776</v>
      </c>
      <c r="B69" t="s">
        <v>776</v>
      </c>
      <c r="C69" t="s">
        <v>776</v>
      </c>
      <c r="D69" s="147" t="s">
        <v>769</v>
      </c>
      <c r="E69" s="326">
        <f>SUM(E68)</f>
        <v>2.5730399999999998</v>
      </c>
      <c r="F69" s="317">
        <f>SUMIF(Fev!$A:$A,'p&amp;l Octobre'!D69,Fev!$X:$X)</f>
        <v>0</v>
      </c>
      <c r="G69" s="294"/>
      <c r="H69" s="294"/>
    </row>
    <row r="70" spans="1:8" x14ac:dyDescent="0.25">
      <c r="E70" s="327"/>
    </row>
    <row r="71" spans="1:8" x14ac:dyDescent="0.25">
      <c r="D71" s="147" t="s">
        <v>761</v>
      </c>
      <c r="E71" s="326">
        <f>SUM(E29+E33+E39+E45+E56+E63+E66+E69)</f>
        <v>-3327.9008233105656</v>
      </c>
      <c r="F71" s="288"/>
    </row>
    <row r="72" spans="1:8" x14ac:dyDescent="0.25">
      <c r="E72" s="327"/>
    </row>
    <row r="73" spans="1:8" x14ac:dyDescent="0.25">
      <c r="E73" s="327"/>
    </row>
    <row r="74" spans="1:8" x14ac:dyDescent="0.25">
      <c r="D74" s="147" t="s">
        <v>764</v>
      </c>
      <c r="E74" s="330">
        <f>E16+E71</f>
        <v>229.73086302276442</v>
      </c>
      <c r="F74" s="327"/>
    </row>
    <row r="75" spans="1:8" x14ac:dyDescent="0.25">
      <c r="D75" t="s">
        <v>762</v>
      </c>
      <c r="E75" s="331">
        <f>Octobre!AB205</f>
        <v>227.44957993578723</v>
      </c>
    </row>
    <row r="76" spans="1:8" x14ac:dyDescent="0.25">
      <c r="D76" s="315" t="s">
        <v>763</v>
      </c>
      <c r="E76" s="474">
        <f>E74-E75</f>
        <v>2.2812830869771972</v>
      </c>
    </row>
  </sheetData>
  <dataValidations disablePrompts="1" count="2">
    <dataValidation type="list" allowBlank="1" showInputMessage="1" showErrorMessage="1" sqref="D2">
      <formula1>"2010,2011,2012,2013,2014,2015,2016,2017,2018,2019,2020"</formula1>
    </dataValidation>
    <dataValidation type="list" allowBlank="1" showInputMessage="1" showErrorMessage="1" sqref="D3">
      <formula1>".01,.02,.03,.04,.05,.06,.07,.08,.09,.10,.11,.12"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FFFF00"/>
  </sheetPr>
  <dimension ref="A1:AI221"/>
  <sheetViews>
    <sheetView showGridLines="0" tabSelected="1" workbookViewId="0">
      <pane xSplit="2" ySplit="7" topLeftCell="S8" activePane="bottomRight" state="frozen"/>
      <selection pane="topRight" activeCell="C1" sqref="C1"/>
      <selection pane="bottomLeft" activeCell="A8" sqref="A8"/>
      <selection pane="bottomRight" activeCell="U6" sqref="U6"/>
    </sheetView>
  </sheetViews>
  <sheetFormatPr baseColWidth="10" defaultColWidth="11.42578125" defaultRowHeight="12.75" outlineLevelCol="2" x14ac:dyDescent="0.2"/>
  <cols>
    <col min="1" max="1" width="30.28515625" style="320" customWidth="1"/>
    <col min="2" max="2" width="31" style="334" customWidth="1"/>
    <col min="3" max="3" width="23.85546875" style="337" customWidth="1"/>
    <col min="4" max="4" width="3.140625" style="334" customWidth="1"/>
    <col min="5" max="5" width="13.28515625" style="335" hidden="1" customWidth="1" outlineLevel="1"/>
    <col min="6" max="6" width="3.140625" style="334" hidden="1" customWidth="1" outlineLevel="2"/>
    <col min="7" max="7" width="11.5703125" style="335" hidden="1" customWidth="1" outlineLevel="2"/>
    <col min="8" max="11" width="12.85546875" style="335" hidden="1" customWidth="1" outlineLevel="2"/>
    <col min="12" max="12" width="12.85546875" style="335" hidden="1" customWidth="1" outlineLevel="1" collapsed="1"/>
    <col min="13" max="18" width="12.85546875" style="335" hidden="1" customWidth="1" outlineLevel="1"/>
    <col min="19" max="19" width="16.5703125" style="334" customWidth="1" collapsed="1"/>
    <col min="20" max="20" width="1.7109375" style="334" customWidth="1" outlineLevel="1"/>
    <col min="21" max="22" width="14.28515625" style="335" customWidth="1"/>
    <col min="23" max="24" width="11.42578125" style="335"/>
    <col min="25" max="25" width="12.85546875" style="335" customWidth="1"/>
    <col min="26" max="26" width="13.85546875" style="420" customWidth="1"/>
    <col min="27" max="29" width="13.85546875" style="420" customWidth="1" outlineLevel="1"/>
    <col min="30" max="30" width="13.42578125" style="420" customWidth="1" outlineLevel="1"/>
    <col min="31" max="31" width="13.85546875" style="420" customWidth="1"/>
    <col min="32" max="32" width="1.7109375" style="334" customWidth="1"/>
    <col min="33" max="33" width="38.140625" style="334" customWidth="1" outlineLevel="1"/>
    <col min="34" max="34" width="11.42578125" style="334"/>
    <col min="35" max="35" width="40.140625" style="334" bestFit="1" customWidth="1"/>
    <col min="36" max="16384" width="11.42578125" style="334"/>
  </cols>
  <sheetData>
    <row r="1" spans="1:35" x14ac:dyDescent="0.2">
      <c r="A1" s="320" t="s">
        <v>760</v>
      </c>
      <c r="B1" s="332" t="s">
        <v>815</v>
      </c>
      <c r="C1" s="333"/>
      <c r="F1" s="335"/>
      <c r="Y1" s="335" t="s">
        <v>134</v>
      </c>
    </row>
    <row r="2" spans="1:35" ht="13.5" thickBot="1" x14ac:dyDescent="0.25">
      <c r="J2" s="335" t="s">
        <v>134</v>
      </c>
      <c r="W2" s="335" t="s">
        <v>134</v>
      </c>
    </row>
    <row r="3" spans="1:35" ht="6.75" customHeight="1" x14ac:dyDescent="0.2">
      <c r="T3" s="338"/>
      <c r="U3" s="340"/>
      <c r="V3" s="340"/>
      <c r="W3" s="340"/>
      <c r="X3" s="340"/>
      <c r="Y3" s="340"/>
      <c r="Z3" s="421"/>
      <c r="AA3" s="421"/>
      <c r="AB3" s="421"/>
      <c r="AC3" s="421"/>
      <c r="AD3" s="421"/>
      <c r="AE3" s="421"/>
      <c r="AF3" s="339"/>
    </row>
    <row r="4" spans="1:35" ht="47.25" customHeight="1" x14ac:dyDescent="0.2">
      <c r="C4" s="341" t="s">
        <v>142</v>
      </c>
      <c r="D4" s="342"/>
      <c r="E4" s="343" t="s">
        <v>781</v>
      </c>
      <c r="G4" s="344" t="s">
        <v>731</v>
      </c>
      <c r="H4" s="344" t="s">
        <v>732</v>
      </c>
      <c r="I4" s="344" t="s">
        <v>733</v>
      </c>
      <c r="J4" s="344" t="s">
        <v>734</v>
      </c>
      <c r="K4" s="344" t="s">
        <v>735</v>
      </c>
      <c r="L4" s="344" t="s">
        <v>736</v>
      </c>
      <c r="M4" s="344" t="s">
        <v>737</v>
      </c>
      <c r="N4" s="344" t="s">
        <v>738</v>
      </c>
      <c r="O4" s="344" t="s">
        <v>739</v>
      </c>
      <c r="P4" s="344" t="s">
        <v>719</v>
      </c>
      <c r="Q4" s="344" t="s">
        <v>720</v>
      </c>
      <c r="R4" s="344" t="s">
        <v>740</v>
      </c>
      <c r="S4" s="345" t="s">
        <v>741</v>
      </c>
      <c r="T4" s="346"/>
      <c r="U4" s="422" t="s">
        <v>135</v>
      </c>
      <c r="V4" s="348" t="s">
        <v>839</v>
      </c>
      <c r="W4" s="348" t="s">
        <v>136</v>
      </c>
      <c r="X4" s="348" t="s">
        <v>137</v>
      </c>
      <c r="Y4" s="348" t="s">
        <v>138</v>
      </c>
      <c r="Z4" s="423" t="s">
        <v>742</v>
      </c>
      <c r="AA4" s="423" t="s">
        <v>807</v>
      </c>
      <c r="AB4" s="423" t="s">
        <v>838</v>
      </c>
      <c r="AC4" s="423" t="s">
        <v>765</v>
      </c>
      <c r="AD4" s="423" t="s">
        <v>808</v>
      </c>
      <c r="AE4" s="423" t="s">
        <v>139</v>
      </c>
      <c r="AF4" s="347"/>
    </row>
    <row r="5" spans="1:35" x14ac:dyDescent="0.2">
      <c r="S5" s="349"/>
      <c r="T5" s="346"/>
      <c r="U5" s="351"/>
      <c r="V5" s="351"/>
      <c r="W5" s="351"/>
      <c r="X5" s="351"/>
      <c r="Y5" s="351"/>
      <c r="Z5" s="358"/>
      <c r="AA5" s="358"/>
      <c r="AB5" s="358"/>
      <c r="AC5" s="358"/>
      <c r="AD5" s="358"/>
      <c r="AE5" s="358"/>
      <c r="AF5" s="350"/>
    </row>
    <row r="6" spans="1:35" s="352" customFormat="1" x14ac:dyDescent="0.2">
      <c r="A6" s="320" t="str">
        <f>IFERROR(VLOOKUP(B6,mapping_one_neo!A:B,2,FALSE),"")</f>
        <v>Billings - Non-Media</v>
      </c>
      <c r="B6" s="352" t="s">
        <v>1</v>
      </c>
      <c r="C6" s="353"/>
      <c r="E6" s="354">
        <v>6254.8697900000006</v>
      </c>
      <c r="G6" s="415">
        <v>341.35171000000003</v>
      </c>
      <c r="H6" s="415">
        <v>454.16478999999998</v>
      </c>
      <c r="I6" s="415">
        <v>489.36792999999994</v>
      </c>
      <c r="J6" s="415">
        <v>514.14154000000053</v>
      </c>
      <c r="K6" s="415">
        <v>517.67239999999924</v>
      </c>
      <c r="L6" s="415">
        <v>573.21051000000068</v>
      </c>
      <c r="M6" s="415">
        <v>483.59035690476185</v>
      </c>
      <c r="N6" s="415">
        <v>507.79035690476189</v>
      </c>
      <c r="O6" s="415">
        <v>610.27377511904797</v>
      </c>
      <c r="P6" s="415">
        <v>576.2280494047618</v>
      </c>
      <c r="Q6" s="415">
        <v>571.2280494047618</v>
      </c>
      <c r="R6" s="415">
        <v>615.85032226190515</v>
      </c>
      <c r="S6" s="349">
        <v>6154.4928499999987</v>
      </c>
      <c r="T6" s="346"/>
      <c r="U6" s="440">
        <f>IFERROR(VLOOKUP($B6,[4]Feuil1!$A:$AD,30,FALSE),"")</f>
        <v>4477.7997863333303</v>
      </c>
      <c r="V6" s="440">
        <f>IFERROR(VLOOKUP($B6,[4]Feuil1!$A:$AD,30,FALSE),"")</f>
        <v>4477.7997863333303</v>
      </c>
      <c r="W6" s="440">
        <f>IFERROR(VLOOKUP($B6,[4]Feuil1!$A:$AD,30,FALSE),"")</f>
        <v>4477.7997863333303</v>
      </c>
      <c r="X6" s="440">
        <f>IFERROR(VLOOKUP($B6,[4]Feuil1!$A:$AD,30,FALSE),"")</f>
        <v>4477.7997863333303</v>
      </c>
      <c r="Y6" s="440">
        <f>IFERROR(VLOOKUP($B6,[4]Feuil1!$A:$AD,30,FALSE),"")</f>
        <v>4477.7997863333303</v>
      </c>
      <c r="Z6" s="440">
        <f>IFERROR(VLOOKUP($B6,[4]Feuil1!$A:$AD,30,FALSE),"")</f>
        <v>4477.7997863333303</v>
      </c>
      <c r="AA6" s="440">
        <f>IFERROR(VLOOKUP($B6,[4]Feuil1!$A:$AD,30,FALSE),"")</f>
        <v>4477.7997863333303</v>
      </c>
      <c r="AB6" s="440">
        <f>IFERROR(VLOOKUP($B6,[4]Feuil1!$A:$AD,30,FALSE),"")</f>
        <v>4477.7997863333303</v>
      </c>
      <c r="AC6" s="440">
        <f>IFERROR(VLOOKUP($B6,[4]Feuil1!$A:$AD,30,FALSE),"")</f>
        <v>4477.7997863333303</v>
      </c>
      <c r="AD6" s="440">
        <f>IFERROR(VLOOKUP($B6,[4]Feuil1!$A:$AD,30,FALSE),"")</f>
        <v>4477.7997863333303</v>
      </c>
      <c r="AE6" s="440">
        <f>IFERROR(VLOOKUP($B6,[4]Feuil1!$A:$AD,30,FALSE),"")</f>
        <v>4477.7997863333303</v>
      </c>
      <c r="AF6" s="355"/>
      <c r="AG6" s="334"/>
      <c r="AI6" s="352" t="s">
        <v>1</v>
      </c>
    </row>
    <row r="7" spans="1:35" x14ac:dyDescent="0.2">
      <c r="A7" s="320" t="str">
        <f>IFERROR(VLOOKUP(B7,mapping_one_neo!A:B,2,FALSE),"")</f>
        <v/>
      </c>
      <c r="S7" s="349"/>
      <c r="T7" s="346"/>
      <c r="U7" s="440" t="str">
        <f>IFERROR(VLOOKUP($B7,[4]Feuil1!$A:$AD,20,FALSE),"")</f>
        <v/>
      </c>
      <c r="V7" s="440" t="s">
        <v>776</v>
      </c>
      <c r="W7" s="440" t="s">
        <v>776</v>
      </c>
      <c r="X7" s="440" t="s">
        <v>776</v>
      </c>
      <c r="Y7" s="440" t="s">
        <v>776</v>
      </c>
      <c r="Z7" s="440" t="s">
        <v>776</v>
      </c>
      <c r="AA7" s="440" t="s">
        <v>776</v>
      </c>
      <c r="AB7" s="440" t="s">
        <v>776</v>
      </c>
      <c r="AC7" s="440" t="s">
        <v>776</v>
      </c>
      <c r="AD7" s="440" t="s">
        <v>776</v>
      </c>
      <c r="AE7" s="440" t="s">
        <v>776</v>
      </c>
      <c r="AF7" s="350"/>
      <c r="AG7" s="334" t="s">
        <v>134</v>
      </c>
    </row>
    <row r="8" spans="1:35" x14ac:dyDescent="0.2">
      <c r="A8" s="320">
        <f>IFERROR(VLOOKUP(B8,mapping_one_neo!A:B,2,FALSE),"")</f>
        <v>0</v>
      </c>
      <c r="B8" s="332" t="s">
        <v>2</v>
      </c>
      <c r="S8" s="349"/>
      <c r="T8" s="346"/>
      <c r="U8" s="440"/>
      <c r="V8" s="440"/>
      <c r="W8" s="440"/>
      <c r="X8" s="440"/>
      <c r="Y8" s="440"/>
      <c r="Z8" s="440"/>
      <c r="AA8" s="440"/>
      <c r="AB8" s="440"/>
      <c r="AC8" s="440"/>
      <c r="AD8" s="440"/>
      <c r="AE8" s="440"/>
      <c r="AF8" s="350"/>
      <c r="AI8" s="334" t="s">
        <v>2</v>
      </c>
    </row>
    <row r="9" spans="1:35" s="352" customFormat="1" x14ac:dyDescent="0.2">
      <c r="A9" s="320" t="str">
        <f>IFERROR(VLOOKUP(B9,mapping_one_neo!A:B,2,FALSE),"")</f>
        <v>Staff salaries</v>
      </c>
      <c r="B9" s="352" t="s">
        <v>3</v>
      </c>
      <c r="C9" s="353">
        <v>752008</v>
      </c>
      <c r="E9" s="365">
        <v>-2245.1268478233337</v>
      </c>
      <c r="G9" s="356">
        <v>-164.74121501777802</v>
      </c>
      <c r="H9" s="356">
        <v>-164.68096501777802</v>
      </c>
      <c r="I9" s="356">
        <v>-177.367695017778</v>
      </c>
      <c r="J9" s="356">
        <v>-162.39816828000002</v>
      </c>
      <c r="K9" s="356">
        <v>-174.61675833333302</v>
      </c>
      <c r="L9" s="356">
        <v>-185.034613333333</v>
      </c>
      <c r="M9" s="356">
        <v>-201.748556702222</v>
      </c>
      <c r="N9" s="356">
        <v>-187.331890035556</v>
      </c>
      <c r="O9" s="356">
        <v>-196.74422336888901</v>
      </c>
      <c r="P9" s="356">
        <v>-198.08922336888901</v>
      </c>
      <c r="Q9" s="356">
        <v>-198.08922336888901</v>
      </c>
      <c r="R9" s="356">
        <v>-234.284315978889</v>
      </c>
      <c r="S9" s="360">
        <v>-1448.9253200000001</v>
      </c>
      <c r="T9" s="361"/>
      <c r="U9" s="440">
        <f>IFERROR(VLOOKUP($B9,[4]Feuil1!$A:$AD,20,FALSE),"")</f>
        <v>-2131.4322400000001</v>
      </c>
      <c r="V9" s="440"/>
      <c r="W9" s="440">
        <v>5.6742699999999999</v>
      </c>
      <c r="X9" s="440"/>
      <c r="Y9" s="440">
        <v>-1.88</v>
      </c>
      <c r="Z9" s="440">
        <v>-2127.6379700000002</v>
      </c>
      <c r="AA9" s="440"/>
      <c r="AB9" s="440">
        <v>15</v>
      </c>
      <c r="AC9" s="440"/>
      <c r="AD9" s="440"/>
      <c r="AE9" s="440">
        <v>-2112.6379700000002</v>
      </c>
      <c r="AF9" s="355"/>
      <c r="AG9" s="485"/>
      <c r="AI9" s="352" t="s">
        <v>3</v>
      </c>
    </row>
    <row r="10" spans="1:35" s="352" customFormat="1" x14ac:dyDescent="0.2">
      <c r="A10" s="320" t="str">
        <f>IFERROR(VLOOKUP(B10,mapping_one_neo!A:B,2,FALSE),"")</f>
        <v>Employers Social Taxes</v>
      </c>
      <c r="B10" s="352" t="s">
        <v>4</v>
      </c>
      <c r="C10" s="353">
        <v>752009</v>
      </c>
      <c r="E10" s="365">
        <v>-997.8604297705001</v>
      </c>
      <c r="G10" s="356">
        <v>-73.552524999999989</v>
      </c>
      <c r="H10" s="356">
        <v>-73.725169999999991</v>
      </c>
      <c r="I10" s="356">
        <v>-77.521680000000003</v>
      </c>
      <c r="J10" s="356">
        <v>-71.31935</v>
      </c>
      <c r="K10" s="356">
        <v>-75.047669999999997</v>
      </c>
      <c r="L10" s="356">
        <v>-79.364689999999996</v>
      </c>
      <c r="M10" s="356">
        <v>-90.78685051600003</v>
      </c>
      <c r="N10" s="356">
        <v>-84.29935051599999</v>
      </c>
      <c r="O10" s="356">
        <v>-88.534900516000008</v>
      </c>
      <c r="P10" s="356">
        <v>-89.140150516000006</v>
      </c>
      <c r="Q10" s="356">
        <v>-89.140150516000006</v>
      </c>
      <c r="R10" s="356">
        <v>-105.42794219050002</v>
      </c>
      <c r="S10" s="364">
        <v>0.43768918478320656</v>
      </c>
      <c r="T10" s="361"/>
      <c r="U10" s="440">
        <f>IFERROR(VLOOKUP($B10,[4]Feuil1!$A:$AD,20,FALSE),"")</f>
        <v>-911.16714000000002</v>
      </c>
      <c r="V10" s="440"/>
      <c r="W10" s="440">
        <v>2.9078200000000001</v>
      </c>
      <c r="X10" s="440"/>
      <c r="Y10" s="440">
        <v>-0.84599999999999997</v>
      </c>
      <c r="Z10" s="440">
        <v>-909.10532000000001</v>
      </c>
      <c r="AA10" s="440"/>
      <c r="AB10" s="440">
        <v>7.2</v>
      </c>
      <c r="AC10" s="440"/>
      <c r="AD10" s="440"/>
      <c r="AE10" s="440">
        <v>-901.90531999999996</v>
      </c>
      <c r="AF10" s="355"/>
      <c r="AG10" s="485"/>
      <c r="AI10" s="352" t="s">
        <v>4</v>
      </c>
    </row>
    <row r="11" spans="1:35" s="352" customFormat="1" x14ac:dyDescent="0.2">
      <c r="A11" s="320" t="str">
        <f>IFERROR(VLOOKUP(B11,mapping_one_neo!A:B,2,FALSE),"")</f>
        <v>Staff salaries</v>
      </c>
      <c r="B11" s="352" t="s">
        <v>3</v>
      </c>
      <c r="C11" s="353">
        <v>752008</v>
      </c>
      <c r="E11" s="365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64"/>
      <c r="T11" s="361"/>
      <c r="U11" s="440"/>
      <c r="V11" s="440"/>
      <c r="W11" s="440">
        <v>28.524194999999999</v>
      </c>
      <c r="X11" s="440"/>
      <c r="Y11" s="440"/>
      <c r="Z11" s="440">
        <v>28.524194999999999</v>
      </c>
      <c r="AA11" s="440"/>
      <c r="AB11" s="440"/>
      <c r="AC11" s="440"/>
      <c r="AD11" s="440"/>
      <c r="AE11" s="440">
        <v>28.524194999999999</v>
      </c>
      <c r="AF11" s="355"/>
      <c r="AG11" s="470" t="s">
        <v>783</v>
      </c>
      <c r="AI11" s="352" t="s">
        <v>823</v>
      </c>
    </row>
    <row r="12" spans="1:35" s="352" customFormat="1" x14ac:dyDescent="0.2">
      <c r="A12" s="320" t="str">
        <f>IFERROR(VLOOKUP(B12,mapping_one_neo!A:B,2,FALSE),"")</f>
        <v>Employers Social Taxes</v>
      </c>
      <c r="B12" s="352" t="s">
        <v>4</v>
      </c>
      <c r="C12" s="353">
        <v>752009</v>
      </c>
      <c r="E12" s="365"/>
      <c r="G12" s="356"/>
      <c r="H12" s="356"/>
      <c r="I12" s="356"/>
      <c r="J12" s="356"/>
      <c r="K12" s="356"/>
      <c r="L12" s="356"/>
      <c r="M12" s="356"/>
      <c r="N12" s="356"/>
      <c r="O12" s="356"/>
      <c r="P12" s="356"/>
      <c r="Q12" s="356"/>
      <c r="R12" s="356"/>
      <c r="S12" s="364"/>
      <c r="T12" s="361"/>
      <c r="U12" s="440"/>
      <c r="V12" s="440"/>
      <c r="W12" s="440">
        <v>12.835887749999999</v>
      </c>
      <c r="X12" s="440"/>
      <c r="Y12" s="440"/>
      <c r="Z12" s="440">
        <v>12.835887749999999</v>
      </c>
      <c r="AA12" s="440"/>
      <c r="AB12" s="440"/>
      <c r="AC12" s="440"/>
      <c r="AD12" s="440"/>
      <c r="AE12" s="440">
        <v>12.835887749999999</v>
      </c>
      <c r="AF12" s="355"/>
      <c r="AG12" s="470" t="s">
        <v>783</v>
      </c>
      <c r="AI12" s="352" t="s">
        <v>824</v>
      </c>
    </row>
    <row r="13" spans="1:35" s="352" customFormat="1" x14ac:dyDescent="0.2">
      <c r="A13" s="320" t="str">
        <f>IFERROR(VLOOKUP(B13,mapping_one_neo!A:B,2,FALSE),"")</f>
        <v>Employers Social Taxes</v>
      </c>
      <c r="B13" s="352" t="s">
        <v>745</v>
      </c>
      <c r="C13" s="353"/>
      <c r="E13" s="365"/>
      <c r="G13" s="356"/>
      <c r="H13" s="356"/>
      <c r="I13" s="356"/>
      <c r="J13" s="356"/>
      <c r="K13" s="356"/>
      <c r="L13" s="356"/>
      <c r="M13" s="356"/>
      <c r="N13" s="356"/>
      <c r="O13" s="356"/>
      <c r="P13" s="356"/>
      <c r="Q13" s="356"/>
      <c r="R13" s="356"/>
      <c r="S13" s="345" t="s">
        <v>134</v>
      </c>
      <c r="T13" s="361"/>
      <c r="U13" s="440"/>
      <c r="V13" s="440"/>
      <c r="W13" s="440"/>
      <c r="X13" s="440"/>
      <c r="Y13" s="440"/>
      <c r="Z13" s="440"/>
      <c r="AA13" s="440"/>
      <c r="AB13" s="440"/>
      <c r="AC13" s="440"/>
      <c r="AD13" s="440"/>
      <c r="AE13" s="440"/>
      <c r="AF13" s="355"/>
      <c r="AG13" s="334"/>
      <c r="AI13" s="352" t="s">
        <v>745</v>
      </c>
    </row>
    <row r="14" spans="1:35" s="352" customFormat="1" x14ac:dyDescent="0.2">
      <c r="A14" s="320" t="str">
        <f>IFERROR(VLOOKUP(B14,mapping_one_neo!A:B,2,FALSE),"")</f>
        <v/>
      </c>
      <c r="B14" s="352" t="s">
        <v>746</v>
      </c>
      <c r="C14" s="353"/>
      <c r="E14" s="365">
        <v>0</v>
      </c>
      <c r="G14" s="356"/>
      <c r="H14" s="356"/>
      <c r="I14" s="356"/>
      <c r="J14" s="356"/>
      <c r="K14" s="356"/>
      <c r="L14" s="356"/>
      <c r="M14" s="356"/>
      <c r="N14" s="356"/>
      <c r="O14" s="356"/>
      <c r="P14" s="356"/>
      <c r="Q14" s="356"/>
      <c r="R14" s="356"/>
      <c r="S14" s="345"/>
      <c r="T14" s="361"/>
      <c r="U14" s="440"/>
      <c r="V14" s="440"/>
      <c r="W14" s="440"/>
      <c r="X14" s="440"/>
      <c r="Y14" s="440"/>
      <c r="Z14" s="440"/>
      <c r="AA14" s="440"/>
      <c r="AB14" s="440"/>
      <c r="AC14" s="440"/>
      <c r="AD14" s="440"/>
      <c r="AE14" s="440"/>
      <c r="AF14" s="355"/>
      <c r="AG14" s="334"/>
      <c r="AI14" s="352" t="s">
        <v>746</v>
      </c>
    </row>
    <row r="15" spans="1:35" s="352" customFormat="1" x14ac:dyDescent="0.2">
      <c r="A15" s="320" t="str">
        <f>IFERROR(VLOOKUP(B15,mapping_one_neo!A:B,2,FALSE),"")</f>
        <v>Staff salaries</v>
      </c>
      <c r="B15" s="352" t="s">
        <v>5</v>
      </c>
      <c r="C15" s="337" t="s">
        <v>143</v>
      </c>
      <c r="E15" s="365">
        <v>0</v>
      </c>
      <c r="G15" s="356"/>
      <c r="H15" s="356"/>
      <c r="I15" s="356"/>
      <c r="J15" s="356"/>
      <c r="K15" s="356"/>
      <c r="L15" s="356"/>
      <c r="M15" s="356"/>
      <c r="N15" s="356"/>
      <c r="O15" s="356"/>
      <c r="P15" s="356"/>
      <c r="Q15" s="356"/>
      <c r="R15" s="356"/>
      <c r="S15" s="345"/>
      <c r="T15" s="361"/>
      <c r="U15" s="440"/>
      <c r="V15" s="440"/>
      <c r="W15" s="440">
        <v>6.2080000000000002</v>
      </c>
      <c r="X15" s="440"/>
      <c r="Y15" s="440"/>
      <c r="Z15" s="440">
        <v>6.2080000000000002</v>
      </c>
      <c r="AA15" s="440"/>
      <c r="AB15" s="440"/>
      <c r="AC15" s="440"/>
      <c r="AD15" s="440"/>
      <c r="AE15" s="440">
        <v>6.2080000000000002</v>
      </c>
      <c r="AF15" s="355"/>
      <c r="AG15" s="334"/>
      <c r="AI15" s="352" t="s">
        <v>5</v>
      </c>
    </row>
    <row r="16" spans="1:35" s="352" customFormat="1" x14ac:dyDescent="0.2">
      <c r="A16" s="320" t="str">
        <f>IFERROR(VLOOKUP(B16,mapping_one_neo!A:B,2,FALSE),"")</f>
        <v>Employers Social Taxes</v>
      </c>
      <c r="B16" s="352" t="s">
        <v>6</v>
      </c>
      <c r="C16" s="337">
        <v>641420</v>
      </c>
      <c r="E16" s="365">
        <v>0</v>
      </c>
      <c r="G16" s="356"/>
      <c r="H16" s="356"/>
      <c r="I16" s="356"/>
      <c r="J16" s="356"/>
      <c r="K16" s="356"/>
      <c r="L16" s="356"/>
      <c r="M16" s="356"/>
      <c r="N16" s="356"/>
      <c r="O16" s="356"/>
      <c r="P16" s="356"/>
      <c r="Q16" s="356"/>
      <c r="R16" s="356"/>
      <c r="S16" s="345" t="s">
        <v>134</v>
      </c>
      <c r="T16" s="361"/>
      <c r="U16" s="440"/>
      <c r="V16" s="440"/>
      <c r="W16" s="440">
        <v>2.9798399999999998</v>
      </c>
      <c r="X16" s="440"/>
      <c r="Y16" s="440"/>
      <c r="Z16" s="440">
        <v>2.9798399999999998</v>
      </c>
      <c r="AA16" s="440"/>
      <c r="AB16" s="440"/>
      <c r="AC16" s="440"/>
      <c r="AD16" s="440"/>
      <c r="AE16" s="440">
        <v>2.9798399999999998</v>
      </c>
      <c r="AF16" s="355"/>
      <c r="AG16" s="334"/>
      <c r="AI16" s="352" t="s">
        <v>6</v>
      </c>
    </row>
    <row r="17" spans="1:35" s="352" customFormat="1" x14ac:dyDescent="0.2">
      <c r="A17" s="320" t="str">
        <f>IFERROR(VLOOKUP(B17,mapping_one_neo!A:B,2,FALSE),"")</f>
        <v>Staff salaries</v>
      </c>
      <c r="B17" s="352" t="s">
        <v>766</v>
      </c>
      <c r="C17" s="337" t="s">
        <v>770</v>
      </c>
      <c r="E17" s="365"/>
      <c r="G17" s="356"/>
      <c r="H17" s="356"/>
      <c r="I17" s="356"/>
      <c r="J17" s="356"/>
      <c r="K17" s="356"/>
      <c r="L17" s="356"/>
      <c r="M17" s="356"/>
      <c r="N17" s="356"/>
      <c r="O17" s="356"/>
      <c r="P17" s="356"/>
      <c r="Q17" s="356"/>
      <c r="R17" s="356"/>
      <c r="S17" s="345"/>
      <c r="T17" s="361"/>
      <c r="U17" s="440"/>
      <c r="V17" s="440"/>
      <c r="W17" s="440">
        <v>1.762</v>
      </c>
      <c r="X17" s="440"/>
      <c r="Y17" s="440"/>
      <c r="Z17" s="440">
        <v>1.762</v>
      </c>
      <c r="AA17" s="440"/>
      <c r="AB17" s="440"/>
      <c r="AC17" s="440"/>
      <c r="AD17" s="440"/>
      <c r="AE17" s="440">
        <v>1.762</v>
      </c>
      <c r="AF17" s="355"/>
      <c r="AG17" s="334"/>
      <c r="AI17" s="352" t="s">
        <v>766</v>
      </c>
    </row>
    <row r="18" spans="1:35" s="352" customFormat="1" x14ac:dyDescent="0.2">
      <c r="A18" s="320" t="str">
        <f>IFERROR(VLOOKUP(B18,mapping_one_neo!A:B,2,FALSE),"")</f>
        <v>Employers Social Taxes</v>
      </c>
      <c r="B18" s="352" t="s">
        <v>7</v>
      </c>
      <c r="C18" s="337">
        <v>645003</v>
      </c>
      <c r="E18" s="365">
        <v>0</v>
      </c>
      <c r="G18" s="356"/>
      <c r="H18" s="356"/>
      <c r="I18" s="356"/>
      <c r="J18" s="356"/>
      <c r="K18" s="356"/>
      <c r="L18" s="356"/>
      <c r="M18" s="356"/>
      <c r="N18" s="356"/>
      <c r="O18" s="356"/>
      <c r="P18" s="356"/>
      <c r="Q18" s="356"/>
      <c r="R18" s="356"/>
      <c r="S18" s="345"/>
      <c r="T18" s="361"/>
      <c r="U18" s="440">
        <f>IFERROR(VLOOKUP($B18,[4]Feuil1!$A:$AD,20,FALSE),"")</f>
        <v>0.79290000000000005</v>
      </c>
      <c r="V18" s="440"/>
      <c r="W18" s="440"/>
      <c r="X18" s="440"/>
      <c r="Y18" s="440"/>
      <c r="Z18" s="440">
        <v>0.79290000000000005</v>
      </c>
      <c r="AA18" s="440"/>
      <c r="AB18" s="440"/>
      <c r="AC18" s="440"/>
      <c r="AD18" s="440"/>
      <c r="AE18" s="440">
        <v>0.79290000000000005</v>
      </c>
      <c r="AF18" s="355"/>
      <c r="AG18" s="334"/>
      <c r="AI18" s="352" t="s">
        <v>7</v>
      </c>
    </row>
    <row r="19" spans="1:35" s="352" customFormat="1" x14ac:dyDescent="0.2">
      <c r="A19" s="320" t="str">
        <f>IFERROR(VLOOKUP(B19,mapping_one_neo!A:B,2,FALSE),"")</f>
        <v>Employers Social Taxes</v>
      </c>
      <c r="B19" s="352" t="s">
        <v>8</v>
      </c>
      <c r="C19" s="337">
        <v>645500</v>
      </c>
      <c r="E19" s="365">
        <v>-4.6913933189189194</v>
      </c>
      <c r="G19" s="356"/>
      <c r="H19" s="356"/>
      <c r="I19" s="356">
        <v>-5.8620000000000001</v>
      </c>
      <c r="J19" s="356"/>
      <c r="K19" s="356"/>
      <c r="L19" s="356">
        <v>-5.54939331891892</v>
      </c>
      <c r="M19" s="356"/>
      <c r="N19" s="356"/>
      <c r="O19" s="356">
        <v>15.84</v>
      </c>
      <c r="P19" s="356"/>
      <c r="Q19" s="356"/>
      <c r="R19" s="356">
        <v>-9.1199999999999992</v>
      </c>
      <c r="S19" s="345" t="s">
        <v>134</v>
      </c>
      <c r="T19" s="361"/>
      <c r="U19" s="440">
        <f>IFERROR(VLOOKUP($B19,[4]Feuil1!$A:$AD,20,FALSE),"")</f>
        <v>12.446999999999999</v>
      </c>
      <c r="V19" s="440"/>
      <c r="W19" s="440"/>
      <c r="X19" s="440"/>
      <c r="Y19" s="440"/>
      <c r="Z19" s="440">
        <v>12.446999999999999</v>
      </c>
      <c r="AA19" s="440"/>
      <c r="AB19" s="440"/>
      <c r="AC19" s="440"/>
      <c r="AD19" s="440"/>
      <c r="AE19" s="440">
        <v>12.446999999999999</v>
      </c>
      <c r="AF19" s="355"/>
      <c r="AG19" s="334"/>
      <c r="AI19" s="352" t="s">
        <v>8</v>
      </c>
    </row>
    <row r="20" spans="1:35" s="352" customFormat="1" x14ac:dyDescent="0.2">
      <c r="A20" s="320" t="str">
        <f>IFERROR(VLOOKUP(B20,mapping_one_neo!A:B,2,FALSE),"")</f>
        <v>Employers Social Taxes</v>
      </c>
      <c r="B20" s="352" t="s">
        <v>9</v>
      </c>
      <c r="C20" s="337">
        <v>645500</v>
      </c>
      <c r="E20" s="467">
        <v>-0.41773319999999997</v>
      </c>
      <c r="G20" s="356"/>
      <c r="H20" s="356"/>
      <c r="I20" s="356">
        <v>0</v>
      </c>
      <c r="J20" s="356"/>
      <c r="K20" s="356"/>
      <c r="L20" s="356">
        <v>-0.48357</v>
      </c>
      <c r="M20" s="356"/>
      <c r="N20" s="356"/>
      <c r="O20" s="356">
        <v>0.565944</v>
      </c>
      <c r="P20" s="356">
        <v>0</v>
      </c>
      <c r="Q20" s="356">
        <v>0</v>
      </c>
      <c r="R20" s="356">
        <v>-0.50010719999999997</v>
      </c>
      <c r="S20" s="345"/>
      <c r="T20" s="361"/>
      <c r="U20" s="440">
        <f>IFERROR(VLOOKUP($B20,[4]Feuil1!$A:$AD,20,FALSE),"")</f>
        <v>8.2999999999999963E-2</v>
      </c>
      <c r="V20" s="440"/>
      <c r="W20" s="440"/>
      <c r="X20" s="440"/>
      <c r="Y20" s="440"/>
      <c r="Z20" s="440">
        <v>8.2999999999999963E-2</v>
      </c>
      <c r="AA20" s="440"/>
      <c r="AB20" s="440"/>
      <c r="AC20" s="440"/>
      <c r="AD20" s="440"/>
      <c r="AE20" s="440">
        <v>8.2999999999999963E-2</v>
      </c>
      <c r="AF20" s="355"/>
      <c r="AG20" s="334" t="s">
        <v>134</v>
      </c>
      <c r="AI20" s="352" t="s">
        <v>9</v>
      </c>
    </row>
    <row r="21" spans="1:35" s="352" customFormat="1" x14ac:dyDescent="0.2">
      <c r="A21" s="320">
        <f>IFERROR(VLOOKUP(B21,mapping_one_neo!A:B,2,FALSE),"")</f>
        <v>0</v>
      </c>
      <c r="B21" s="352" t="s">
        <v>10</v>
      </c>
      <c r="C21" s="337">
        <v>645003</v>
      </c>
      <c r="E21" s="365">
        <v>0</v>
      </c>
      <c r="G21" s="356">
        <v>0</v>
      </c>
      <c r="H21" s="356">
        <v>0</v>
      </c>
      <c r="I21" s="356">
        <v>0</v>
      </c>
      <c r="J21" s="356">
        <v>0</v>
      </c>
      <c r="K21" s="356">
        <v>0</v>
      </c>
      <c r="L21" s="356">
        <v>0</v>
      </c>
      <c r="M21" s="356">
        <v>0</v>
      </c>
      <c r="N21" s="356">
        <v>0</v>
      </c>
      <c r="O21" s="356">
        <v>0</v>
      </c>
      <c r="P21" s="356">
        <v>0</v>
      </c>
      <c r="Q21" s="356">
        <v>0</v>
      </c>
      <c r="R21" s="356">
        <v>0</v>
      </c>
      <c r="S21" s="345" t="s">
        <v>747</v>
      </c>
      <c r="T21" s="361"/>
      <c r="U21" s="440"/>
      <c r="V21" s="440"/>
      <c r="W21" s="440"/>
      <c r="X21" s="440"/>
      <c r="Y21" s="440"/>
      <c r="Z21" s="440"/>
      <c r="AA21" s="440"/>
      <c r="AB21" s="440"/>
      <c r="AC21" s="440"/>
      <c r="AD21" s="440"/>
      <c r="AE21" s="440"/>
      <c r="AF21" s="355"/>
      <c r="AG21" s="334"/>
      <c r="AI21" s="352" t="s">
        <v>10</v>
      </c>
    </row>
    <row r="22" spans="1:35" s="352" customFormat="1" x14ac:dyDescent="0.2">
      <c r="A22" s="320" t="str">
        <f>IFERROR(VLOOKUP(B22,mapping_one_neo!A:B,2,FALSE),"")</f>
        <v>Staff salaries</v>
      </c>
      <c r="B22" s="352" t="s">
        <v>11</v>
      </c>
      <c r="C22" s="337">
        <v>641420</v>
      </c>
      <c r="E22" s="365">
        <v>0</v>
      </c>
      <c r="G22" s="356"/>
      <c r="H22" s="356"/>
      <c r="I22" s="356"/>
      <c r="J22" s="356"/>
      <c r="K22" s="356">
        <v>0</v>
      </c>
      <c r="L22" s="356"/>
      <c r="M22" s="356"/>
      <c r="N22" s="356"/>
      <c r="O22" s="356"/>
      <c r="P22" s="356"/>
      <c r="Q22" s="356"/>
      <c r="R22" s="356"/>
      <c r="S22" s="345"/>
      <c r="T22" s="361"/>
      <c r="U22" s="440">
        <f>IFERROR(VLOOKUP($B22,[4]Feuil1!$A:$AD,20,FALSE),"")</f>
        <v>-22</v>
      </c>
      <c r="V22" s="440"/>
      <c r="W22" s="440"/>
      <c r="X22" s="440"/>
      <c r="Y22" s="440">
        <v>9.9375</v>
      </c>
      <c r="Z22" s="440">
        <v>-12.0625</v>
      </c>
      <c r="AA22" s="440"/>
      <c r="AB22" s="440"/>
      <c r="AC22" s="440"/>
      <c r="AD22" s="440"/>
      <c r="AE22" s="440">
        <v>-12.0625</v>
      </c>
      <c r="AF22" s="355"/>
      <c r="AG22" s="334"/>
      <c r="AI22" s="352" t="s">
        <v>11</v>
      </c>
    </row>
    <row r="23" spans="1:35" s="352" customFormat="1" x14ac:dyDescent="0.2">
      <c r="A23" s="320" t="str">
        <f>IFERROR(VLOOKUP(B23,mapping_one_neo!A:B,2,FALSE),"")</f>
        <v>Employers Social Taxes</v>
      </c>
      <c r="B23" s="352" t="s">
        <v>12</v>
      </c>
      <c r="C23" s="337">
        <v>641420</v>
      </c>
      <c r="E23" s="365">
        <v>0</v>
      </c>
      <c r="G23" s="356"/>
      <c r="H23" s="356"/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45" t="s">
        <v>134</v>
      </c>
      <c r="T23" s="361"/>
      <c r="U23" s="440"/>
      <c r="V23" s="440"/>
      <c r="W23" s="440"/>
      <c r="X23" s="440"/>
      <c r="Y23" s="440"/>
      <c r="Z23" s="440"/>
      <c r="AA23" s="440"/>
      <c r="AB23" s="440"/>
      <c r="AC23" s="440"/>
      <c r="AD23" s="440"/>
      <c r="AE23" s="440"/>
      <c r="AF23" s="355"/>
      <c r="AG23" s="334"/>
      <c r="AI23" s="352" t="s">
        <v>12</v>
      </c>
    </row>
    <row r="24" spans="1:35" s="352" customFormat="1" x14ac:dyDescent="0.2">
      <c r="A24" s="320" t="str">
        <f>IFERROR(VLOOKUP(B24,mapping_one_neo!A:B,2,FALSE),"")</f>
        <v xml:space="preserve">Inter-company time of staff - INTRA AU=0.INP </v>
      </c>
      <c r="B24" s="352" t="s">
        <v>13</v>
      </c>
      <c r="C24" s="337">
        <v>613218</v>
      </c>
      <c r="E24" s="365">
        <v>-65.203249999999997</v>
      </c>
      <c r="G24" s="356">
        <v>-4.9580500000000001</v>
      </c>
      <c r="H24" s="356">
        <v>-4.9580500000000001</v>
      </c>
      <c r="I24" s="356">
        <v>-4.9146999999999998</v>
      </c>
      <c r="J24" s="356">
        <v>-4.9580500000000001</v>
      </c>
      <c r="K24" s="356">
        <v>-4.9580500000000001</v>
      </c>
      <c r="L24" s="356">
        <v>-9.2080500000000001</v>
      </c>
      <c r="M24" s="356">
        <v>-4.9580500000000001</v>
      </c>
      <c r="N24" s="356">
        <v>-4.9580500000000001</v>
      </c>
      <c r="O24" s="356">
        <v>-4.9580500000000001</v>
      </c>
      <c r="P24" s="356">
        <v>-5.4580500000000001</v>
      </c>
      <c r="Q24" s="356">
        <v>-5.4580500000000001</v>
      </c>
      <c r="R24" s="356">
        <v>-5.4580500000000001</v>
      </c>
      <c r="S24" s="368" t="s">
        <v>134</v>
      </c>
      <c r="T24" s="361"/>
      <c r="U24" s="440">
        <f>IFERROR(VLOOKUP($B24,[4]Feuil1!$A:$AD,20,FALSE),"")</f>
        <v>-64.895999999999987</v>
      </c>
      <c r="V24" s="440"/>
      <c r="W24" s="440"/>
      <c r="X24" s="440"/>
      <c r="Y24" s="440"/>
      <c r="Z24" s="440">
        <v>-64.895999999999987</v>
      </c>
      <c r="AA24" s="440"/>
      <c r="AB24" s="440"/>
      <c r="AC24" s="440"/>
      <c r="AD24" s="440"/>
      <c r="AE24" s="440">
        <v>-64.895999999999987</v>
      </c>
      <c r="AF24" s="355"/>
      <c r="AG24" s="369"/>
      <c r="AI24" s="352" t="s">
        <v>13</v>
      </c>
    </row>
    <row r="25" spans="1:35" s="352" customFormat="1" x14ac:dyDescent="0.2">
      <c r="A25" s="320" t="str">
        <f>IFERROR(VLOOKUP(B25,mapping_one_neo!A:B,2,FALSE),"")</f>
        <v xml:space="preserve">Inter-company time of staff - INTRA AU=0.INP </v>
      </c>
      <c r="B25" s="352" t="s">
        <v>809</v>
      </c>
      <c r="C25" s="337">
        <v>613218</v>
      </c>
      <c r="E25" s="365">
        <v>0</v>
      </c>
      <c r="G25" s="356"/>
      <c r="H25" s="356"/>
      <c r="I25" s="356"/>
      <c r="J25" s="356"/>
      <c r="K25" s="356">
        <v>0</v>
      </c>
      <c r="L25" s="356"/>
      <c r="M25" s="356"/>
      <c r="N25" s="356"/>
      <c r="O25" s="356"/>
      <c r="P25" s="356"/>
      <c r="Q25" s="356"/>
      <c r="R25" s="356"/>
      <c r="S25" s="345"/>
      <c r="T25" s="361"/>
      <c r="U25" s="440">
        <f>IFERROR(VLOOKUP($B25,[4]Feuil1!$A:$AD,20,FALSE),"")</f>
        <v>-12.635200000000001</v>
      </c>
      <c r="V25" s="440"/>
      <c r="W25" s="440"/>
      <c r="X25" s="440"/>
      <c r="Y25" s="440"/>
      <c r="Z25" s="440">
        <v>-12.635200000000001</v>
      </c>
      <c r="AA25" s="440"/>
      <c r="AB25" s="440"/>
      <c r="AC25" s="440"/>
      <c r="AD25" s="440"/>
      <c r="AE25" s="440">
        <v>-12.635200000000001</v>
      </c>
      <c r="AF25" s="355"/>
      <c r="AG25" s="334"/>
      <c r="AI25" s="352" t="s">
        <v>809</v>
      </c>
    </row>
    <row r="26" spans="1:35" s="352" customFormat="1" x14ac:dyDescent="0.2">
      <c r="A26" s="320" t="str">
        <f>IFERROR(VLOOKUP(B26,mapping_one_neo!A:B,2,FALSE),"")</f>
        <v>Employers Social Taxes</v>
      </c>
      <c r="B26" s="352" t="s">
        <v>15</v>
      </c>
      <c r="C26" s="337">
        <v>613219</v>
      </c>
      <c r="E26" s="365">
        <v>-35.291291999999999</v>
      </c>
      <c r="G26" s="356">
        <v>-2.6541199999999998</v>
      </c>
      <c r="H26" s="356">
        <v>-2.6541199999999998</v>
      </c>
      <c r="I26" s="356">
        <v>-2.6322399999999999</v>
      </c>
      <c r="J26" s="356">
        <v>-2.6544299999999996</v>
      </c>
      <c r="K26" s="356">
        <v>-2.9938899999999999</v>
      </c>
      <c r="L26" s="356">
        <v>-4.8284099999999999</v>
      </c>
      <c r="M26" s="356">
        <v>-2.6773470000000001</v>
      </c>
      <c r="N26" s="356">
        <v>-2.6773470000000001</v>
      </c>
      <c r="O26" s="356">
        <v>-2.6773470000000001</v>
      </c>
      <c r="P26" s="356">
        <v>-2.9473470000000002</v>
      </c>
      <c r="Q26" s="356">
        <v>-2.9473470000000002</v>
      </c>
      <c r="R26" s="356">
        <v>-2.9473470000000002</v>
      </c>
      <c r="S26" s="368" t="s">
        <v>134</v>
      </c>
      <c r="T26" s="361"/>
      <c r="U26" s="440">
        <f>IFERROR(VLOOKUP($B26,[4]Feuil1!$A:$AD,20,FALSE),"")</f>
        <v>-35.147000000000006</v>
      </c>
      <c r="V26" s="440"/>
      <c r="W26" s="440"/>
      <c r="X26" s="440"/>
      <c r="Y26" s="440"/>
      <c r="Z26" s="440">
        <v>-35.147000000000006</v>
      </c>
      <c r="AA26" s="440"/>
      <c r="AB26" s="440"/>
      <c r="AC26" s="440"/>
      <c r="AD26" s="440"/>
      <c r="AE26" s="440">
        <v>-35.147000000000006</v>
      </c>
      <c r="AF26" s="355"/>
      <c r="AG26" s="334"/>
      <c r="AI26" s="352" t="s">
        <v>15</v>
      </c>
    </row>
    <row r="27" spans="1:35" s="352" customFormat="1" x14ac:dyDescent="0.2">
      <c r="A27" s="320" t="str">
        <f>IFERROR(VLOOKUP(B27,mapping_one_neo!A:B,2,FALSE),"")</f>
        <v>Employers Social Taxes</v>
      </c>
      <c r="B27" s="352" t="s">
        <v>810</v>
      </c>
      <c r="C27" s="337">
        <v>613219</v>
      </c>
      <c r="E27" s="365">
        <v>0</v>
      </c>
      <c r="G27" s="356"/>
      <c r="H27" s="356"/>
      <c r="I27" s="356"/>
      <c r="J27" s="356"/>
      <c r="K27" s="356">
        <v>0</v>
      </c>
      <c r="L27" s="356"/>
      <c r="M27" s="356"/>
      <c r="N27" s="356"/>
      <c r="O27" s="356"/>
      <c r="P27" s="356"/>
      <c r="Q27" s="356"/>
      <c r="R27" s="356"/>
      <c r="S27" s="345"/>
      <c r="T27" s="361"/>
      <c r="U27" s="440">
        <f>IFERROR(VLOOKUP($B27,[4]Feuil1!$A:$AD,20,FALSE),"")</f>
        <v>-6.3741999999999992</v>
      </c>
      <c r="V27" s="440"/>
      <c r="W27" s="440"/>
      <c r="X27" s="440"/>
      <c r="Y27" s="440"/>
      <c r="Z27" s="440">
        <v>-6.3741999999999992</v>
      </c>
      <c r="AA27" s="440"/>
      <c r="AB27" s="440"/>
      <c r="AC27" s="440"/>
      <c r="AD27" s="440"/>
      <c r="AE27" s="440">
        <v>-6.3741999999999992</v>
      </c>
      <c r="AF27" s="355"/>
      <c r="AG27" s="334"/>
      <c r="AI27" s="352" t="s">
        <v>810</v>
      </c>
    </row>
    <row r="28" spans="1:35" s="352" customFormat="1" x14ac:dyDescent="0.2">
      <c r="A28" s="320" t="str">
        <f>IFERROR(VLOOKUP(B28,mapping_one_neo!A:B,2,FALSE),"")</f>
        <v>Recruitment costs</v>
      </c>
      <c r="B28" s="352" t="s">
        <v>17</v>
      </c>
      <c r="C28" s="337">
        <v>648222</v>
      </c>
      <c r="E28" s="365">
        <v>-30.085000000000001</v>
      </c>
      <c r="G28" s="356">
        <v>-10</v>
      </c>
      <c r="H28" s="356">
        <v>-3</v>
      </c>
      <c r="I28" s="356">
        <v>0</v>
      </c>
      <c r="J28" s="356">
        <v>-2.0500000000000007</v>
      </c>
      <c r="K28" s="356">
        <v>-4.9499999999999993</v>
      </c>
      <c r="L28" s="356">
        <v>-8.5000000000000006E-2</v>
      </c>
      <c r="M28" s="356">
        <v>-10</v>
      </c>
      <c r="N28" s="356">
        <v>0</v>
      </c>
      <c r="O28" s="356">
        <v>0</v>
      </c>
      <c r="P28" s="356">
        <v>0</v>
      </c>
      <c r="Q28" s="356">
        <v>0</v>
      </c>
      <c r="R28" s="356">
        <v>0</v>
      </c>
      <c r="S28" s="345"/>
      <c r="T28" s="361"/>
      <c r="U28" s="440"/>
      <c r="V28" s="440"/>
      <c r="W28" s="440"/>
      <c r="X28" s="440"/>
      <c r="Y28" s="440"/>
      <c r="Z28" s="440"/>
      <c r="AA28" s="440"/>
      <c r="AB28" s="440"/>
      <c r="AC28" s="440"/>
      <c r="AD28" s="440"/>
      <c r="AE28" s="440"/>
      <c r="AF28" s="355"/>
      <c r="AG28" s="334"/>
      <c r="AI28" s="352" t="s">
        <v>17</v>
      </c>
    </row>
    <row r="29" spans="1:35" s="352" customFormat="1" x14ac:dyDescent="0.2">
      <c r="A29" s="320" t="str">
        <f>IFERROR(VLOOKUP(B29,mapping_one_neo!A:B,2,FALSE),"")</f>
        <v>Consultants/freelances/temps</v>
      </c>
      <c r="B29" s="352" t="s">
        <v>18</v>
      </c>
      <c r="C29" s="337">
        <v>648212</v>
      </c>
      <c r="E29" s="365">
        <v>-10.350000000000001</v>
      </c>
      <c r="G29" s="356">
        <v>0</v>
      </c>
      <c r="H29" s="356">
        <v>0</v>
      </c>
      <c r="I29" s="356">
        <v>0</v>
      </c>
      <c r="J29" s="356">
        <v>-2.7</v>
      </c>
      <c r="K29" s="356">
        <v>-4.95</v>
      </c>
      <c r="L29" s="356">
        <v>-2.7</v>
      </c>
      <c r="M29" s="356">
        <v>0</v>
      </c>
      <c r="N29" s="356">
        <v>0</v>
      </c>
      <c r="O29" s="356">
        <v>0</v>
      </c>
      <c r="P29" s="356">
        <v>0</v>
      </c>
      <c r="Q29" s="356">
        <v>0</v>
      </c>
      <c r="R29" s="356">
        <v>0</v>
      </c>
      <c r="S29" s="345"/>
      <c r="T29" s="361"/>
      <c r="U29" s="440">
        <f>IFERROR(VLOOKUP($B29,[4]Feuil1!$A:$AD,20,FALSE),"")</f>
        <v>0.74</v>
      </c>
      <c r="V29" s="440"/>
      <c r="W29" s="440"/>
      <c r="X29" s="440"/>
      <c r="Y29" s="440"/>
      <c r="Z29" s="440">
        <v>0.74</v>
      </c>
      <c r="AA29" s="440"/>
      <c r="AB29" s="440"/>
      <c r="AC29" s="440"/>
      <c r="AD29" s="440"/>
      <c r="AE29" s="440"/>
      <c r="AF29" s="355"/>
      <c r="AG29" s="334"/>
      <c r="AI29" s="352" t="s">
        <v>18</v>
      </c>
    </row>
    <row r="30" spans="1:35" s="352" customFormat="1" x14ac:dyDescent="0.2">
      <c r="A30" s="320" t="str">
        <f>IFERROR(VLOOKUP(B30,mapping_one_neo!A:B,2,FALSE),"")</f>
        <v xml:space="preserve">Inter-company time of staff - INTRA AU=0.INP </v>
      </c>
      <c r="B30" s="352" t="s">
        <v>19</v>
      </c>
      <c r="C30" s="337">
        <v>613209</v>
      </c>
      <c r="E30" s="365">
        <v>0</v>
      </c>
      <c r="G30" s="356"/>
      <c r="H30" s="356"/>
      <c r="I30" s="356"/>
      <c r="J30" s="356"/>
      <c r="K30" s="356">
        <v>0</v>
      </c>
      <c r="L30" s="356">
        <v>0</v>
      </c>
      <c r="M30" s="356"/>
      <c r="N30" s="356">
        <v>0</v>
      </c>
      <c r="O30" s="356"/>
      <c r="P30" s="356"/>
      <c r="Q30" s="356"/>
      <c r="R30" s="356"/>
      <c r="S30" s="345"/>
      <c r="T30" s="361"/>
      <c r="U30" s="440">
        <f>IFERROR(VLOOKUP($B30,[4]Feuil1!$A:$AD,20,FALSE),"")</f>
        <v>-26.14087</v>
      </c>
      <c r="V30" s="440"/>
      <c r="W30" s="440"/>
      <c r="X30" s="440"/>
      <c r="Y30" s="440">
        <v>-7.2854999999999999</v>
      </c>
      <c r="Z30" s="440">
        <v>-33.426369999999999</v>
      </c>
      <c r="AA30" s="440"/>
      <c r="AB30" s="440"/>
      <c r="AC30" s="440"/>
      <c r="AD30" s="440"/>
      <c r="AE30" s="440">
        <v>-33.426369999999999</v>
      </c>
      <c r="AF30" s="355"/>
      <c r="AG30" s="334"/>
      <c r="AI30" s="352" t="s">
        <v>19</v>
      </c>
    </row>
    <row r="31" spans="1:35" s="352" customFormat="1" x14ac:dyDescent="0.2">
      <c r="A31" s="320" t="str">
        <f>IFERROR(VLOOKUP(B31,mapping_one_neo!A:B,2,FALSE),"")</f>
        <v xml:space="preserve">Inter-company time of staff - INTRA AU=0.INP </v>
      </c>
      <c r="B31" s="352" t="s">
        <v>20</v>
      </c>
      <c r="C31" s="337" t="s">
        <v>145</v>
      </c>
      <c r="E31" s="365">
        <v>-107.734275</v>
      </c>
      <c r="G31" s="356">
        <v>-8.9855</v>
      </c>
      <c r="H31" s="356">
        <v>-8.9855</v>
      </c>
      <c r="I31" s="356">
        <v>-8.9855000000000018</v>
      </c>
      <c r="J31" s="356">
        <v>-8.8957000000000015</v>
      </c>
      <c r="K31" s="356">
        <v>-8.9854999999999947</v>
      </c>
      <c r="L31" s="356">
        <v>-8.9852249999999998</v>
      </c>
      <c r="M31" s="356">
        <v>-8.9852249999999998</v>
      </c>
      <c r="N31" s="356">
        <v>-8.9852249999999998</v>
      </c>
      <c r="O31" s="356">
        <v>-8.9852249999999998</v>
      </c>
      <c r="P31" s="356">
        <v>-8.9852249999999998</v>
      </c>
      <c r="Q31" s="356">
        <v>-8.9852249999999998</v>
      </c>
      <c r="R31" s="356">
        <v>-8.9852249999999998</v>
      </c>
      <c r="S31" s="345"/>
      <c r="T31" s="361"/>
      <c r="U31" s="440">
        <f>IFERROR(VLOOKUP($B31,[4]Feuil1!$A:$AD,20,FALSE),"")</f>
        <v>-116.72517999999999</v>
      </c>
      <c r="V31" s="440"/>
      <c r="W31" s="440"/>
      <c r="X31" s="440"/>
      <c r="Y31" s="440">
        <v>26.91</v>
      </c>
      <c r="Z31" s="440">
        <v>-89.815179999999998</v>
      </c>
      <c r="AA31" s="440"/>
      <c r="AB31" s="440"/>
      <c r="AC31" s="440"/>
      <c r="AD31" s="440"/>
      <c r="AE31" s="440">
        <v>-89.815179999999998</v>
      </c>
      <c r="AF31" s="355"/>
      <c r="AG31" s="334"/>
      <c r="AI31" s="352" t="s">
        <v>20</v>
      </c>
    </row>
    <row r="32" spans="1:35" s="352" customFormat="1" x14ac:dyDescent="0.2">
      <c r="A32" s="320">
        <f>IFERROR(VLOOKUP(B32,mapping_one_neo!A:B,2,FALSE),"")</f>
        <v>0</v>
      </c>
      <c r="B32" s="352" t="s">
        <v>21</v>
      </c>
      <c r="C32" s="353"/>
      <c r="E32" s="365">
        <v>0</v>
      </c>
      <c r="G32" s="356">
        <v>0</v>
      </c>
      <c r="H32" s="356">
        <v>0</v>
      </c>
      <c r="I32" s="356">
        <v>0</v>
      </c>
      <c r="J32" s="356">
        <v>0</v>
      </c>
      <c r="K32" s="356">
        <v>0</v>
      </c>
      <c r="L32" s="356">
        <v>0</v>
      </c>
      <c r="M32" s="356">
        <v>0</v>
      </c>
      <c r="N32" s="356">
        <v>0</v>
      </c>
      <c r="O32" s="356">
        <v>0</v>
      </c>
      <c r="P32" s="356">
        <v>0</v>
      </c>
      <c r="Q32" s="356">
        <v>0</v>
      </c>
      <c r="R32" s="356"/>
      <c r="S32" s="345"/>
      <c r="T32" s="361"/>
      <c r="U32" s="440"/>
      <c r="V32" s="440"/>
      <c r="W32" s="440"/>
      <c r="X32" s="440"/>
      <c r="Y32" s="440"/>
      <c r="Z32" s="440"/>
      <c r="AA32" s="440"/>
      <c r="AB32" s="440"/>
      <c r="AC32" s="440"/>
      <c r="AD32" s="440"/>
      <c r="AE32" s="440"/>
      <c r="AF32" s="355"/>
      <c r="AG32" s="334"/>
      <c r="AI32" s="352" t="s">
        <v>21</v>
      </c>
    </row>
    <row r="33" spans="1:35" s="352" customFormat="1" x14ac:dyDescent="0.2">
      <c r="A33" s="320">
        <f>IFERROR(VLOOKUP(B33,mapping_one_neo!A:B,2,FALSE),"")</f>
        <v>0</v>
      </c>
      <c r="B33" s="352" t="s">
        <v>22</v>
      </c>
      <c r="C33" s="353"/>
      <c r="E33" s="365">
        <v>0</v>
      </c>
      <c r="G33" s="356">
        <v>0</v>
      </c>
      <c r="H33" s="356">
        <v>0</v>
      </c>
      <c r="I33" s="356">
        <v>0</v>
      </c>
      <c r="J33" s="356">
        <v>0</v>
      </c>
      <c r="K33" s="356">
        <v>0</v>
      </c>
      <c r="L33" s="356">
        <v>0</v>
      </c>
      <c r="M33" s="356">
        <v>0</v>
      </c>
      <c r="N33" s="356">
        <v>0</v>
      </c>
      <c r="O33" s="356">
        <v>0</v>
      </c>
      <c r="P33" s="356">
        <v>0</v>
      </c>
      <c r="Q33" s="356">
        <v>0</v>
      </c>
      <c r="R33" s="356"/>
      <c r="S33" s="345"/>
      <c r="T33" s="361"/>
      <c r="U33" s="440"/>
      <c r="V33" s="440"/>
      <c r="W33" s="440"/>
      <c r="X33" s="440"/>
      <c r="Y33" s="440"/>
      <c r="Z33" s="440"/>
      <c r="AA33" s="440"/>
      <c r="AB33" s="440"/>
      <c r="AC33" s="440"/>
      <c r="AD33" s="440"/>
      <c r="AE33" s="440"/>
      <c r="AF33" s="355"/>
      <c r="AG33" s="334"/>
      <c r="AI33" s="352" t="s">
        <v>22</v>
      </c>
    </row>
    <row r="34" spans="1:35" s="352" customFormat="1" x14ac:dyDescent="0.2">
      <c r="A34" s="320" t="str">
        <f>IFERROR(VLOOKUP(B34,mapping_one_neo!A:B,2,FALSE),"")</f>
        <v>Other staff costs</v>
      </c>
      <c r="B34" s="482" t="s">
        <v>23</v>
      </c>
      <c r="C34" s="337" t="s">
        <v>146</v>
      </c>
      <c r="E34" s="365">
        <v>0</v>
      </c>
      <c r="G34" s="356">
        <v>0</v>
      </c>
      <c r="H34" s="356">
        <v>0</v>
      </c>
      <c r="I34" s="356"/>
      <c r="J34" s="356"/>
      <c r="K34" s="356"/>
      <c r="L34" s="356"/>
      <c r="M34" s="356"/>
      <c r="N34" s="356">
        <v>0</v>
      </c>
      <c r="O34" s="356">
        <v>0</v>
      </c>
      <c r="P34" s="356">
        <v>0</v>
      </c>
      <c r="Q34" s="356">
        <v>0</v>
      </c>
      <c r="R34" s="356">
        <v>0</v>
      </c>
      <c r="S34" s="345" t="s">
        <v>747</v>
      </c>
      <c r="T34" s="361"/>
      <c r="U34" s="440">
        <v>-31.321480000000001</v>
      </c>
      <c r="V34" s="440"/>
      <c r="W34" s="440"/>
      <c r="X34" s="440"/>
      <c r="Y34" s="440">
        <v>0</v>
      </c>
      <c r="Z34" s="440">
        <v>-31.321480000000001</v>
      </c>
      <c r="AA34" s="440"/>
      <c r="AB34" s="440"/>
      <c r="AC34" s="440"/>
      <c r="AD34" s="440"/>
      <c r="AE34" s="440">
        <v>-31.321480000000001</v>
      </c>
      <c r="AF34" s="355"/>
      <c r="AG34" s="334"/>
      <c r="AI34" s="352" t="s">
        <v>825</v>
      </c>
    </row>
    <row r="35" spans="1:35" s="352" customFormat="1" x14ac:dyDescent="0.2">
      <c r="A35" s="320">
        <f>IFERROR(VLOOKUP(B35,mapping_one_neo!A:B,2,FALSE),"")</f>
        <v>0</v>
      </c>
      <c r="B35" s="352" t="s">
        <v>24</v>
      </c>
      <c r="C35" s="337"/>
      <c r="E35" s="365">
        <v>0</v>
      </c>
      <c r="G35" s="356"/>
      <c r="H35" s="356"/>
      <c r="I35" s="356"/>
      <c r="J35" s="356"/>
      <c r="K35" s="356"/>
      <c r="L35" s="356"/>
      <c r="M35" s="356"/>
      <c r="N35" s="356"/>
      <c r="O35" s="356"/>
      <c r="P35" s="356"/>
      <c r="Q35" s="356"/>
      <c r="R35" s="356"/>
      <c r="S35" s="345"/>
      <c r="T35" s="361"/>
      <c r="U35" s="440"/>
      <c r="V35" s="440"/>
      <c r="W35" s="440"/>
      <c r="X35" s="440"/>
      <c r="Y35" s="440"/>
      <c r="Z35" s="440"/>
      <c r="AA35" s="440"/>
      <c r="AB35" s="440"/>
      <c r="AC35" s="440"/>
      <c r="AD35" s="440"/>
      <c r="AE35" s="440"/>
      <c r="AF35" s="355"/>
      <c r="AG35" s="334"/>
      <c r="AI35" s="352" t="s">
        <v>24</v>
      </c>
    </row>
    <row r="36" spans="1:35" s="352" customFormat="1" x14ac:dyDescent="0.2">
      <c r="A36" s="320">
        <f>IFERROR(VLOOKUP(B36,mapping_one_neo!A:B,2,FALSE),"")</f>
        <v>0</v>
      </c>
      <c r="B36" s="352" t="s">
        <v>25</v>
      </c>
      <c r="C36" s="337">
        <v>649000</v>
      </c>
      <c r="E36" s="365">
        <v>0</v>
      </c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45"/>
      <c r="T36" s="361"/>
      <c r="U36" s="440"/>
      <c r="V36" s="440"/>
      <c r="W36" s="440"/>
      <c r="X36" s="440"/>
      <c r="Y36" s="440"/>
      <c r="Z36" s="440"/>
      <c r="AA36" s="440"/>
      <c r="AB36" s="440"/>
      <c r="AC36" s="440"/>
      <c r="AD36" s="440"/>
      <c r="AE36" s="440"/>
      <c r="AF36" s="355"/>
      <c r="AG36" s="334"/>
      <c r="AI36" s="352" t="s">
        <v>25</v>
      </c>
    </row>
    <row r="37" spans="1:35" s="352" customFormat="1" x14ac:dyDescent="0.2">
      <c r="A37" s="320" t="str">
        <f>IFERROR(VLOOKUP(B37,mapping_one_neo!A:B,2,FALSE),"")</f>
        <v>Car costs/leases</v>
      </c>
      <c r="B37" s="332" t="s">
        <v>26</v>
      </c>
      <c r="C37" s="353"/>
      <c r="E37" s="365">
        <v>-52.135177142857131</v>
      </c>
      <c r="G37" s="356">
        <v>-3.8224</v>
      </c>
      <c r="H37" s="356">
        <v>-4.4407899999999998</v>
      </c>
      <c r="I37" s="356">
        <v>-4.0013500000000004</v>
      </c>
      <c r="J37" s="356">
        <v>-6.8894300000000008</v>
      </c>
      <c r="K37" s="356">
        <v>-3.9371699999999983</v>
      </c>
      <c r="L37" s="356">
        <v>-4.97736</v>
      </c>
      <c r="M37" s="356">
        <v>-4.0111128571428569</v>
      </c>
      <c r="N37" s="356">
        <v>-4.0111128571428569</v>
      </c>
      <c r="O37" s="356">
        <v>-4.0111128571428569</v>
      </c>
      <c r="P37" s="356">
        <v>-4.0111128571428569</v>
      </c>
      <c r="Q37" s="356">
        <v>-4.0111128571428569</v>
      </c>
      <c r="R37" s="356">
        <v>-4.0111128571428569</v>
      </c>
      <c r="S37" s="345"/>
      <c r="T37" s="361"/>
      <c r="U37" s="440">
        <f>IFERROR(VLOOKUP($B37,[4]Feuil1!$A:$AD,20,FALSE),"")</f>
        <v>-42.200469999999996</v>
      </c>
      <c r="V37" s="440"/>
      <c r="W37" s="440"/>
      <c r="X37" s="440"/>
      <c r="Y37" s="440"/>
      <c r="Z37" s="440">
        <v>-42.200469999999996</v>
      </c>
      <c r="AA37" s="440"/>
      <c r="AB37" s="440"/>
      <c r="AC37" s="440"/>
      <c r="AD37" s="440"/>
      <c r="AE37" s="440">
        <v>-42.200469999999996</v>
      </c>
      <c r="AF37" s="355"/>
      <c r="AG37" s="334"/>
      <c r="AI37" s="352" t="s">
        <v>26</v>
      </c>
    </row>
    <row r="38" spans="1:35" x14ac:dyDescent="0.2">
      <c r="A38" s="320">
        <f>IFERROR(VLOOKUP(B38,mapping_one_neo!A:B,2,FALSE),"")</f>
        <v>0</v>
      </c>
      <c r="B38" s="370" t="s">
        <v>27</v>
      </c>
      <c r="C38" s="337">
        <v>613510</v>
      </c>
      <c r="E38" s="371"/>
      <c r="G38" s="335">
        <v>-2.9874000000000001</v>
      </c>
      <c r="H38" s="335">
        <v>-2.9000499999999998</v>
      </c>
      <c r="I38" s="335">
        <v>-2.9052699999999989</v>
      </c>
      <c r="J38" s="335">
        <v>-2.8955099999999998</v>
      </c>
      <c r="K38" s="335">
        <v>-2.9438699999999995</v>
      </c>
      <c r="L38" s="335">
        <v>-2.9438699999999995</v>
      </c>
      <c r="M38" s="335">
        <v>-2.9438699999999995</v>
      </c>
      <c r="N38" s="335">
        <v>-2.9438699999999995</v>
      </c>
      <c r="O38" s="335">
        <v>-2.9438699999999995</v>
      </c>
      <c r="P38" s="335">
        <v>-2.9438699999999995</v>
      </c>
      <c r="Q38" s="335">
        <v>-2.9438699999999995</v>
      </c>
      <c r="R38" s="335">
        <v>-2.9438699999999995</v>
      </c>
      <c r="S38" s="345"/>
      <c r="T38" s="346"/>
      <c r="U38" s="440">
        <f>IFERROR(VLOOKUP($B38,[4]Feuil1!$A:$AD,20,FALSE),"")</f>
        <v>-31.23085</v>
      </c>
      <c r="V38" s="440"/>
      <c r="W38" s="440"/>
      <c r="X38" s="440"/>
      <c r="Y38" s="440"/>
      <c r="Z38" s="440"/>
      <c r="AA38" s="440"/>
      <c r="AB38" s="440"/>
      <c r="AC38" s="440"/>
      <c r="AD38" s="440"/>
      <c r="AE38" s="440"/>
      <c r="AF38" s="350"/>
      <c r="AI38" s="334" t="s">
        <v>27</v>
      </c>
    </row>
    <row r="39" spans="1:35" x14ac:dyDescent="0.2">
      <c r="A39" s="320">
        <f>IFERROR(VLOOKUP(B39,mapping_one_neo!A:B,2,FALSE),"")</f>
        <v>0</v>
      </c>
      <c r="B39" s="370" t="s">
        <v>28</v>
      </c>
      <c r="C39" s="337">
        <v>616100</v>
      </c>
      <c r="E39" s="371"/>
      <c r="G39" s="335">
        <v>-0.41299999999999998</v>
      </c>
      <c r="H39" s="335">
        <v>-0.41299999999999998</v>
      </c>
      <c r="I39" s="335">
        <v>-0.41299999999999998</v>
      </c>
      <c r="J39" s="335">
        <v>-1.5225400000000002</v>
      </c>
      <c r="K39" s="335">
        <v>-0.41299999999999998</v>
      </c>
      <c r="L39" s="335">
        <v>-0.41299999999999998</v>
      </c>
      <c r="M39" s="335">
        <v>-0.41299999999999998</v>
      </c>
      <c r="N39" s="335">
        <v>-0.41299999999999998</v>
      </c>
      <c r="O39" s="335">
        <v>-0.41299999999999998</v>
      </c>
      <c r="P39" s="335">
        <v>-0.41299999999999998</v>
      </c>
      <c r="Q39" s="335">
        <v>-0.41299999999999998</v>
      </c>
      <c r="R39" s="335">
        <v>-0.41299999999999998</v>
      </c>
      <c r="S39" s="345"/>
      <c r="T39" s="346"/>
      <c r="U39" s="440">
        <f>IFERROR(VLOOKUP($B39,[4]Feuil1!$A:$AD,20,FALSE),"")</f>
        <v>-4.4844900000000001</v>
      </c>
      <c r="V39" s="440"/>
      <c r="W39" s="440"/>
      <c r="X39" s="440"/>
      <c r="Y39" s="440"/>
      <c r="Z39" s="440"/>
      <c r="AA39" s="440"/>
      <c r="AB39" s="440"/>
      <c r="AC39" s="440"/>
      <c r="AD39" s="440"/>
      <c r="AE39" s="440"/>
      <c r="AF39" s="350"/>
      <c r="AI39" s="334" t="s">
        <v>28</v>
      </c>
    </row>
    <row r="40" spans="1:35" x14ac:dyDescent="0.2">
      <c r="A40" s="320">
        <f>IFERROR(VLOOKUP(B40,mapping_one_neo!A:B,2,FALSE),"")</f>
        <v>0</v>
      </c>
      <c r="B40" s="370" t="s">
        <v>29</v>
      </c>
      <c r="C40" s="337">
        <v>625198</v>
      </c>
      <c r="E40" s="371"/>
      <c r="G40" s="335">
        <v>-0.41599999999999998</v>
      </c>
      <c r="H40" s="335">
        <v>-6.3439999999999996E-2</v>
      </c>
      <c r="I40" s="335">
        <v>-0.65755999999999992</v>
      </c>
      <c r="J40" s="335">
        <v>-0.60437000000000007</v>
      </c>
      <c r="K40" s="335">
        <v>-0.45200000000000001</v>
      </c>
      <c r="L40" s="335">
        <v>-0.45200000000000001</v>
      </c>
      <c r="M40" s="335">
        <v>-0.45200000000000001</v>
      </c>
      <c r="N40" s="335">
        <v>-0.45200000000000001</v>
      </c>
      <c r="O40" s="335">
        <v>-0.45200000000000001</v>
      </c>
      <c r="P40" s="335">
        <v>-0.45200000000000001</v>
      </c>
      <c r="Q40" s="335">
        <v>-0.45200000000000001</v>
      </c>
      <c r="R40" s="335">
        <v>-0.45200000000000001</v>
      </c>
      <c r="S40" s="345"/>
      <c r="T40" s="346"/>
      <c r="U40" s="440">
        <f>IFERROR(VLOOKUP($B40,[4]Feuil1!$A:$AD,20,FALSE),"")</f>
        <v>-3.3812700000000002</v>
      </c>
      <c r="V40" s="440"/>
      <c r="W40" s="440"/>
      <c r="X40" s="440"/>
      <c r="Y40" s="440"/>
      <c r="Z40" s="440"/>
      <c r="AA40" s="440"/>
      <c r="AB40" s="440"/>
      <c r="AC40" s="440"/>
      <c r="AD40" s="440"/>
      <c r="AE40" s="440"/>
      <c r="AF40" s="350"/>
      <c r="AG40" s="334" t="s">
        <v>134</v>
      </c>
      <c r="AI40" s="334" t="s">
        <v>29</v>
      </c>
    </row>
    <row r="41" spans="1:35" x14ac:dyDescent="0.2">
      <c r="A41" s="320">
        <f>IFERROR(VLOOKUP(B41,mapping_one_neo!A:B,2,FALSE),"")</f>
        <v>0</v>
      </c>
      <c r="B41" s="370" t="s">
        <v>30</v>
      </c>
      <c r="C41" s="337">
        <v>625199</v>
      </c>
      <c r="E41" s="371"/>
      <c r="G41" s="335">
        <v>-6.0000000000000001E-3</v>
      </c>
      <c r="H41" s="335">
        <v>-1.0643</v>
      </c>
      <c r="I41" s="335">
        <v>-2.5700000000000046E-2</v>
      </c>
      <c r="J41" s="335">
        <v>-1.8670100000000001</v>
      </c>
      <c r="K41" s="335">
        <v>-0.193</v>
      </c>
      <c r="L41" s="335">
        <v>-0.193</v>
      </c>
      <c r="M41" s="335">
        <v>-0.193</v>
      </c>
      <c r="N41" s="335">
        <v>-0.193</v>
      </c>
      <c r="O41" s="335">
        <v>-0.193</v>
      </c>
      <c r="P41" s="335">
        <v>-0.193</v>
      </c>
      <c r="Q41" s="335">
        <v>-0.193</v>
      </c>
      <c r="R41" s="335">
        <v>-0.193</v>
      </c>
      <c r="S41" s="345"/>
      <c r="T41" s="346"/>
      <c r="U41" s="440">
        <f>IFERROR(VLOOKUP($B41,[4]Feuil1!$A:$AD,20,FALSE),"")</f>
        <v>-3.1038600000000001</v>
      </c>
      <c r="V41" s="440"/>
      <c r="W41" s="440"/>
      <c r="X41" s="440"/>
      <c r="Y41" s="440"/>
      <c r="Z41" s="440"/>
      <c r="AA41" s="440"/>
      <c r="AB41" s="440"/>
      <c r="AC41" s="440"/>
      <c r="AD41" s="440"/>
      <c r="AE41" s="440"/>
      <c r="AF41" s="350"/>
      <c r="AI41" s="334" t="s">
        <v>30</v>
      </c>
    </row>
    <row r="42" spans="1:35" s="352" customFormat="1" x14ac:dyDescent="0.2">
      <c r="A42" s="320" t="str">
        <f>IFERROR(VLOOKUP(B42,mapping_one_neo!A:B,2,FALSE),"")</f>
        <v>Pensions - defined benefit schemes</v>
      </c>
      <c r="B42" s="352" t="s">
        <v>31</v>
      </c>
      <c r="C42" s="337">
        <v>681520</v>
      </c>
      <c r="E42" s="365">
        <v>-12</v>
      </c>
      <c r="G42" s="335">
        <v>-1</v>
      </c>
      <c r="H42" s="335">
        <v>-1</v>
      </c>
      <c r="I42" s="335">
        <v>-1</v>
      </c>
      <c r="J42" s="335">
        <v>-1</v>
      </c>
      <c r="K42" s="335">
        <v>-1</v>
      </c>
      <c r="L42" s="335">
        <v>-1</v>
      </c>
      <c r="M42" s="335">
        <v>-1</v>
      </c>
      <c r="N42" s="335">
        <v>-1</v>
      </c>
      <c r="O42" s="335">
        <v>-1</v>
      </c>
      <c r="P42" s="335">
        <v>-1</v>
      </c>
      <c r="Q42" s="335">
        <v>-1</v>
      </c>
      <c r="R42" s="335">
        <v>-1</v>
      </c>
      <c r="S42" s="345"/>
      <c r="T42" s="361"/>
      <c r="U42" s="440">
        <f>IFERROR(VLOOKUP($B42,[4]Feuil1!$A:$AD,20,FALSE),"")</f>
        <v>-11.22</v>
      </c>
      <c r="V42" s="440"/>
      <c r="W42" s="440"/>
      <c r="X42" s="440"/>
      <c r="Y42" s="440"/>
      <c r="Z42" s="440">
        <v>-11.22</v>
      </c>
      <c r="AA42" s="440"/>
      <c r="AB42" s="440"/>
      <c r="AC42" s="440"/>
      <c r="AD42" s="440"/>
      <c r="AE42" s="440">
        <v>-11.22</v>
      </c>
      <c r="AF42" s="355"/>
      <c r="AG42" s="334"/>
      <c r="AI42" s="352" t="s">
        <v>31</v>
      </c>
    </row>
    <row r="43" spans="1:35" s="352" customFormat="1" x14ac:dyDescent="0.2">
      <c r="A43" s="320">
        <f>IFERROR(VLOOKUP(B43,mapping_one_neo!A:B,2,FALSE),"")</f>
        <v>0</v>
      </c>
      <c r="B43" s="372" t="s">
        <v>32</v>
      </c>
      <c r="C43" s="353"/>
      <c r="E43" s="365">
        <v>0</v>
      </c>
      <c r="G43" s="356"/>
      <c r="H43" s="356"/>
      <c r="I43" s="356"/>
      <c r="J43" s="356"/>
      <c r="K43" s="356"/>
      <c r="L43" s="356"/>
      <c r="M43" s="356"/>
      <c r="N43" s="356"/>
      <c r="O43" s="356"/>
      <c r="P43" s="356"/>
      <c r="Q43" s="356"/>
      <c r="R43" s="356"/>
      <c r="S43" s="345"/>
      <c r="T43" s="361"/>
      <c r="U43" s="440"/>
      <c r="V43" s="440"/>
      <c r="W43" s="440"/>
      <c r="X43" s="440"/>
      <c r="Y43" s="440"/>
      <c r="Z43" s="440"/>
      <c r="AA43" s="440"/>
      <c r="AB43" s="440"/>
      <c r="AC43" s="440"/>
      <c r="AD43" s="440"/>
      <c r="AE43" s="440"/>
      <c r="AF43" s="355"/>
      <c r="AG43" s="334"/>
      <c r="AI43" s="352" t="s">
        <v>32</v>
      </c>
    </row>
    <row r="44" spans="1:35" x14ac:dyDescent="0.2">
      <c r="A44" s="320" t="str">
        <f>IFERROR(VLOOKUP(B44,mapping_one_neo!A:B,2,FALSE),"")</f>
        <v>Holiday Pay</v>
      </c>
      <c r="B44" s="370" t="s">
        <v>33</v>
      </c>
      <c r="C44" s="373">
        <v>641200</v>
      </c>
      <c r="E44" s="365">
        <v>-9.7742360810810993</v>
      </c>
      <c r="I44" s="335">
        <v>-12.212999999999999</v>
      </c>
      <c r="L44" s="335">
        <v>-11.5612360810811</v>
      </c>
      <c r="O44" s="335">
        <v>33</v>
      </c>
      <c r="R44" s="335">
        <v>-19</v>
      </c>
      <c r="S44" s="345" t="s">
        <v>134</v>
      </c>
      <c r="T44" s="346"/>
      <c r="U44" s="440">
        <f>IFERROR(VLOOKUP($B44,[4]Feuil1!$A:$AD,20,FALSE),"")</f>
        <v>25.931000000000001</v>
      </c>
      <c r="V44" s="440"/>
      <c r="W44" s="440"/>
      <c r="X44" s="440"/>
      <c r="Y44" s="440"/>
      <c r="Z44" s="440">
        <v>25.931000000000001</v>
      </c>
      <c r="AA44" s="440"/>
      <c r="AB44" s="440"/>
      <c r="AC44" s="440"/>
      <c r="AD44" s="440"/>
      <c r="AE44" s="440">
        <v>25.931000000000001</v>
      </c>
      <c r="AF44" s="350"/>
      <c r="AI44" s="334" t="s">
        <v>33</v>
      </c>
    </row>
    <row r="45" spans="1:35" x14ac:dyDescent="0.2">
      <c r="A45" s="320" t="str">
        <f>IFERROR(VLOOKUP(B45,mapping_one_neo!A:B,2,FALSE),"")</f>
        <v>Holiday Pay</v>
      </c>
      <c r="B45" s="370" t="s">
        <v>34</v>
      </c>
      <c r="C45" s="373">
        <v>641200</v>
      </c>
      <c r="E45" s="365">
        <v>-0.87027000000000032</v>
      </c>
      <c r="I45" s="335">
        <v>0</v>
      </c>
      <c r="L45" s="335">
        <v>-1.00743</v>
      </c>
      <c r="O45" s="335">
        <v>1.1790499999999999</v>
      </c>
      <c r="P45" s="335">
        <v>0</v>
      </c>
      <c r="Q45" s="335">
        <v>0</v>
      </c>
      <c r="R45" s="335">
        <v>-1.0418900000000002</v>
      </c>
      <c r="S45" s="345"/>
      <c r="T45" s="346"/>
      <c r="U45" s="440">
        <f>IFERROR(VLOOKUP($B45,[4]Feuil1!$A:$AD,20,FALSE),"")</f>
        <v>0.17200000000000015</v>
      </c>
      <c r="V45" s="440"/>
      <c r="W45" s="440"/>
      <c r="X45" s="440"/>
      <c r="Y45" s="440"/>
      <c r="Z45" s="440">
        <v>0.17200000000000015</v>
      </c>
      <c r="AA45" s="440"/>
      <c r="AB45" s="440"/>
      <c r="AC45" s="440"/>
      <c r="AD45" s="440"/>
      <c r="AE45" s="440">
        <v>0.17200000000000015</v>
      </c>
      <c r="AF45" s="350"/>
      <c r="AG45" s="334" t="s">
        <v>134</v>
      </c>
      <c r="AI45" s="334" t="s">
        <v>34</v>
      </c>
    </row>
    <row r="46" spans="1:35" s="342" customFormat="1" x14ac:dyDescent="0.2">
      <c r="A46" s="320" t="str">
        <f>IFERROR(VLOOKUP(B46,mapping_one_neo!A:B,2,FALSE),"")</f>
        <v/>
      </c>
      <c r="C46" s="374"/>
      <c r="E46" s="375"/>
      <c r="G46" s="376"/>
      <c r="H46" s="376"/>
      <c r="I46" s="376"/>
      <c r="J46" s="376"/>
      <c r="K46" s="376"/>
      <c r="L46" s="376"/>
      <c r="M46" s="376"/>
      <c r="N46" s="376"/>
      <c r="O46" s="376"/>
      <c r="P46" s="376"/>
      <c r="Q46" s="376"/>
      <c r="R46" s="376"/>
      <c r="S46" s="345"/>
      <c r="T46" s="346"/>
      <c r="U46" s="440" t="str">
        <f>IFERROR(VLOOKUP($B46,[4]Feuil1!$A:$AD,20,FALSE),"")</f>
        <v/>
      </c>
      <c r="V46" s="440" t="s">
        <v>776</v>
      </c>
      <c r="W46" s="440" t="s">
        <v>776</v>
      </c>
      <c r="X46" s="440" t="s">
        <v>776</v>
      </c>
      <c r="Y46" s="440" t="s">
        <v>776</v>
      </c>
      <c r="Z46" s="440" t="s">
        <v>776</v>
      </c>
      <c r="AA46" s="440" t="s">
        <v>776</v>
      </c>
      <c r="AB46" s="440" t="s">
        <v>776</v>
      </c>
      <c r="AC46" s="440" t="s">
        <v>776</v>
      </c>
      <c r="AD46" s="440" t="s">
        <v>776</v>
      </c>
      <c r="AE46" s="440" t="s">
        <v>776</v>
      </c>
      <c r="AF46" s="377"/>
      <c r="AG46" s="334"/>
    </row>
    <row r="47" spans="1:35" s="342" customFormat="1" x14ac:dyDescent="0.2">
      <c r="A47" s="320" t="str">
        <f>IFERROR(VLOOKUP(B47,mapping_one_neo!A:B,2,FALSE),"")</f>
        <v>Other staff costs</v>
      </c>
      <c r="B47" s="482" t="s">
        <v>818</v>
      </c>
      <c r="C47" s="374"/>
      <c r="E47" s="375">
        <v>0.59299999999999997</v>
      </c>
      <c r="G47" s="376"/>
      <c r="H47" s="376"/>
      <c r="I47" s="376"/>
      <c r="J47" s="376"/>
      <c r="K47" s="376"/>
      <c r="L47" s="376">
        <v>0.59299999999999997</v>
      </c>
      <c r="M47" s="376"/>
      <c r="N47" s="376"/>
      <c r="O47" s="376"/>
      <c r="P47" s="376"/>
      <c r="Q47" s="376"/>
      <c r="R47" s="376"/>
      <c r="S47" s="345"/>
      <c r="T47" s="346"/>
      <c r="U47" s="440"/>
      <c r="V47" s="440"/>
      <c r="W47" s="440"/>
      <c r="X47" s="440"/>
      <c r="Y47" s="440"/>
      <c r="Z47" s="440">
        <v>0</v>
      </c>
      <c r="AA47" s="440">
        <v>535.62237021294266</v>
      </c>
      <c r="AB47" s="440"/>
      <c r="AC47" s="440"/>
      <c r="AD47" s="440">
        <v>0.71544715447154561</v>
      </c>
      <c r="AE47" s="440">
        <v>536.33781736741423</v>
      </c>
      <c r="AF47" s="377"/>
      <c r="AG47" s="334"/>
      <c r="AI47" s="342" t="s">
        <v>24</v>
      </c>
    </row>
    <row r="48" spans="1:35" s="342" customFormat="1" x14ac:dyDescent="0.2">
      <c r="A48" s="320" t="str">
        <f>IFERROR(VLOOKUP(B48,mapping_one_neo!A:B,2,FALSE),"")</f>
        <v/>
      </c>
      <c r="C48" s="374"/>
      <c r="E48" s="375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45"/>
      <c r="T48" s="346"/>
      <c r="U48" s="440" t="str">
        <f>IFERROR(VLOOKUP($B48,[4]Feuil1!$A:$AD,20,FALSE),"")</f>
        <v/>
      </c>
      <c r="V48" s="440" t="s">
        <v>776</v>
      </c>
      <c r="W48" s="440" t="s">
        <v>776</v>
      </c>
      <c r="X48" s="440" t="s">
        <v>776</v>
      </c>
      <c r="Y48" s="440" t="s">
        <v>776</v>
      </c>
      <c r="Z48" s="440" t="s">
        <v>776</v>
      </c>
      <c r="AA48" s="440" t="s">
        <v>776</v>
      </c>
      <c r="AB48" s="440" t="s">
        <v>776</v>
      </c>
      <c r="AC48" s="440" t="s">
        <v>776</v>
      </c>
      <c r="AD48" s="440" t="s">
        <v>776</v>
      </c>
      <c r="AE48" s="440" t="s">
        <v>776</v>
      </c>
      <c r="AF48" s="377"/>
      <c r="AG48" s="334"/>
    </row>
    <row r="49" spans="1:35" s="342" customFormat="1" x14ac:dyDescent="0.2">
      <c r="A49" s="320">
        <f>IFERROR(VLOOKUP(B49,mapping_one_neo!A:B,2,FALSE),"")</f>
        <v>0</v>
      </c>
      <c r="B49" s="379" t="s">
        <v>35</v>
      </c>
      <c r="C49" s="374"/>
      <c r="E49" s="380">
        <v>-3570.9469043366907</v>
      </c>
      <c r="F49" s="376"/>
      <c r="G49" s="381">
        <v>-269.71381001777803</v>
      </c>
      <c r="H49" s="381">
        <v>-263.444595017778</v>
      </c>
      <c r="I49" s="381">
        <v>-294.49816501777804</v>
      </c>
      <c r="J49" s="381">
        <v>-262.86512828000002</v>
      </c>
      <c r="K49" s="381">
        <v>-281.43903833333303</v>
      </c>
      <c r="L49" s="381">
        <v>-314.78497773333305</v>
      </c>
      <c r="M49" s="381">
        <v>-324.16714207536489</v>
      </c>
      <c r="N49" s="381">
        <v>-293.26297540869888</v>
      </c>
      <c r="O49" s="381">
        <v>-256.32586474203191</v>
      </c>
      <c r="P49" s="381">
        <v>-309.63110874203187</v>
      </c>
      <c r="Q49" s="381">
        <v>-309.63110874203187</v>
      </c>
      <c r="R49" s="381">
        <v>-391.77599022653192</v>
      </c>
      <c r="S49" s="345"/>
      <c r="T49" s="346"/>
      <c r="U49" s="440">
        <f>IFERROR(VLOOKUP($B49,[4]Feuil1!$A:$AD,20,FALSE),"")</f>
        <v>-3371.0938800000008</v>
      </c>
      <c r="V49" s="440"/>
      <c r="W49" s="440">
        <v>60.892012749999999</v>
      </c>
      <c r="X49" s="440"/>
      <c r="Y49" s="440">
        <v>26.835999999999999</v>
      </c>
      <c r="Z49" s="440">
        <v>-3283.365867250001</v>
      </c>
      <c r="AA49" s="440">
        <v>535.62237021294266</v>
      </c>
      <c r="AB49" s="440">
        <v>22.2</v>
      </c>
      <c r="AC49" s="440"/>
      <c r="AD49" s="440">
        <v>0.71544715447154561</v>
      </c>
      <c r="AE49" s="440">
        <v>-2724.828049882587</v>
      </c>
      <c r="AF49" s="377"/>
      <c r="AG49" s="382" t="s">
        <v>134</v>
      </c>
      <c r="AI49" s="342" t="s">
        <v>35</v>
      </c>
    </row>
    <row r="50" spans="1:35" s="342" customFormat="1" x14ac:dyDescent="0.2">
      <c r="A50" s="320" t="str">
        <f>IFERROR(VLOOKUP(B50,mapping_one_neo!A:B,2,FALSE),"")</f>
        <v/>
      </c>
      <c r="C50" s="374"/>
      <c r="E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49"/>
      <c r="T50" s="346"/>
      <c r="U50" s="440" t="str">
        <f>IFERROR(VLOOKUP($B50,[4]Feuil1!$A:$AD,20,FALSE),"")</f>
        <v/>
      </c>
      <c r="V50" s="440" t="s">
        <v>776</v>
      </c>
      <c r="W50" s="440" t="s">
        <v>776</v>
      </c>
      <c r="X50" s="440" t="s">
        <v>776</v>
      </c>
      <c r="Y50" s="440" t="s">
        <v>776</v>
      </c>
      <c r="Z50" s="440" t="s">
        <v>776</v>
      </c>
      <c r="AA50" s="440" t="s">
        <v>776</v>
      </c>
      <c r="AB50" s="440" t="s">
        <v>776</v>
      </c>
      <c r="AC50" s="440" t="s">
        <v>776</v>
      </c>
      <c r="AD50" s="440" t="s">
        <v>776</v>
      </c>
      <c r="AE50" s="440" t="s">
        <v>776</v>
      </c>
      <c r="AF50" s="377"/>
      <c r="AG50" s="334"/>
    </row>
    <row r="51" spans="1:35" ht="18.75" customHeight="1" x14ac:dyDescent="0.2">
      <c r="A51" s="320">
        <f>IFERROR(VLOOKUP(B51,mapping_one_neo!A:B,2,FALSE),"")</f>
        <v>0</v>
      </c>
      <c r="B51" s="352" t="s">
        <v>36</v>
      </c>
      <c r="C51" s="353"/>
      <c r="S51" s="349"/>
      <c r="T51" s="346"/>
      <c r="U51" s="440"/>
      <c r="V51" s="440"/>
      <c r="W51" s="440"/>
      <c r="X51" s="440"/>
      <c r="Y51" s="440"/>
      <c r="Z51" s="440"/>
      <c r="AA51" s="440"/>
      <c r="AB51" s="440"/>
      <c r="AC51" s="440"/>
      <c r="AD51" s="440"/>
      <c r="AE51" s="440"/>
      <c r="AF51" s="350"/>
      <c r="AI51" s="334" t="s">
        <v>36</v>
      </c>
    </row>
    <row r="52" spans="1:35" s="352" customFormat="1" x14ac:dyDescent="0.2">
      <c r="A52" s="320" t="str">
        <f>IFERROR(VLOOKUP(B52,mapping_one_neo!A:B,2,FALSE),"")</f>
        <v>Inter-company facilities AU=0.INP Neo</v>
      </c>
      <c r="B52" s="352" t="s">
        <v>748</v>
      </c>
      <c r="C52" s="353" t="s">
        <v>147</v>
      </c>
      <c r="E52" s="356">
        <v>-99.998333333333321</v>
      </c>
      <c r="G52" s="419">
        <v>-8.3330000000000002</v>
      </c>
      <c r="H52" s="419">
        <v>-8.3330000000000002</v>
      </c>
      <c r="I52" s="419">
        <v>-8.333000000000002</v>
      </c>
      <c r="J52" s="419">
        <v>-8.3329999999999984</v>
      </c>
      <c r="K52" s="419">
        <v>-8.3329999999999984</v>
      </c>
      <c r="L52" s="419">
        <v>-8.3330000000000055</v>
      </c>
      <c r="M52" s="419">
        <v>-8.3333333333333339</v>
      </c>
      <c r="N52" s="419">
        <v>-8.3333333333333339</v>
      </c>
      <c r="O52" s="419">
        <v>-8.3333333333333339</v>
      </c>
      <c r="P52" s="419">
        <v>-8.3333333333333339</v>
      </c>
      <c r="Q52" s="419">
        <v>-8.3333333333333339</v>
      </c>
      <c r="R52" s="419">
        <v>-8.3336666666666606</v>
      </c>
      <c r="S52" s="345"/>
      <c r="T52" s="361"/>
      <c r="U52" s="440">
        <f>IFERROR(VLOOKUP($B52,[4]Feuil1!$A:$AD,20,FALSE),"")</f>
        <v>-182.87912</v>
      </c>
      <c r="V52" s="440"/>
      <c r="W52" s="440"/>
      <c r="X52" s="440"/>
      <c r="Y52" s="440"/>
      <c r="Z52" s="440">
        <v>-182.87912</v>
      </c>
      <c r="AA52" s="440"/>
      <c r="AB52" s="440"/>
      <c r="AC52" s="440"/>
      <c r="AD52" s="440">
        <v>24.715447154471551</v>
      </c>
      <c r="AE52" s="440">
        <v>-158.16367284552845</v>
      </c>
      <c r="AF52" s="355"/>
      <c r="AG52" s="334"/>
      <c r="AI52" s="352" t="s">
        <v>748</v>
      </c>
    </row>
    <row r="53" spans="1:35" s="352" customFormat="1" x14ac:dyDescent="0.2">
      <c r="A53" s="320" t="str">
        <f>IFERROR(VLOOKUP(B53,mapping_one_neo!A:B,2,FALSE),"")</f>
        <v>Inter-company facilities AU=0.INP Neo</v>
      </c>
      <c r="B53" s="352" t="s">
        <v>37</v>
      </c>
      <c r="C53" s="353" t="s">
        <v>771</v>
      </c>
      <c r="E53" s="356">
        <v>-42</v>
      </c>
      <c r="G53" s="419">
        <v>-3.5</v>
      </c>
      <c r="H53" s="419">
        <v>-3.5</v>
      </c>
      <c r="I53" s="419">
        <v>-3.5</v>
      </c>
      <c r="J53" s="419">
        <v>-3.5</v>
      </c>
      <c r="K53" s="419">
        <v>-3.5</v>
      </c>
      <c r="L53" s="419">
        <v>-3.5</v>
      </c>
      <c r="M53" s="419">
        <v>-3.5</v>
      </c>
      <c r="N53" s="419">
        <v>-3.5</v>
      </c>
      <c r="O53" s="419">
        <v>-3.5</v>
      </c>
      <c r="P53" s="419">
        <v>-3.5</v>
      </c>
      <c r="Q53" s="419">
        <v>-3.5</v>
      </c>
      <c r="R53" s="419">
        <v>-3.5</v>
      </c>
      <c r="S53" s="345"/>
      <c r="T53" s="361"/>
      <c r="U53" s="440">
        <f>IFERROR(VLOOKUP($B53,[4]Feuil1!$A:$AD,20,FALSE),"")</f>
        <v>-44</v>
      </c>
      <c r="V53" s="440"/>
      <c r="W53" s="440"/>
      <c r="X53" s="440"/>
      <c r="Y53" s="440"/>
      <c r="Z53" s="440">
        <v>-44</v>
      </c>
      <c r="AA53" s="440"/>
      <c r="AB53" s="440"/>
      <c r="AC53" s="440"/>
      <c r="AD53" s="440"/>
      <c r="AE53" s="440">
        <v>-44</v>
      </c>
      <c r="AF53" s="355"/>
      <c r="AG53" s="334"/>
      <c r="AI53" s="352" t="s">
        <v>37</v>
      </c>
    </row>
    <row r="54" spans="1:35" s="352" customFormat="1" x14ac:dyDescent="0.2">
      <c r="A54" s="320" t="str">
        <f>IFERROR(VLOOKUP(B54,mapping_one_neo!A:B,2,FALSE),"")</f>
        <v>Inter-company facilities AU=0.INP Neo</v>
      </c>
      <c r="B54" s="352" t="s">
        <v>38</v>
      </c>
      <c r="C54" s="353">
        <v>658200</v>
      </c>
      <c r="E54" s="356">
        <v>-24.998333333333324</v>
      </c>
      <c r="G54" s="419">
        <v>-2.0830000000000002</v>
      </c>
      <c r="H54" s="419">
        <v>-2.0830000000000002</v>
      </c>
      <c r="I54" s="419">
        <v>-2.0830000000000002</v>
      </c>
      <c r="J54" s="419">
        <v>-2.0830000000000002</v>
      </c>
      <c r="K54" s="419">
        <v>-2.0830000000000002</v>
      </c>
      <c r="L54" s="419">
        <v>-2.0830000000000002</v>
      </c>
      <c r="M54" s="419">
        <v>-2.0833333333333335</v>
      </c>
      <c r="N54" s="419">
        <v>-2.0833333333333335</v>
      </c>
      <c r="O54" s="419">
        <v>-2.0833333333333335</v>
      </c>
      <c r="P54" s="419">
        <v>-2.0833333333333335</v>
      </c>
      <c r="Q54" s="419">
        <v>-2.0833333333333335</v>
      </c>
      <c r="R54" s="419">
        <v>-2.0836666666666601</v>
      </c>
      <c r="S54" s="345"/>
      <c r="T54" s="361"/>
      <c r="U54" s="440">
        <f>IFERROR(VLOOKUP($B54,[4]Feuil1!$A:$AD,20,FALSE),"")</f>
        <v>-22.87088</v>
      </c>
      <c r="V54" s="440"/>
      <c r="W54" s="440"/>
      <c r="X54" s="440"/>
      <c r="Y54" s="440"/>
      <c r="Z54" s="440">
        <v>-22.87088</v>
      </c>
      <c r="AA54" s="440"/>
      <c r="AB54" s="440"/>
      <c r="AC54" s="440"/>
      <c r="AD54" s="440"/>
      <c r="AE54" s="440">
        <v>-22.87088</v>
      </c>
      <c r="AF54" s="355"/>
      <c r="AG54" s="334"/>
      <c r="AI54" s="352" t="s">
        <v>38</v>
      </c>
    </row>
    <row r="55" spans="1:35" s="352" customFormat="1" x14ac:dyDescent="0.2">
      <c r="A55" s="320" t="str">
        <f>IFERROR(VLOOKUP(B55,mapping_one_neo!A:B,2,FALSE),"")</f>
        <v>Other establishment costs</v>
      </c>
      <c r="B55" s="352" t="s">
        <v>39</v>
      </c>
      <c r="C55" s="353">
        <v>613212</v>
      </c>
      <c r="E55" s="356">
        <v>-5.1687000000000012</v>
      </c>
      <c r="G55" s="419">
        <v>-0.43612000000000001</v>
      </c>
      <c r="H55" s="419">
        <v>-0.39391000000000004</v>
      </c>
      <c r="I55" s="419">
        <v>-0.43245</v>
      </c>
      <c r="J55" s="419">
        <v>-0.43245</v>
      </c>
      <c r="K55" s="419">
        <v>-0.44686999999999988</v>
      </c>
      <c r="L55" s="419">
        <v>-0.43219999999999992</v>
      </c>
      <c r="M55" s="419">
        <v>-0.43245</v>
      </c>
      <c r="N55" s="419">
        <v>-0.43245</v>
      </c>
      <c r="O55" s="419">
        <v>-0.43245</v>
      </c>
      <c r="P55" s="419">
        <v>-0.43245</v>
      </c>
      <c r="Q55" s="419">
        <v>-0.43245</v>
      </c>
      <c r="R55" s="419">
        <v>-0.43245</v>
      </c>
      <c r="S55" s="345"/>
      <c r="T55" s="361"/>
      <c r="U55" s="440">
        <f>IFERROR(VLOOKUP($B55,[4]Feuil1!$A:$AD,20,FALSE),"")</f>
        <v>-2.18452</v>
      </c>
      <c r="V55" s="440"/>
      <c r="W55" s="440"/>
      <c r="X55" s="440"/>
      <c r="Y55" s="440"/>
      <c r="Z55" s="440">
        <v>-2.18452</v>
      </c>
      <c r="AA55" s="440"/>
      <c r="AB55" s="440"/>
      <c r="AC55" s="440"/>
      <c r="AD55" s="440"/>
      <c r="AE55" s="440">
        <v>-2.18452</v>
      </c>
      <c r="AF55" s="355"/>
      <c r="AG55" s="334" t="s">
        <v>134</v>
      </c>
      <c r="AI55" s="352" t="s">
        <v>39</v>
      </c>
    </row>
    <row r="56" spans="1:35" s="449" customFormat="1" x14ac:dyDescent="0.2">
      <c r="A56" s="320" t="str">
        <f>IFERROR(VLOOKUP(B56,mapping_one_neo!A:B,2,FALSE),"")</f>
        <v>Other establishment costs</v>
      </c>
      <c r="B56" s="352" t="s">
        <v>595</v>
      </c>
      <c r="C56" s="353" t="s">
        <v>784</v>
      </c>
      <c r="D56" s="352"/>
      <c r="E56" s="356">
        <v>-1</v>
      </c>
      <c r="F56" s="352"/>
      <c r="G56" s="419">
        <v>0</v>
      </c>
      <c r="H56" s="419">
        <v>0</v>
      </c>
      <c r="I56" s="419">
        <v>0</v>
      </c>
      <c r="J56" s="419">
        <v>0</v>
      </c>
      <c r="K56" s="419">
        <v>0</v>
      </c>
      <c r="L56" s="419">
        <v>0</v>
      </c>
      <c r="M56" s="419">
        <v>0</v>
      </c>
      <c r="N56" s="419">
        <v>0</v>
      </c>
      <c r="O56" s="419">
        <v>0</v>
      </c>
      <c r="P56" s="419">
        <v>0</v>
      </c>
      <c r="Q56" s="419">
        <v>0</v>
      </c>
      <c r="R56" s="419">
        <v>-1</v>
      </c>
      <c r="S56" s="345"/>
      <c r="T56" s="361"/>
      <c r="U56" s="440"/>
      <c r="V56" s="440"/>
      <c r="W56" s="440"/>
      <c r="X56" s="440"/>
      <c r="Y56" s="440"/>
      <c r="Z56" s="440"/>
      <c r="AA56" s="440"/>
      <c r="AB56" s="440"/>
      <c r="AC56" s="440"/>
      <c r="AD56" s="440"/>
      <c r="AE56" s="440"/>
      <c r="AF56" s="355"/>
      <c r="AG56" s="334"/>
      <c r="AI56" s="449" t="s">
        <v>595</v>
      </c>
    </row>
    <row r="57" spans="1:35" s="449" customFormat="1" x14ac:dyDescent="0.2">
      <c r="A57" s="320"/>
      <c r="B57" s="482" t="s">
        <v>840</v>
      </c>
      <c r="C57" s="353"/>
      <c r="D57" s="352"/>
      <c r="E57" s="356"/>
      <c r="F57" s="352"/>
      <c r="G57" s="419"/>
      <c r="H57" s="419"/>
      <c r="I57" s="419"/>
      <c r="J57" s="419"/>
      <c r="K57" s="419"/>
      <c r="L57" s="419"/>
      <c r="M57" s="419"/>
      <c r="N57" s="419"/>
      <c r="O57" s="419"/>
      <c r="P57" s="419"/>
      <c r="Q57" s="419"/>
      <c r="R57" s="419"/>
      <c r="S57" s="345"/>
      <c r="T57" s="361"/>
      <c r="U57" s="440"/>
      <c r="V57" s="440"/>
      <c r="W57" s="440"/>
      <c r="X57" s="440"/>
      <c r="Y57" s="440"/>
      <c r="Z57" s="440">
        <v>0</v>
      </c>
      <c r="AA57" s="440">
        <v>45.870341342479904</v>
      </c>
      <c r="AB57" s="440"/>
      <c r="AC57" s="440"/>
      <c r="AD57" s="440"/>
      <c r="AE57" s="440">
        <v>45.870341342479904</v>
      </c>
      <c r="AF57" s="355"/>
      <c r="AG57" s="334"/>
      <c r="AI57" s="352" t="s">
        <v>747</v>
      </c>
    </row>
    <row r="58" spans="1:35" s="352" customFormat="1" x14ac:dyDescent="0.2">
      <c r="A58" s="320" t="str">
        <f>IFERROR(VLOOKUP(B58,mapping_one_neo!A:B,2,FALSE),"")</f>
        <v>Inter-company facilities AU=0.INP Neo</v>
      </c>
      <c r="B58" s="481" t="s">
        <v>41</v>
      </c>
      <c r="C58" s="353" t="s">
        <v>147</v>
      </c>
      <c r="E58" s="356">
        <v>-15</v>
      </c>
      <c r="G58" s="419">
        <v>0</v>
      </c>
      <c r="H58" s="419">
        <v>0</v>
      </c>
      <c r="I58" s="419">
        <v>0</v>
      </c>
      <c r="J58" s="419">
        <v>0</v>
      </c>
      <c r="K58" s="419">
        <v>0</v>
      </c>
      <c r="L58" s="419">
        <v>0</v>
      </c>
      <c r="M58" s="419">
        <v>-2.5</v>
      </c>
      <c r="N58" s="419">
        <v>-2.5</v>
      </c>
      <c r="O58" s="419">
        <v>-2.5</v>
      </c>
      <c r="P58" s="419">
        <v>-2.5</v>
      </c>
      <c r="Q58" s="419">
        <v>-2.5</v>
      </c>
      <c r="R58" s="419">
        <v>-2.5</v>
      </c>
      <c r="S58" s="345"/>
      <c r="T58" s="361"/>
      <c r="U58" s="440">
        <v>0</v>
      </c>
      <c r="V58" s="440"/>
      <c r="W58" s="440"/>
      <c r="X58" s="440"/>
      <c r="Y58" s="440">
        <v>-19.5</v>
      </c>
      <c r="Z58" s="440">
        <v>-19.5</v>
      </c>
      <c r="AA58" s="440"/>
      <c r="AB58" s="440"/>
      <c r="AC58" s="440"/>
      <c r="AD58" s="440"/>
      <c r="AE58" s="440">
        <v>-19.5</v>
      </c>
      <c r="AF58" s="355"/>
      <c r="AG58" s="334"/>
      <c r="AI58" s="352" t="s">
        <v>826</v>
      </c>
    </row>
    <row r="59" spans="1:35" s="352" customFormat="1" x14ac:dyDescent="0.2">
      <c r="A59" s="320" t="str">
        <f>IFERROR(VLOOKUP(B59,mapping_one_neo!A:B,2,FALSE),"")</f>
        <v/>
      </c>
      <c r="B59" s="352" t="s">
        <v>42</v>
      </c>
      <c r="C59" s="353"/>
      <c r="E59" s="354">
        <v>-188.16536666666667</v>
      </c>
      <c r="G59" s="385">
        <v>-14.352120000000001</v>
      </c>
      <c r="H59" s="385">
        <v>-14.30991</v>
      </c>
      <c r="I59" s="385">
        <v>-14.348450000000001</v>
      </c>
      <c r="J59" s="385">
        <v>-14.348449999999998</v>
      </c>
      <c r="K59" s="385">
        <v>-14.362869999999999</v>
      </c>
      <c r="L59" s="385">
        <v>-14.348200000000006</v>
      </c>
      <c r="M59" s="385">
        <v>-16.849116666666667</v>
      </c>
      <c r="N59" s="385">
        <v>-16.849116666666667</v>
      </c>
      <c r="O59" s="385">
        <v>-16.849116666666667</v>
      </c>
      <c r="P59" s="385">
        <v>-16.849116666666667</v>
      </c>
      <c r="Q59" s="385">
        <v>-16.849116666666667</v>
      </c>
      <c r="R59" s="385">
        <v>-17.84978333333332</v>
      </c>
      <c r="S59" s="349"/>
      <c r="T59" s="346"/>
      <c r="U59" s="440">
        <f>IFERROR(VLOOKUP($B59,[4]Feuil1!$A:$AD,20,FALSE),"")</f>
        <v>-251.93451999999999</v>
      </c>
      <c r="V59" s="440"/>
      <c r="W59" s="440"/>
      <c r="X59" s="440"/>
      <c r="Y59" s="440">
        <v>-19.5</v>
      </c>
      <c r="Z59" s="440">
        <v>-271.43452000000002</v>
      </c>
      <c r="AA59" s="440">
        <v>45.870341342479904</v>
      </c>
      <c r="AB59" s="440"/>
      <c r="AC59" s="440"/>
      <c r="AD59" s="440">
        <v>24.715447154471551</v>
      </c>
      <c r="AE59" s="440">
        <v>-200.84873150304858</v>
      </c>
      <c r="AF59" s="355"/>
      <c r="AG59" s="334"/>
      <c r="AI59" s="334" t="s">
        <v>42</v>
      </c>
    </row>
    <row r="60" spans="1:35" x14ac:dyDescent="0.2">
      <c r="A60" s="320" t="str">
        <f>IFERROR(VLOOKUP(B60,mapping_one_neo!A:B,2,FALSE),"")</f>
        <v/>
      </c>
      <c r="S60" s="349"/>
      <c r="T60" s="346"/>
      <c r="U60" s="440" t="str">
        <f>IFERROR(VLOOKUP($B60,[4]Feuil1!$A:$AD,20,FALSE),"")</f>
        <v/>
      </c>
      <c r="V60" s="440" t="s">
        <v>776</v>
      </c>
      <c r="W60" s="440" t="s">
        <v>776</v>
      </c>
      <c r="X60" s="440" t="s">
        <v>776</v>
      </c>
      <c r="Y60" s="440" t="s">
        <v>776</v>
      </c>
      <c r="Z60" s="440" t="s">
        <v>776</v>
      </c>
      <c r="AA60" s="440" t="s">
        <v>776</v>
      </c>
      <c r="AB60" s="440" t="s">
        <v>776</v>
      </c>
      <c r="AC60" s="440" t="s">
        <v>776</v>
      </c>
      <c r="AD60" s="440" t="s">
        <v>776</v>
      </c>
      <c r="AE60" s="440" t="s">
        <v>776</v>
      </c>
      <c r="AF60" s="350"/>
    </row>
    <row r="61" spans="1:35" x14ac:dyDescent="0.2">
      <c r="A61" s="320">
        <f>IFERROR(VLOOKUP(B61,mapping_one_neo!A:B,2,FALSE),"")</f>
        <v>0</v>
      </c>
      <c r="B61" s="352" t="s">
        <v>43</v>
      </c>
      <c r="C61" s="353"/>
      <c r="G61" s="336"/>
      <c r="H61" s="336"/>
      <c r="I61" s="336"/>
      <c r="J61" s="336"/>
      <c r="K61" s="336"/>
      <c r="L61" s="336"/>
      <c r="M61" s="336"/>
      <c r="N61" s="336"/>
      <c r="O61" s="336"/>
      <c r="P61" s="336"/>
      <c r="Q61" s="336"/>
      <c r="R61" s="336"/>
      <c r="S61" s="386"/>
      <c r="T61" s="346"/>
      <c r="U61" s="440"/>
      <c r="V61" s="440"/>
      <c r="W61" s="440"/>
      <c r="X61" s="440"/>
      <c r="Y61" s="440"/>
      <c r="Z61" s="440"/>
      <c r="AA61" s="440"/>
      <c r="AB61" s="440"/>
      <c r="AC61" s="440"/>
      <c r="AD61" s="440"/>
      <c r="AE61" s="440"/>
      <c r="AF61" s="350"/>
      <c r="AI61" s="334" t="s">
        <v>43</v>
      </c>
    </row>
    <row r="62" spans="1:35" x14ac:dyDescent="0.2">
      <c r="A62" s="320">
        <f>IFERROR(VLOOKUP(B62,mapping_one_neo!A:B,2,FALSE),"")</f>
        <v>0</v>
      </c>
      <c r="B62" s="387" t="s">
        <v>44</v>
      </c>
      <c r="E62" s="335" t="s">
        <v>134</v>
      </c>
      <c r="S62" s="349"/>
      <c r="T62" s="346"/>
      <c r="U62" s="440"/>
      <c r="V62" s="440"/>
      <c r="W62" s="440"/>
      <c r="X62" s="440"/>
      <c r="Y62" s="440"/>
      <c r="Z62" s="440"/>
      <c r="AA62" s="440"/>
      <c r="AB62" s="440"/>
      <c r="AC62" s="440"/>
      <c r="AD62" s="440"/>
      <c r="AE62" s="440"/>
      <c r="AF62" s="350"/>
      <c r="AI62" s="352" t="s">
        <v>44</v>
      </c>
    </row>
    <row r="63" spans="1:35" s="352" customFormat="1" x14ac:dyDescent="0.2">
      <c r="A63" s="320" t="str">
        <f>IFERROR(VLOOKUP(B63,mapping_one_neo!A:B,2,FALSE),"")</f>
        <v>Staff training course fees</v>
      </c>
      <c r="B63" s="388" t="s">
        <v>45</v>
      </c>
      <c r="C63" s="353" t="s">
        <v>148</v>
      </c>
      <c r="E63" s="356">
        <v>-46.559685055682245</v>
      </c>
      <c r="G63" s="419">
        <v>-1.73967</v>
      </c>
      <c r="H63" s="419">
        <v>-9.5429299999999984</v>
      </c>
      <c r="I63" s="419">
        <v>-5.8277400000000021</v>
      </c>
      <c r="J63" s="419">
        <v>-2.9573399999999985</v>
      </c>
      <c r="K63" s="419">
        <v>-1.1997800000000005</v>
      </c>
      <c r="L63" s="419">
        <v>-2.0163500000000028</v>
      </c>
      <c r="M63" s="419">
        <v>-3.867839378920003</v>
      </c>
      <c r="N63" s="419">
        <v>-3.867839378920003</v>
      </c>
      <c r="O63" s="419">
        <v>-3.867839378920003</v>
      </c>
      <c r="P63" s="419">
        <v>-3.892589378920003</v>
      </c>
      <c r="Q63" s="419">
        <v>-3.892589378920003</v>
      </c>
      <c r="R63" s="419">
        <v>-3.8871781610822298</v>
      </c>
      <c r="S63" s="345"/>
      <c r="T63" s="361"/>
      <c r="U63" s="440">
        <f>IFERROR(VLOOKUP($B63,[4]Feuil1!$A:$AD,20,FALSE),"")</f>
        <v>8.1511399999999981</v>
      </c>
      <c r="V63" s="440"/>
      <c r="W63" s="440">
        <v>-28.279079999999997</v>
      </c>
      <c r="X63" s="440"/>
      <c r="Y63" s="440">
        <v>-13.70406</v>
      </c>
      <c r="Z63" s="440">
        <v>-33.832000000000001</v>
      </c>
      <c r="AA63" s="440"/>
      <c r="AB63" s="440"/>
      <c r="AC63" s="440"/>
      <c r="AD63" s="440"/>
      <c r="AE63" s="440">
        <v>-33.832000000000001</v>
      </c>
      <c r="AF63" s="355"/>
      <c r="AG63" s="334"/>
      <c r="AI63" s="352" t="s">
        <v>45</v>
      </c>
    </row>
    <row r="64" spans="1:35" s="352" customFormat="1" ht="15" customHeight="1" x14ac:dyDescent="0.2">
      <c r="A64" s="320" t="str">
        <f>IFERROR(VLOOKUP(B64,mapping_one_neo!A:B,2,FALSE),"")</f>
        <v>Staff Welfare</v>
      </c>
      <c r="B64" s="388" t="s">
        <v>46</v>
      </c>
      <c r="C64" s="353" t="s">
        <v>149</v>
      </c>
      <c r="E64" s="356">
        <v>-138.58164338225694</v>
      </c>
      <c r="G64" s="419">
        <v>-9.842039999999999</v>
      </c>
      <c r="H64" s="419">
        <v>-10.024200000000002</v>
      </c>
      <c r="I64" s="419">
        <v>-10.962700000000002</v>
      </c>
      <c r="J64" s="419">
        <v>-10.369050000000001</v>
      </c>
      <c r="K64" s="419">
        <v>-10.60136</v>
      </c>
      <c r="L64" s="419">
        <v>-11.314050000000002</v>
      </c>
      <c r="M64" s="419">
        <v>-12.942377916666674</v>
      </c>
      <c r="N64" s="419">
        <v>-12.007482083333334</v>
      </c>
      <c r="O64" s="419">
        <v>-12.21972166666667</v>
      </c>
      <c r="P64" s="419">
        <v>-12.39550291666667</v>
      </c>
      <c r="Q64" s="419">
        <v>-12.39550291666667</v>
      </c>
      <c r="R64" s="419">
        <v>-13.5076558822569</v>
      </c>
      <c r="S64" s="345"/>
      <c r="T64" s="361"/>
      <c r="U64" s="440"/>
      <c r="V64" s="440"/>
      <c r="W64" s="440">
        <v>-127.69456000000002</v>
      </c>
      <c r="X64" s="440"/>
      <c r="Y64" s="440"/>
      <c r="Z64" s="440">
        <v>-127.69456000000002</v>
      </c>
      <c r="AA64" s="440"/>
      <c r="AB64" s="440"/>
      <c r="AC64" s="440"/>
      <c r="AD64" s="440"/>
      <c r="AE64" s="440">
        <v>-127.69456000000002</v>
      </c>
      <c r="AF64" s="355"/>
      <c r="AG64" s="334"/>
      <c r="AI64" s="352" t="s">
        <v>46</v>
      </c>
    </row>
    <row r="65" spans="1:35" s="352" customFormat="1" x14ac:dyDescent="0.2">
      <c r="A65" s="320" t="str">
        <f>IFERROR(VLOOKUP(B65,mapping_one_neo!A:B,2,FALSE),"")</f>
        <v>Staff Welfare</v>
      </c>
      <c r="B65" s="388" t="s">
        <v>47</v>
      </c>
      <c r="C65" s="353" t="s">
        <v>150</v>
      </c>
      <c r="E65" s="356">
        <v>-9.9986666666666668</v>
      </c>
      <c r="G65" s="419">
        <v>-0.83299999999999996</v>
      </c>
      <c r="H65" s="419">
        <v>-0.83299999999999996</v>
      </c>
      <c r="I65" s="419">
        <v>-0.83299999999999974</v>
      </c>
      <c r="J65" s="419">
        <v>-0.83300000000000018</v>
      </c>
      <c r="K65" s="419">
        <v>-0.83300000000000018</v>
      </c>
      <c r="L65" s="419">
        <v>-0.8329999999999993</v>
      </c>
      <c r="M65" s="419">
        <v>-0.83333333333333337</v>
      </c>
      <c r="N65" s="419">
        <v>-0.83333333333333337</v>
      </c>
      <c r="O65" s="419">
        <v>-0.83333333333333337</v>
      </c>
      <c r="P65" s="419">
        <v>-0.83333333333333337</v>
      </c>
      <c r="Q65" s="419">
        <v>-0.83333333333333337</v>
      </c>
      <c r="R65" s="419">
        <v>-0.83400000000000096</v>
      </c>
      <c r="S65" s="345"/>
      <c r="T65" s="361"/>
      <c r="U65" s="440">
        <f>IFERROR(VLOOKUP($B65,[4]Feuil1!$A:$AD,20,FALSE),"")</f>
        <v>-10.86562</v>
      </c>
      <c r="V65" s="440"/>
      <c r="W65" s="440"/>
      <c r="X65" s="440"/>
      <c r="Y65" s="440"/>
      <c r="Z65" s="440">
        <v>-10.86562</v>
      </c>
      <c r="AA65" s="440"/>
      <c r="AB65" s="440"/>
      <c r="AC65" s="440"/>
      <c r="AD65" s="440"/>
      <c r="AE65" s="440">
        <v>-10.86562</v>
      </c>
      <c r="AF65" s="355"/>
      <c r="AG65" s="334"/>
      <c r="AI65" s="352" t="s">
        <v>47</v>
      </c>
    </row>
    <row r="66" spans="1:35" s="352" customFormat="1" x14ac:dyDescent="0.2">
      <c r="A66" s="320" t="str">
        <f>IFERROR(VLOOKUP(B66,mapping_one_neo!A:B,2,FALSE),"")</f>
        <v>Staff Welfare</v>
      </c>
      <c r="B66" s="388" t="s">
        <v>48</v>
      </c>
      <c r="C66" s="353" t="s">
        <v>151</v>
      </c>
      <c r="E66" s="356">
        <v>-2.1986666666666657</v>
      </c>
      <c r="G66" s="419">
        <v>-0.183</v>
      </c>
      <c r="H66" s="419">
        <v>-0.183</v>
      </c>
      <c r="I66" s="419">
        <v>-0.18299999999999994</v>
      </c>
      <c r="J66" s="419">
        <v>-0.18300000000000005</v>
      </c>
      <c r="K66" s="419">
        <v>-0.18300000000000005</v>
      </c>
      <c r="L66" s="419">
        <v>-0.18299999999999983</v>
      </c>
      <c r="M66" s="419">
        <v>-0.18333333333333335</v>
      </c>
      <c r="N66" s="419">
        <v>-0.18333333333333335</v>
      </c>
      <c r="O66" s="419">
        <v>-0.18333333333333335</v>
      </c>
      <c r="P66" s="419">
        <v>-0.18333333333333335</v>
      </c>
      <c r="Q66" s="419">
        <v>-0.18333333333333335</v>
      </c>
      <c r="R66" s="419">
        <v>-0.183999999999999</v>
      </c>
      <c r="S66" s="345"/>
      <c r="T66" s="361"/>
      <c r="U66" s="440">
        <f>IFERROR(VLOOKUP($B66,[4]Feuil1!$A:$AD,20,FALSE),"")</f>
        <v>-2.1120000000000001</v>
      </c>
      <c r="V66" s="440"/>
      <c r="W66" s="440"/>
      <c r="X66" s="440"/>
      <c r="Y66" s="440"/>
      <c r="Z66" s="440">
        <v>-2.1120000000000001</v>
      </c>
      <c r="AA66" s="440"/>
      <c r="AB66" s="440"/>
      <c r="AC66" s="440"/>
      <c r="AD66" s="440"/>
      <c r="AE66" s="440">
        <v>-2.1120000000000001</v>
      </c>
      <c r="AF66" s="355"/>
      <c r="AG66" s="334"/>
      <c r="AI66" s="352" t="s">
        <v>48</v>
      </c>
    </row>
    <row r="67" spans="1:35" s="352" customFormat="1" x14ac:dyDescent="0.2">
      <c r="A67" s="320" t="str">
        <f>IFERROR(VLOOKUP(B67,mapping_one_neo!A:B,2,FALSE),"")</f>
        <v>Staff Welfare</v>
      </c>
      <c r="B67" s="388" t="s">
        <v>49</v>
      </c>
      <c r="C67" s="353">
        <v>645100</v>
      </c>
      <c r="E67" s="356">
        <v>0</v>
      </c>
      <c r="G67" s="419">
        <v>0</v>
      </c>
      <c r="H67" s="419">
        <v>0</v>
      </c>
      <c r="I67" s="419">
        <v>0</v>
      </c>
      <c r="J67" s="419">
        <v>0</v>
      </c>
      <c r="K67" s="419">
        <v>0</v>
      </c>
      <c r="L67" s="419">
        <v>0</v>
      </c>
      <c r="M67" s="419">
        <v>0</v>
      </c>
      <c r="N67" s="419">
        <v>0</v>
      </c>
      <c r="O67" s="419"/>
      <c r="P67" s="419"/>
      <c r="Q67" s="419"/>
      <c r="R67" s="419"/>
      <c r="S67" s="345"/>
      <c r="T67" s="361"/>
      <c r="U67" s="440"/>
      <c r="V67" s="440"/>
      <c r="W67" s="440"/>
      <c r="X67" s="440"/>
      <c r="Y67" s="440"/>
      <c r="Z67" s="440"/>
      <c r="AA67" s="440"/>
      <c r="AB67" s="440"/>
      <c r="AC67" s="440"/>
      <c r="AD67" s="440"/>
      <c r="AE67" s="440"/>
      <c r="AF67" s="355"/>
      <c r="AG67" s="334"/>
      <c r="AI67" s="352" t="s">
        <v>49</v>
      </c>
    </row>
    <row r="68" spans="1:35" s="352" customFormat="1" x14ac:dyDescent="0.2">
      <c r="A68" s="320" t="str">
        <f>IFERROR(VLOOKUP(B68,mapping_one_neo!A:B,2,FALSE),"")</f>
        <v>Staff Welfare</v>
      </c>
      <c r="B68" s="388" t="s">
        <v>50</v>
      </c>
      <c r="C68" s="353">
        <v>647500</v>
      </c>
      <c r="E68" s="356">
        <v>-1.6771</v>
      </c>
      <c r="G68" s="419">
        <v>0</v>
      </c>
      <c r="H68" s="419">
        <v>0</v>
      </c>
      <c r="I68" s="419">
        <v>0</v>
      </c>
      <c r="J68" s="419">
        <v>0</v>
      </c>
      <c r="K68" s="419">
        <v>0</v>
      </c>
      <c r="L68" s="419">
        <v>-1.6771</v>
      </c>
      <c r="M68" s="419">
        <v>0</v>
      </c>
      <c r="N68" s="419">
        <v>0</v>
      </c>
      <c r="O68" s="419"/>
      <c r="P68" s="419"/>
      <c r="Q68" s="419"/>
      <c r="R68" s="419"/>
      <c r="S68" s="345"/>
      <c r="T68" s="361"/>
      <c r="U68" s="440">
        <f>IFERROR(VLOOKUP($B68,[4]Feuil1!$A:$AD,20,FALSE),"")</f>
        <v>-4.4368299999999996</v>
      </c>
      <c r="V68" s="440"/>
      <c r="W68" s="440"/>
      <c r="X68" s="440"/>
      <c r="Y68" s="440"/>
      <c r="Z68" s="440">
        <v>-4.4368299999999996</v>
      </c>
      <c r="AA68" s="440"/>
      <c r="AB68" s="440"/>
      <c r="AC68" s="440"/>
      <c r="AD68" s="440"/>
      <c r="AE68" s="440">
        <v>-4.4368299999999996</v>
      </c>
      <c r="AF68" s="355"/>
      <c r="AG68" s="334"/>
      <c r="AI68" s="352" t="s">
        <v>50</v>
      </c>
    </row>
    <row r="69" spans="1:35" s="352" customFormat="1" x14ac:dyDescent="0.2">
      <c r="A69" s="320" t="str">
        <f>IFERROR(VLOOKUP(B69,mapping_one_neo!A:B,2,FALSE),"")</f>
        <v>Staff Welfare</v>
      </c>
      <c r="B69" s="388" t="s">
        <v>749</v>
      </c>
      <c r="C69" s="353" t="s">
        <v>152</v>
      </c>
      <c r="E69" s="356">
        <v>-4.9919199999999995</v>
      </c>
      <c r="G69" s="419">
        <v>-0.192</v>
      </c>
      <c r="H69" s="419">
        <v>0</v>
      </c>
      <c r="I69" s="419">
        <v>-9.9920000000000009E-2</v>
      </c>
      <c r="J69" s="419">
        <v>0</v>
      </c>
      <c r="K69" s="419">
        <v>0</v>
      </c>
      <c r="L69" s="419">
        <v>-9.5499999999999974E-2</v>
      </c>
      <c r="M69" s="419">
        <v>-0.2</v>
      </c>
      <c r="N69" s="419">
        <v>0</v>
      </c>
      <c r="O69" s="419">
        <v>-0.1045</v>
      </c>
      <c r="P69" s="419"/>
      <c r="Q69" s="419">
        <v>-0.2</v>
      </c>
      <c r="R69" s="419">
        <v>-4.0999999999999996</v>
      </c>
      <c r="S69" s="345"/>
      <c r="T69" s="361"/>
      <c r="U69" s="440">
        <f>IFERROR(VLOOKUP($B69,[4]Feuil1!$A:$AD,20,FALSE),"")</f>
        <v>-38.613060000000004</v>
      </c>
      <c r="V69" s="440"/>
      <c r="W69" s="440"/>
      <c r="X69" s="440"/>
      <c r="Y69" s="440">
        <v>36.42</v>
      </c>
      <c r="Z69" s="440">
        <v>-2.1930600000000027</v>
      </c>
      <c r="AA69" s="440"/>
      <c r="AB69" s="440"/>
      <c r="AC69" s="440"/>
      <c r="AD69" s="440"/>
      <c r="AE69" s="440">
        <v>-2.1930600000000027</v>
      </c>
      <c r="AF69" s="355"/>
      <c r="AG69" s="334"/>
      <c r="AI69" s="352" t="s">
        <v>749</v>
      </c>
    </row>
    <row r="70" spans="1:35" s="352" customFormat="1" x14ac:dyDescent="0.2">
      <c r="A70" s="320" t="str">
        <f>IFERROR(VLOOKUP(B70,mapping_one_neo!A:B,2,FALSE),"")</f>
        <v>Staff Welfare</v>
      </c>
      <c r="B70" s="388" t="s">
        <v>51</v>
      </c>
      <c r="C70" s="353" t="s">
        <v>152</v>
      </c>
      <c r="E70" s="356">
        <v>-2.424230000000001</v>
      </c>
      <c r="G70" s="419">
        <v>-0.36986000000000002</v>
      </c>
      <c r="H70" s="419">
        <v>-0.12834999999999996</v>
      </c>
      <c r="I70" s="419">
        <v>-6.1450000000000282E-2</v>
      </c>
      <c r="J70" s="419">
        <v>-0.33607999999999993</v>
      </c>
      <c r="K70" s="419">
        <v>-0.16979999999999951</v>
      </c>
      <c r="L70" s="419">
        <v>-0.12849000000000044</v>
      </c>
      <c r="M70" s="419">
        <v>-0.2</v>
      </c>
      <c r="N70" s="419">
        <v>-0.2</v>
      </c>
      <c r="O70" s="419">
        <v>-0.2</v>
      </c>
      <c r="P70" s="419">
        <v>-0.2</v>
      </c>
      <c r="Q70" s="419">
        <v>-0.2</v>
      </c>
      <c r="R70" s="419">
        <v>-0.23020000000000099</v>
      </c>
      <c r="S70" s="345"/>
      <c r="T70" s="361"/>
      <c r="U70" s="440">
        <f>IFERROR(VLOOKUP($B70,[4]Feuil1!$A:$AD,20,FALSE),"")</f>
        <v>-2.3192999999999984</v>
      </c>
      <c r="V70" s="440"/>
      <c r="W70" s="440"/>
      <c r="X70" s="440"/>
      <c r="Y70" s="440"/>
      <c r="Z70" s="440">
        <v>-2.3192999999999984</v>
      </c>
      <c r="AA70" s="440"/>
      <c r="AB70" s="440"/>
      <c r="AC70" s="440"/>
      <c r="AD70" s="440"/>
      <c r="AE70" s="440">
        <v>-2.3192999999999984</v>
      </c>
      <c r="AF70" s="355"/>
      <c r="AG70" s="334"/>
      <c r="AI70" s="352" t="s">
        <v>51</v>
      </c>
    </row>
    <row r="71" spans="1:35" s="352" customFormat="1" x14ac:dyDescent="0.2">
      <c r="A71" s="320" t="str">
        <f>IFERROR(VLOOKUP(B71,mapping_one_neo!A:B,2,FALSE),"")</f>
        <v>Staff Welfare</v>
      </c>
      <c r="B71" s="388" t="s">
        <v>52</v>
      </c>
      <c r="C71" s="353" t="s">
        <v>152</v>
      </c>
      <c r="E71" s="356">
        <v>-9.9986666666666668</v>
      </c>
      <c r="G71" s="419">
        <v>-0.83299999999999996</v>
      </c>
      <c r="H71" s="419">
        <v>-0.83299999999999996</v>
      </c>
      <c r="I71" s="419">
        <v>-0.83299999999999974</v>
      </c>
      <c r="J71" s="419">
        <v>-0.83300000000000018</v>
      </c>
      <c r="K71" s="419">
        <v>-0.83300000000000018</v>
      </c>
      <c r="L71" s="419">
        <v>-0.8329999999999993</v>
      </c>
      <c r="M71" s="419">
        <v>-0.83333333333333337</v>
      </c>
      <c r="N71" s="419">
        <v>-0.83333333333333337</v>
      </c>
      <c r="O71" s="419">
        <v>-0.83333333333333337</v>
      </c>
      <c r="P71" s="419">
        <v>-0.83333333333333337</v>
      </c>
      <c r="Q71" s="419">
        <v>-0.83333333333333337</v>
      </c>
      <c r="R71" s="419">
        <v>-0.83400000000000096</v>
      </c>
      <c r="S71" s="389" t="s">
        <v>134</v>
      </c>
      <c r="T71" s="361"/>
      <c r="U71" s="440">
        <f>IFERROR(VLOOKUP($B71,[4]Feuil1!$A:$AD,20,FALSE),"")</f>
        <v>-11.307359999999999</v>
      </c>
      <c r="V71" s="440"/>
      <c r="W71" s="440"/>
      <c r="X71" s="440"/>
      <c r="Y71" s="440"/>
      <c r="Z71" s="440">
        <v>-11.307359999999999</v>
      </c>
      <c r="AA71" s="440"/>
      <c r="AB71" s="440"/>
      <c r="AC71" s="440"/>
      <c r="AD71" s="440"/>
      <c r="AE71" s="440">
        <v>-11.307359999999999</v>
      </c>
      <c r="AF71" s="355"/>
      <c r="AG71" s="334"/>
      <c r="AI71" s="352" t="s">
        <v>52</v>
      </c>
    </row>
    <row r="72" spans="1:35" s="352" customFormat="1" x14ac:dyDescent="0.2">
      <c r="A72" s="320" t="str">
        <f>IFERROR(VLOOKUP(B72,mapping_one_neo!A:B,2,FALSE),"")</f>
        <v/>
      </c>
      <c r="B72" s="390" t="s">
        <v>796</v>
      </c>
      <c r="C72" s="391">
        <v>648220</v>
      </c>
      <c r="E72" s="356">
        <v>0</v>
      </c>
      <c r="G72" s="356">
        <v>0</v>
      </c>
      <c r="H72" s="356"/>
      <c r="I72" s="356">
        <v>0</v>
      </c>
      <c r="J72" s="356"/>
      <c r="K72" s="356">
        <v>0</v>
      </c>
      <c r="L72" s="356">
        <v>0</v>
      </c>
      <c r="M72" s="356"/>
      <c r="N72" s="356"/>
      <c r="O72" s="356"/>
      <c r="P72" s="356"/>
      <c r="Q72" s="356"/>
      <c r="R72" s="356"/>
      <c r="S72" s="345"/>
      <c r="T72" s="361"/>
      <c r="U72" s="440" t="str">
        <f>IFERROR(VLOOKUP($B72,[4]Feuil1!$A:$AD,20,FALSE),"")</f>
        <v/>
      </c>
      <c r="V72" s="440" t="s">
        <v>776</v>
      </c>
      <c r="W72" s="440" t="s">
        <v>776</v>
      </c>
      <c r="X72" s="440" t="s">
        <v>776</v>
      </c>
      <c r="Y72" s="440" t="s">
        <v>776</v>
      </c>
      <c r="Z72" s="440" t="s">
        <v>776</v>
      </c>
      <c r="AA72" s="440" t="s">
        <v>776</v>
      </c>
      <c r="AB72" s="440" t="s">
        <v>776</v>
      </c>
      <c r="AC72" s="440" t="s">
        <v>776</v>
      </c>
      <c r="AD72" s="440" t="s">
        <v>776</v>
      </c>
      <c r="AE72" s="440" t="s">
        <v>776</v>
      </c>
      <c r="AF72" s="355"/>
      <c r="AG72" s="334"/>
      <c r="AI72" s="387" t="s">
        <v>827</v>
      </c>
    </row>
    <row r="73" spans="1:35" s="387" customFormat="1" x14ac:dyDescent="0.2">
      <c r="A73" s="320">
        <f>IFERROR(VLOOKUP(B73,mapping_one_neo!A:B,2,FALSE),"")</f>
        <v>0</v>
      </c>
      <c r="B73" s="387" t="s">
        <v>54</v>
      </c>
      <c r="C73" s="392"/>
      <c r="E73" s="393">
        <v>-216.4305784379392</v>
      </c>
      <c r="G73" s="393">
        <v>-13.992569999999999</v>
      </c>
      <c r="H73" s="393">
        <v>-21.544479999999997</v>
      </c>
      <c r="I73" s="393">
        <v>-18.800810000000002</v>
      </c>
      <c r="J73" s="393">
        <v>-15.511470000000001</v>
      </c>
      <c r="K73" s="393">
        <v>-13.819940000000001</v>
      </c>
      <c r="L73" s="393">
        <v>-17.080490000000001</v>
      </c>
      <c r="M73" s="393">
        <v>-19.060217295586671</v>
      </c>
      <c r="N73" s="393">
        <v>-17.925321462253336</v>
      </c>
      <c r="O73" s="393">
        <v>-18.242061045586674</v>
      </c>
      <c r="P73" s="393">
        <v>-18.338092295586669</v>
      </c>
      <c r="Q73" s="393">
        <v>-18.538092295586669</v>
      </c>
      <c r="R73" s="393">
        <v>-23.577034043339125</v>
      </c>
      <c r="S73" s="349"/>
      <c r="T73" s="346"/>
      <c r="U73" s="440">
        <f>IFERROR(VLOOKUP($B73,[4]Feuil1!$A:$AD,20,FALSE),"")</f>
        <v>-61.50303000000001</v>
      </c>
      <c r="V73" s="440"/>
      <c r="W73" s="440">
        <v>-155.97364000000002</v>
      </c>
      <c r="X73" s="440"/>
      <c r="Y73" s="440">
        <v>22.715940000000003</v>
      </c>
      <c r="Z73" s="440">
        <v>-194.76073</v>
      </c>
      <c r="AA73" s="440"/>
      <c r="AB73" s="440"/>
      <c r="AC73" s="440"/>
      <c r="AD73" s="440"/>
      <c r="AE73" s="440">
        <v>-194.76073</v>
      </c>
      <c r="AF73" s="394"/>
      <c r="AG73" s="334"/>
      <c r="AI73" s="334" t="s">
        <v>54</v>
      </c>
    </row>
    <row r="74" spans="1:35" x14ac:dyDescent="0.2">
      <c r="A74" s="320" t="str">
        <f>IFERROR(VLOOKUP(B74,mapping_one_neo!A:B,2,FALSE),"")</f>
        <v/>
      </c>
      <c r="J74" s="335">
        <v>0</v>
      </c>
      <c r="M74" s="335">
        <v>0</v>
      </c>
      <c r="S74" s="349"/>
      <c r="T74" s="346"/>
      <c r="U74" s="440" t="str">
        <f>IFERROR(VLOOKUP($B74,[4]Feuil1!$A:$AD,20,FALSE),"")</f>
        <v/>
      </c>
      <c r="V74" s="440" t="s">
        <v>776</v>
      </c>
      <c r="W74" s="440" t="s">
        <v>776</v>
      </c>
      <c r="X74" s="440" t="s">
        <v>776</v>
      </c>
      <c r="Y74" s="440" t="s">
        <v>776</v>
      </c>
      <c r="Z74" s="440" t="s">
        <v>776</v>
      </c>
      <c r="AA74" s="440" t="s">
        <v>776</v>
      </c>
      <c r="AB74" s="440" t="s">
        <v>776</v>
      </c>
      <c r="AC74" s="440" t="s">
        <v>776</v>
      </c>
      <c r="AD74" s="440" t="s">
        <v>776</v>
      </c>
      <c r="AE74" s="440" t="s">
        <v>776</v>
      </c>
      <c r="AF74" s="350"/>
    </row>
    <row r="75" spans="1:35" x14ac:dyDescent="0.2">
      <c r="A75" s="320">
        <f>IFERROR(VLOOKUP(B75,mapping_one_neo!A:B,2,FALSE),"")</f>
        <v>0</v>
      </c>
      <c r="B75" s="387" t="s">
        <v>55</v>
      </c>
      <c r="E75" s="335" t="s">
        <v>134</v>
      </c>
      <c r="J75" s="335">
        <v>0</v>
      </c>
      <c r="M75" s="335">
        <v>0</v>
      </c>
      <c r="S75" s="349"/>
      <c r="T75" s="346"/>
      <c r="U75" s="440"/>
      <c r="V75" s="440"/>
      <c r="W75" s="440"/>
      <c r="X75" s="440"/>
      <c r="Y75" s="440"/>
      <c r="Z75" s="440"/>
      <c r="AA75" s="440"/>
      <c r="AB75" s="440"/>
      <c r="AC75" s="440"/>
      <c r="AD75" s="440"/>
      <c r="AE75" s="440"/>
      <c r="AF75" s="350"/>
      <c r="AI75" s="352" t="s">
        <v>55</v>
      </c>
    </row>
    <row r="76" spans="1:35" s="352" customFormat="1" x14ac:dyDescent="0.2">
      <c r="A76" s="320" t="str">
        <f>IFERROR(VLOOKUP(B76,mapping_one_neo!A:B,2,FALSE),"")</f>
        <v>Travel</v>
      </c>
      <c r="B76" s="388" t="s">
        <v>785</v>
      </c>
      <c r="C76" s="396" t="s">
        <v>786</v>
      </c>
      <c r="E76" s="356">
        <v>-17</v>
      </c>
      <c r="G76" s="419">
        <v>-0.13060000000000005</v>
      </c>
      <c r="H76" s="419">
        <v>-0.9589700000000001</v>
      </c>
      <c r="I76" s="419">
        <v>-1.18343</v>
      </c>
      <c r="J76" s="419">
        <v>-1.0310000000000001</v>
      </c>
      <c r="K76" s="419">
        <v>-0.69599999999999973</v>
      </c>
      <c r="L76" s="419">
        <v>0</v>
      </c>
      <c r="M76" s="419">
        <v>-3</v>
      </c>
      <c r="N76" s="419">
        <v>-2</v>
      </c>
      <c r="O76" s="419">
        <v>-2</v>
      </c>
      <c r="P76" s="419">
        <v>-3</v>
      </c>
      <c r="Q76" s="419">
        <v>-2</v>
      </c>
      <c r="R76" s="419">
        <v>-1</v>
      </c>
      <c r="S76" s="345"/>
      <c r="T76" s="361"/>
      <c r="U76" s="440">
        <f>IFERROR(VLOOKUP($B76,[4]Feuil1!$A:$AD,20,FALSE),"")</f>
        <v>-18.43994</v>
      </c>
      <c r="V76" s="440"/>
      <c r="W76" s="440"/>
      <c r="X76" s="440"/>
      <c r="Y76" s="440"/>
      <c r="Z76" s="440">
        <v>-18.43994</v>
      </c>
      <c r="AA76" s="440"/>
      <c r="AB76" s="440"/>
      <c r="AC76" s="440"/>
      <c r="AD76" s="440"/>
      <c r="AE76" s="440">
        <v>-18.43994</v>
      </c>
      <c r="AF76" s="355" t="s">
        <v>134</v>
      </c>
      <c r="AG76" s="334"/>
      <c r="AI76" s="352" t="s">
        <v>785</v>
      </c>
    </row>
    <row r="77" spans="1:35" s="352" customFormat="1" x14ac:dyDescent="0.2">
      <c r="A77" s="320"/>
      <c r="B77" s="388"/>
      <c r="C77" s="396"/>
      <c r="E77" s="356"/>
      <c r="G77" s="419"/>
      <c r="H77" s="419"/>
      <c r="I77" s="419"/>
      <c r="J77" s="419"/>
      <c r="K77" s="419"/>
      <c r="L77" s="419"/>
      <c r="M77" s="419"/>
      <c r="N77" s="419"/>
      <c r="O77" s="419"/>
      <c r="P77" s="419"/>
      <c r="Q77" s="419"/>
      <c r="R77" s="419"/>
      <c r="S77" s="345"/>
      <c r="T77" s="361"/>
      <c r="U77" s="440" t="str">
        <f>IFERROR(VLOOKUP($B77,[4]Feuil1!$A:$AD,20,FALSE),"")</f>
        <v/>
      </c>
      <c r="V77" s="440" t="s">
        <v>776</v>
      </c>
      <c r="W77" s="440" t="s">
        <v>776</v>
      </c>
      <c r="X77" s="440" t="s">
        <v>776</v>
      </c>
      <c r="Y77" s="440" t="s">
        <v>776</v>
      </c>
      <c r="Z77" s="440" t="s">
        <v>776</v>
      </c>
      <c r="AA77" s="440" t="s">
        <v>776</v>
      </c>
      <c r="AB77" s="440" t="s">
        <v>776</v>
      </c>
      <c r="AC77" s="440" t="s">
        <v>776</v>
      </c>
      <c r="AD77" s="440" t="s">
        <v>776</v>
      </c>
      <c r="AE77" s="440" t="s">
        <v>776</v>
      </c>
      <c r="AF77" s="355"/>
      <c r="AG77" s="334"/>
      <c r="AI77" s="352" t="s">
        <v>780</v>
      </c>
    </row>
    <row r="78" spans="1:35" s="352" customFormat="1" x14ac:dyDescent="0.2">
      <c r="A78" s="320" t="str">
        <f>IFERROR(VLOOKUP(B78,mapping_one_neo!A:B,2,FALSE),"")</f>
        <v>Allowance &amp; subsistence</v>
      </c>
      <c r="B78" s="388" t="s">
        <v>751</v>
      </c>
      <c r="C78" s="396">
        <v>625700</v>
      </c>
      <c r="E78" s="356">
        <v>0</v>
      </c>
      <c r="G78" s="419">
        <v>0</v>
      </c>
      <c r="H78" s="419">
        <v>0</v>
      </c>
      <c r="I78" s="419">
        <v>0</v>
      </c>
      <c r="J78" s="419">
        <v>0</v>
      </c>
      <c r="K78" s="419">
        <v>0</v>
      </c>
      <c r="L78" s="419">
        <v>0</v>
      </c>
      <c r="M78" s="419">
        <v>0</v>
      </c>
      <c r="N78" s="419">
        <v>0</v>
      </c>
      <c r="O78" s="419">
        <v>0</v>
      </c>
      <c r="P78" s="419">
        <v>0</v>
      </c>
      <c r="Q78" s="419">
        <v>0</v>
      </c>
      <c r="R78" s="419">
        <v>0</v>
      </c>
      <c r="S78" s="345"/>
      <c r="T78" s="361"/>
      <c r="U78" s="440">
        <f>IFERROR(VLOOKUP($B78,[4]Feuil1!$A:$AD,20,FALSE),"")</f>
        <v>-8.0781500000000008</v>
      </c>
      <c r="V78" s="440"/>
      <c r="W78" s="440"/>
      <c r="X78" s="440"/>
      <c r="Y78" s="440"/>
      <c r="Z78" s="440">
        <v>-8.0781500000000008</v>
      </c>
      <c r="AA78" s="440"/>
      <c r="AB78" s="440"/>
      <c r="AC78" s="440"/>
      <c r="AD78" s="440"/>
      <c r="AE78" s="440">
        <v>-8.0781500000000008</v>
      </c>
      <c r="AF78" s="355"/>
      <c r="AG78" s="334"/>
      <c r="AI78" s="352" t="s">
        <v>751</v>
      </c>
    </row>
    <row r="79" spans="1:35" s="352" customFormat="1" x14ac:dyDescent="0.2">
      <c r="A79" s="320" t="str">
        <f>IFERROR(VLOOKUP(B79,mapping_one_neo!A:B,2,FALSE),"")</f>
        <v>Allowance &amp; subsistence</v>
      </c>
      <c r="B79" s="388" t="s">
        <v>804</v>
      </c>
      <c r="C79" s="353">
        <v>625650</v>
      </c>
      <c r="E79" s="356">
        <v>-6.3671699999999998</v>
      </c>
      <c r="G79" s="419">
        <v>-2.4000000000001798E-4</v>
      </c>
      <c r="H79" s="419">
        <v>-0.37845000000000001</v>
      </c>
      <c r="I79" s="419">
        <v>-9.9999999999999978E-2</v>
      </c>
      <c r="J79" s="419">
        <v>-0.94499999999999984</v>
      </c>
      <c r="K79" s="419">
        <v>-0.66717000000000026</v>
      </c>
      <c r="L79" s="419">
        <v>-1.2763100000000001</v>
      </c>
      <c r="M79" s="419">
        <v>-0.5</v>
      </c>
      <c r="N79" s="419">
        <v>-0.5</v>
      </c>
      <c r="O79" s="419">
        <v>-0.5</v>
      </c>
      <c r="P79" s="419">
        <v>-0.5</v>
      </c>
      <c r="Q79" s="419">
        <v>-0.5</v>
      </c>
      <c r="R79" s="419">
        <v>-0.5</v>
      </c>
      <c r="S79" s="345"/>
      <c r="T79" s="361"/>
      <c r="U79" s="440">
        <f>IFERROR(VLOOKUP($B79,[4]Feuil1!$A:$AD,20,FALSE),"")</f>
        <v>-8.6539699999999993</v>
      </c>
      <c r="V79" s="440"/>
      <c r="W79" s="440"/>
      <c r="X79" s="440"/>
      <c r="Y79" s="440"/>
      <c r="Z79" s="440">
        <v>-8.6539699999999993</v>
      </c>
      <c r="AA79" s="440"/>
      <c r="AB79" s="440"/>
      <c r="AC79" s="440"/>
      <c r="AD79" s="440"/>
      <c r="AE79" s="440">
        <v>-8.6539699999999993</v>
      </c>
      <c r="AF79" s="355"/>
      <c r="AG79" s="334"/>
      <c r="AI79" s="387" t="s">
        <v>804</v>
      </c>
    </row>
    <row r="80" spans="1:35" s="352" customFormat="1" x14ac:dyDescent="0.2">
      <c r="A80" s="320" t="str">
        <f>IFERROR(VLOOKUP(B80,mapping_one_neo!A:B,2,FALSE),"")</f>
        <v>Allowance &amp; subsistence</v>
      </c>
      <c r="B80" s="388" t="s">
        <v>805</v>
      </c>
      <c r="C80" s="353">
        <v>625652</v>
      </c>
      <c r="E80" s="356">
        <v>-20.205920000000003</v>
      </c>
      <c r="G80" s="419">
        <v>-0.77781</v>
      </c>
      <c r="H80" s="419">
        <v>-1.5418299999999996</v>
      </c>
      <c r="I80" s="419">
        <v>-3.0285900000000003</v>
      </c>
      <c r="J80" s="419">
        <v>-1.7251400000000006</v>
      </c>
      <c r="K80" s="419">
        <v>-1.1419599999999992</v>
      </c>
      <c r="L80" s="419">
        <v>-0.69059000000000026</v>
      </c>
      <c r="M80" s="419">
        <v>-2.2000000000000002</v>
      </c>
      <c r="N80" s="419">
        <v>-1.5</v>
      </c>
      <c r="O80" s="419">
        <v>-1.5</v>
      </c>
      <c r="P80" s="419">
        <v>-2.5</v>
      </c>
      <c r="Q80" s="419">
        <v>-1.6</v>
      </c>
      <c r="R80" s="419">
        <v>-2</v>
      </c>
      <c r="S80" s="345"/>
      <c r="T80" s="361"/>
      <c r="U80" s="440">
        <f>IFERROR(VLOOKUP($B80,[4]Feuil1!$A:$AD,20,FALSE),"")</f>
        <v>-7.8263400000000001</v>
      </c>
      <c r="V80" s="440"/>
      <c r="W80" s="440"/>
      <c r="X80" s="440"/>
      <c r="Y80" s="440"/>
      <c r="Z80" s="440">
        <v>-7.8263400000000001</v>
      </c>
      <c r="AA80" s="440"/>
      <c r="AB80" s="440"/>
      <c r="AC80" s="440"/>
      <c r="AD80" s="440"/>
      <c r="AE80" s="440">
        <v>-7.8263400000000001</v>
      </c>
      <c r="AF80" s="355"/>
      <c r="AG80" s="334"/>
      <c r="AI80" s="387" t="s">
        <v>805</v>
      </c>
    </row>
    <row r="81" spans="1:35" s="387" customFormat="1" x14ac:dyDescent="0.2">
      <c r="A81" s="320" t="str">
        <f>IFERROR(VLOOKUP(B81,mapping_one_neo!A:B,2,FALSE),"")</f>
        <v/>
      </c>
      <c r="B81" s="387" t="s">
        <v>752</v>
      </c>
      <c r="C81" s="392"/>
      <c r="E81" s="393">
        <v>-43.573090000000008</v>
      </c>
      <c r="G81" s="393">
        <v>-0.90865000000000007</v>
      </c>
      <c r="H81" s="393">
        <v>-2.8792499999999999</v>
      </c>
      <c r="I81" s="393">
        <v>-4.3120200000000004</v>
      </c>
      <c r="J81" s="393">
        <v>-3.7011400000000005</v>
      </c>
      <c r="K81" s="393">
        <v>-2.5051299999999994</v>
      </c>
      <c r="L81" s="393">
        <v>-1.9669000000000003</v>
      </c>
      <c r="M81" s="393">
        <v>-5.7</v>
      </c>
      <c r="N81" s="393">
        <v>-4</v>
      </c>
      <c r="O81" s="393">
        <v>-4</v>
      </c>
      <c r="P81" s="393">
        <v>-6</v>
      </c>
      <c r="Q81" s="393">
        <v>-4.0999999999999996</v>
      </c>
      <c r="R81" s="393">
        <v>-3.5</v>
      </c>
      <c r="S81" s="349"/>
      <c r="T81" s="346"/>
      <c r="U81" s="440">
        <f>IFERROR(VLOOKUP($B81,[4]Feuil1!$A:$AD,20,FALSE),"")</f>
        <v>-42.998400000000004</v>
      </c>
      <c r="V81" s="440"/>
      <c r="W81" s="440"/>
      <c r="X81" s="440"/>
      <c r="Y81" s="440"/>
      <c r="Z81" s="440">
        <v>-42.998400000000004</v>
      </c>
      <c r="AA81" s="440"/>
      <c r="AB81" s="440"/>
      <c r="AC81" s="440"/>
      <c r="AD81" s="440"/>
      <c r="AE81" s="440">
        <v>-42.998400000000004</v>
      </c>
      <c r="AF81" s="394"/>
      <c r="AG81" s="334"/>
      <c r="AI81" s="458" t="s">
        <v>752</v>
      </c>
    </row>
    <row r="82" spans="1:35" s="387" customFormat="1" x14ac:dyDescent="0.2">
      <c r="A82" s="320" t="str">
        <f>IFERROR(VLOOKUP(B82,mapping_one_neo!A:B,2,FALSE),"")</f>
        <v/>
      </c>
      <c r="C82" s="392"/>
      <c r="E82" s="397"/>
      <c r="G82" s="397"/>
      <c r="H82" s="397"/>
      <c r="I82" s="397"/>
      <c r="J82" s="397"/>
      <c r="K82" s="397"/>
      <c r="L82" s="397"/>
      <c r="M82" s="397"/>
      <c r="N82" s="397"/>
      <c r="O82" s="397"/>
      <c r="P82" s="397"/>
      <c r="Q82" s="397"/>
      <c r="R82" s="397"/>
      <c r="S82" s="349"/>
      <c r="T82" s="346"/>
      <c r="U82" s="440" t="str">
        <f>IFERROR(VLOOKUP($B82,[4]Feuil1!$A:$AD,20,FALSE),"")</f>
        <v/>
      </c>
      <c r="V82" s="440" t="s">
        <v>776</v>
      </c>
      <c r="W82" s="440" t="s">
        <v>776</v>
      </c>
      <c r="X82" s="440" t="s">
        <v>776</v>
      </c>
      <c r="Y82" s="440" t="s">
        <v>776</v>
      </c>
      <c r="Z82" s="440" t="s">
        <v>776</v>
      </c>
      <c r="AA82" s="440" t="s">
        <v>776</v>
      </c>
      <c r="AB82" s="440" t="s">
        <v>776</v>
      </c>
      <c r="AC82" s="440" t="s">
        <v>776</v>
      </c>
      <c r="AD82" s="440" t="s">
        <v>776</v>
      </c>
      <c r="AE82" s="440" t="s">
        <v>776</v>
      </c>
      <c r="AF82" s="394"/>
      <c r="AG82" s="334"/>
      <c r="AI82" s="334"/>
    </row>
    <row r="83" spans="1:35" s="458" customFormat="1" x14ac:dyDescent="0.2">
      <c r="A83" s="320" t="str">
        <f>IFERROR(VLOOKUP(B83,mapping_one_neo!A:B,2,FALSE),"")</f>
        <v/>
      </c>
      <c r="B83" s="483" t="s">
        <v>841</v>
      </c>
      <c r="C83" s="392"/>
      <c r="D83" s="387"/>
      <c r="E83" s="397"/>
      <c r="F83" s="387"/>
      <c r="G83" s="397"/>
      <c r="H83" s="397"/>
      <c r="I83" s="397"/>
      <c r="J83" s="397"/>
      <c r="K83" s="397"/>
      <c r="L83" s="397"/>
      <c r="M83" s="397"/>
      <c r="N83" s="397"/>
      <c r="O83" s="397"/>
      <c r="P83" s="397"/>
      <c r="Q83" s="397"/>
      <c r="R83" s="397"/>
      <c r="S83" s="349"/>
      <c r="T83" s="346"/>
      <c r="U83" s="440"/>
      <c r="V83" s="440"/>
      <c r="W83" s="440"/>
      <c r="X83" s="440"/>
      <c r="Y83" s="440"/>
      <c r="Z83" s="440"/>
      <c r="AA83" s="440">
        <v>33.437227975110702</v>
      </c>
      <c r="AB83" s="440"/>
      <c r="AC83" s="440"/>
      <c r="AD83" s="440"/>
      <c r="AE83" s="440">
        <v>33.437227975110702</v>
      </c>
      <c r="AF83" s="394"/>
      <c r="AG83" s="334"/>
      <c r="AI83" s="334" t="s">
        <v>828</v>
      </c>
    </row>
    <row r="84" spans="1:35" x14ac:dyDescent="0.2">
      <c r="A84" s="320" t="str">
        <f>IFERROR(VLOOKUP(B84,mapping_one_neo!A:B,2,FALSE),"")</f>
        <v/>
      </c>
      <c r="G84" s="336"/>
      <c r="H84" s="336"/>
      <c r="I84" s="336"/>
      <c r="J84" s="336">
        <v>0</v>
      </c>
      <c r="K84" s="336"/>
      <c r="L84" s="336"/>
      <c r="M84" s="336">
        <v>0</v>
      </c>
      <c r="N84" s="336"/>
      <c r="O84" s="336"/>
      <c r="P84" s="336"/>
      <c r="Q84" s="336"/>
      <c r="R84" s="336"/>
      <c r="S84" s="349"/>
      <c r="T84" s="346"/>
      <c r="U84" s="440" t="str">
        <f>IFERROR(VLOOKUP($B84,[4]Feuil1!$A:$AD,20,FALSE),"")</f>
        <v/>
      </c>
      <c r="V84" s="440" t="s">
        <v>776</v>
      </c>
      <c r="W84" s="440" t="s">
        <v>776</v>
      </c>
      <c r="X84" s="440" t="s">
        <v>776</v>
      </c>
      <c r="Y84" s="440" t="s">
        <v>776</v>
      </c>
      <c r="Z84" s="440" t="s">
        <v>776</v>
      </c>
      <c r="AA84" s="440" t="s">
        <v>776</v>
      </c>
      <c r="AB84" s="440" t="s">
        <v>776</v>
      </c>
      <c r="AC84" s="440" t="s">
        <v>776</v>
      </c>
      <c r="AD84" s="440" t="s">
        <v>776</v>
      </c>
      <c r="AE84" s="440" t="s">
        <v>776</v>
      </c>
      <c r="AF84" s="350"/>
    </row>
    <row r="85" spans="1:35" x14ac:dyDescent="0.2">
      <c r="A85" s="320">
        <f>IFERROR(VLOOKUP(B85,mapping_one_neo!A:B,2,FALSE),"")</f>
        <v>0</v>
      </c>
      <c r="B85" s="352" t="s">
        <v>57</v>
      </c>
      <c r="C85" s="353"/>
      <c r="E85" s="354">
        <v>-260.00366843793921</v>
      </c>
      <c r="G85" s="354">
        <v>-14.901219999999999</v>
      </c>
      <c r="H85" s="354">
        <v>-24.423729999999995</v>
      </c>
      <c r="I85" s="354">
        <v>-23.112830000000002</v>
      </c>
      <c r="J85" s="354">
        <v>-19.212610000000002</v>
      </c>
      <c r="K85" s="354">
        <v>-16.32507</v>
      </c>
      <c r="L85" s="354">
        <v>-19.04739</v>
      </c>
      <c r="M85" s="354">
        <v>-24.760217295586671</v>
      </c>
      <c r="N85" s="354">
        <v>-21.925321462253336</v>
      </c>
      <c r="O85" s="354">
        <v>-22.242061045586674</v>
      </c>
      <c r="P85" s="354">
        <v>-24.338092295586669</v>
      </c>
      <c r="Q85" s="354">
        <v>-22.638092295586667</v>
      </c>
      <c r="R85" s="354">
        <v>-27.077034043339125</v>
      </c>
      <c r="S85" s="349"/>
      <c r="T85" s="346"/>
      <c r="U85" s="440">
        <f>IFERROR(VLOOKUP($B85,[4]Feuil1!$A:$AD,20,FALSE),"")</f>
        <v>-104.50143000000001</v>
      </c>
      <c r="V85" s="440"/>
      <c r="W85" s="440">
        <v>-155.97364000000002</v>
      </c>
      <c r="X85" s="440"/>
      <c r="Y85" s="440">
        <v>22.715940000000003</v>
      </c>
      <c r="Z85" s="440">
        <v>-237.75913</v>
      </c>
      <c r="AA85" s="440">
        <v>33.437227975110702</v>
      </c>
      <c r="AB85" s="440"/>
      <c r="AC85" s="440"/>
      <c r="AD85" s="440"/>
      <c r="AE85" s="440">
        <v>-204.32190202488931</v>
      </c>
      <c r="AF85" s="350"/>
      <c r="AI85" s="334" t="s">
        <v>57</v>
      </c>
    </row>
    <row r="86" spans="1:35" x14ac:dyDescent="0.2">
      <c r="A86" s="320" t="str">
        <f>IFERROR(VLOOKUP(B86,mapping_one_neo!A:B,2,FALSE),"")</f>
        <v/>
      </c>
      <c r="S86" s="349"/>
      <c r="T86" s="346"/>
      <c r="U86" s="440" t="str">
        <f>IFERROR(VLOOKUP($B86,[4]Feuil1!$A:$AD,20,FALSE),"")</f>
        <v/>
      </c>
      <c r="V86" s="440" t="s">
        <v>776</v>
      </c>
      <c r="W86" s="440" t="s">
        <v>776</v>
      </c>
      <c r="X86" s="440" t="s">
        <v>776</v>
      </c>
      <c r="Y86" s="440" t="s">
        <v>776</v>
      </c>
      <c r="Z86" s="440" t="s">
        <v>776</v>
      </c>
      <c r="AA86" s="440" t="s">
        <v>776</v>
      </c>
      <c r="AB86" s="440" t="s">
        <v>776</v>
      </c>
      <c r="AC86" s="440" t="s">
        <v>776</v>
      </c>
      <c r="AD86" s="440" t="s">
        <v>776</v>
      </c>
      <c r="AE86" s="440" t="s">
        <v>776</v>
      </c>
      <c r="AF86" s="350"/>
    </row>
    <row r="87" spans="1:35" x14ac:dyDescent="0.2">
      <c r="A87" s="320">
        <f>IFERROR(VLOOKUP(B87,mapping_one_neo!A:B,2,FALSE),"")</f>
        <v>0</v>
      </c>
      <c r="B87" s="352" t="s">
        <v>58</v>
      </c>
      <c r="C87" s="353"/>
      <c r="S87" s="349"/>
      <c r="T87" s="346"/>
      <c r="U87" s="440"/>
      <c r="V87" s="440"/>
      <c r="W87" s="440"/>
      <c r="X87" s="440"/>
      <c r="Y87" s="440"/>
      <c r="Z87" s="440"/>
      <c r="AA87" s="440"/>
      <c r="AB87" s="440"/>
      <c r="AC87" s="440"/>
      <c r="AD87" s="440"/>
      <c r="AE87" s="440"/>
      <c r="AF87" s="350"/>
      <c r="AI87" s="352" t="s">
        <v>58</v>
      </c>
    </row>
    <row r="88" spans="1:35" x14ac:dyDescent="0.2">
      <c r="A88" s="320">
        <f>IFERROR(VLOOKUP(B88,mapping_one_neo!A:B,2,FALSE),"")</f>
        <v>0</v>
      </c>
      <c r="B88" s="387" t="s">
        <v>59</v>
      </c>
      <c r="S88" s="349"/>
      <c r="T88" s="346"/>
      <c r="U88" s="440"/>
      <c r="V88" s="440"/>
      <c r="W88" s="440"/>
      <c r="X88" s="440"/>
      <c r="Y88" s="440"/>
      <c r="Z88" s="440"/>
      <c r="AA88" s="440"/>
      <c r="AB88" s="440"/>
      <c r="AC88" s="440"/>
      <c r="AD88" s="440"/>
      <c r="AE88" s="440"/>
      <c r="AF88" s="350"/>
      <c r="AI88" s="352" t="s">
        <v>59</v>
      </c>
    </row>
    <row r="89" spans="1:35" s="352" customFormat="1" x14ac:dyDescent="0.2">
      <c r="A89" s="320" t="str">
        <f>IFERROR(VLOOKUP(B89,mapping_one_neo!A:B,2,FALSE),"")</f>
        <v>New business/client presentation costs</v>
      </c>
      <c r="B89" s="388" t="s">
        <v>60</v>
      </c>
      <c r="C89" s="353" t="s">
        <v>153</v>
      </c>
      <c r="E89" s="356">
        <v>-9.3027399999999982</v>
      </c>
      <c r="G89" s="419">
        <v>-0.41615999999999997</v>
      </c>
      <c r="H89" s="419">
        <v>-0.42371000000000003</v>
      </c>
      <c r="I89" s="419">
        <v>-0.41617000000000004</v>
      </c>
      <c r="J89" s="419">
        <v>-0.45894999999999997</v>
      </c>
      <c r="K89" s="419">
        <v>-0.41615999999999986</v>
      </c>
      <c r="L89" s="419">
        <v>-0.4027400000000001</v>
      </c>
      <c r="M89" s="419">
        <v>-1.0356262499999989</v>
      </c>
      <c r="N89" s="419">
        <v>-0.5</v>
      </c>
      <c r="O89" s="419">
        <v>-1.3083059374999999</v>
      </c>
      <c r="P89" s="419">
        <v>-1.3083059374999999</v>
      </c>
      <c r="Q89" s="419">
        <v>-1.3083059374999999</v>
      </c>
      <c r="R89" s="419">
        <v>-1.3083059374999999</v>
      </c>
      <c r="S89" s="345"/>
      <c r="T89" s="361"/>
      <c r="U89" s="440">
        <f>IFERROR(VLOOKUP($B89,[4]Feuil1!$A:$AD,20,FALSE),"")</f>
        <v>-0.85</v>
      </c>
      <c r="V89" s="440"/>
      <c r="W89" s="440"/>
      <c r="X89" s="440"/>
      <c r="Y89" s="440"/>
      <c r="Z89" s="440">
        <v>-0.85</v>
      </c>
      <c r="AA89" s="440"/>
      <c r="AB89" s="440"/>
      <c r="AC89" s="440"/>
      <c r="AD89" s="440"/>
      <c r="AE89" s="440">
        <v>-0.85</v>
      </c>
      <c r="AF89" s="355"/>
      <c r="AG89" s="334"/>
      <c r="AI89" s="352" t="s">
        <v>60</v>
      </c>
    </row>
    <row r="90" spans="1:35" s="352" customFormat="1" x14ac:dyDescent="0.2">
      <c r="A90" s="320" t="str">
        <f>IFERROR(VLOOKUP(B90,mapping_one_neo!A:B,2,FALSE),"")</f>
        <v>New business/client presentation costs</v>
      </c>
      <c r="B90" s="388" t="s">
        <v>61</v>
      </c>
      <c r="C90" s="342">
        <v>625131</v>
      </c>
      <c r="E90" s="356">
        <v>-2.3610500000000005</v>
      </c>
      <c r="G90" s="419">
        <v>-0.4224</v>
      </c>
      <c r="H90" s="419">
        <v>0</v>
      </c>
      <c r="I90" s="419">
        <v>0</v>
      </c>
      <c r="J90" s="419">
        <v>0</v>
      </c>
      <c r="K90" s="419">
        <v>0</v>
      </c>
      <c r="L90" s="419">
        <v>-0.16105000000000003</v>
      </c>
      <c r="M90" s="419">
        <v>-0.29626666666666668</v>
      </c>
      <c r="N90" s="419">
        <v>-0.29626666666666668</v>
      </c>
      <c r="O90" s="419">
        <v>-0.29626666666666668</v>
      </c>
      <c r="P90" s="419">
        <v>-0.29626666666666668</v>
      </c>
      <c r="Q90" s="419">
        <v>-0.29626666666666668</v>
      </c>
      <c r="R90" s="419">
        <v>-0.29626666666666668</v>
      </c>
      <c r="S90" s="345"/>
      <c r="T90" s="361"/>
      <c r="U90" s="440">
        <f>IFERROR(VLOOKUP($B90,[4]Feuil1!$A:$AD,20,FALSE),"")</f>
        <v>-0.48632999999999998</v>
      </c>
      <c r="V90" s="440"/>
      <c r="W90" s="440"/>
      <c r="X90" s="440"/>
      <c r="Y90" s="440"/>
      <c r="Z90" s="440">
        <v>-0.48632999999999998</v>
      </c>
      <c r="AA90" s="440"/>
      <c r="AB90" s="440"/>
      <c r="AC90" s="440"/>
      <c r="AD90" s="440"/>
      <c r="AE90" s="440">
        <v>-0.48632999999999998</v>
      </c>
      <c r="AF90" s="355"/>
      <c r="AG90" s="334"/>
      <c r="AI90" s="387" t="s">
        <v>61</v>
      </c>
    </row>
    <row r="91" spans="1:35" s="352" customFormat="1" x14ac:dyDescent="0.2">
      <c r="A91" s="320" t="str">
        <f>IFERROR(VLOOKUP(B91,mapping_one_neo!A:B,2,FALSE),"")</f>
        <v>New business/client presentation costs</v>
      </c>
      <c r="B91" s="388" t="s">
        <v>788</v>
      </c>
      <c r="C91" s="353" t="s">
        <v>789</v>
      </c>
      <c r="E91" s="356">
        <v>-1.7195299999999998</v>
      </c>
      <c r="G91" s="419">
        <v>0</v>
      </c>
      <c r="H91" s="419">
        <v>-0.21934999999999999</v>
      </c>
      <c r="I91" s="419">
        <v>0</v>
      </c>
      <c r="J91" s="419">
        <v>-0.21328000000000003</v>
      </c>
      <c r="K91" s="419">
        <v>-4.2419999999999958E-2</v>
      </c>
      <c r="L91" s="419">
        <v>-5.4440000000000044E-2</v>
      </c>
      <c r="M91" s="419">
        <v>-0.19833999999999999</v>
      </c>
      <c r="N91" s="419">
        <v>-0.19833999999999999</v>
      </c>
      <c r="O91" s="419">
        <v>-0.19833999999999999</v>
      </c>
      <c r="P91" s="419">
        <v>-0.19833999999999999</v>
      </c>
      <c r="Q91" s="419">
        <v>-0.19833999999999999</v>
      </c>
      <c r="R91" s="419">
        <v>-0.19833999999999999</v>
      </c>
      <c r="S91" s="345"/>
      <c r="T91" s="361"/>
      <c r="U91" s="440">
        <f>IFERROR(VLOOKUP($B91,[4]Feuil1!$A:$AD,20,FALSE),"")</f>
        <v>-2.2641800000000001</v>
      </c>
      <c r="V91" s="440"/>
      <c r="W91" s="440"/>
      <c r="X91" s="440"/>
      <c r="Y91" s="440"/>
      <c r="Z91" s="440">
        <v>-2.2641800000000001</v>
      </c>
      <c r="AA91" s="440"/>
      <c r="AB91" s="440"/>
      <c r="AC91" s="440"/>
      <c r="AD91" s="440"/>
      <c r="AE91" s="440">
        <v>-2.2641800000000001</v>
      </c>
      <c r="AF91" s="355"/>
      <c r="AG91" s="334"/>
      <c r="AI91" s="334" t="s">
        <v>788</v>
      </c>
    </row>
    <row r="92" spans="1:35" s="387" customFormat="1" x14ac:dyDescent="0.2">
      <c r="A92" s="320">
        <f>IFERROR(VLOOKUP(B92,mapping_one_neo!A:B,2,FALSE),"")</f>
        <v>0</v>
      </c>
      <c r="B92" s="387" t="s">
        <v>63</v>
      </c>
      <c r="C92" s="392"/>
      <c r="E92" s="393">
        <v>-13.383319999999998</v>
      </c>
      <c r="G92" s="393">
        <v>-0.83855999999999997</v>
      </c>
      <c r="H92" s="393">
        <v>-0.64305999999999996</v>
      </c>
      <c r="I92" s="393">
        <v>-0.41617000000000004</v>
      </c>
      <c r="J92" s="393">
        <v>-0.67222999999999999</v>
      </c>
      <c r="K92" s="393">
        <v>-0.45857999999999982</v>
      </c>
      <c r="L92" s="393">
        <v>-0.61823000000000017</v>
      </c>
      <c r="M92" s="393">
        <v>-1.5302329166666655</v>
      </c>
      <c r="N92" s="393">
        <v>-0.99460666666666664</v>
      </c>
      <c r="O92" s="393">
        <v>-1.8029126041666665</v>
      </c>
      <c r="P92" s="393">
        <v>-1.8029126041666665</v>
      </c>
      <c r="Q92" s="393">
        <v>-1.8029126041666665</v>
      </c>
      <c r="R92" s="393">
        <v>-1.8029126041666665</v>
      </c>
      <c r="S92" s="349"/>
      <c r="T92" s="346"/>
      <c r="U92" s="440">
        <f>IFERROR(VLOOKUP($B92,[4]Feuil1!$A:$AD,20,FALSE),"")</f>
        <v>-3.6005099999999999</v>
      </c>
      <c r="V92" s="440"/>
      <c r="W92" s="440"/>
      <c r="X92" s="440"/>
      <c r="Y92" s="440"/>
      <c r="Z92" s="440">
        <v>-3.6005099999999999</v>
      </c>
      <c r="AA92" s="440"/>
      <c r="AB92" s="440"/>
      <c r="AC92" s="440"/>
      <c r="AD92" s="440"/>
      <c r="AE92" s="440">
        <v>-3.6005099999999999</v>
      </c>
      <c r="AF92" s="394"/>
      <c r="AG92" s="334"/>
      <c r="AI92" s="334" t="s">
        <v>63</v>
      </c>
    </row>
    <row r="93" spans="1:35" x14ac:dyDescent="0.2">
      <c r="A93" s="320" t="str">
        <f>IFERROR(VLOOKUP(B93,mapping_one_neo!A:B,2,FALSE),"")</f>
        <v/>
      </c>
      <c r="J93" s="335">
        <v>0</v>
      </c>
      <c r="M93" s="335">
        <v>0</v>
      </c>
      <c r="S93" s="349"/>
      <c r="T93" s="346"/>
      <c r="U93" s="440" t="str">
        <f>IFERROR(VLOOKUP($B93,[4]Feuil1!$A:$AD,20,FALSE),"")</f>
        <v/>
      </c>
      <c r="V93" s="440" t="s">
        <v>776</v>
      </c>
      <c r="W93" s="440" t="s">
        <v>776</v>
      </c>
      <c r="X93" s="440" t="s">
        <v>776</v>
      </c>
      <c r="Y93" s="440" t="s">
        <v>776</v>
      </c>
      <c r="Z93" s="440" t="s">
        <v>776</v>
      </c>
      <c r="AA93" s="440" t="s">
        <v>776</v>
      </c>
      <c r="AB93" s="440" t="s">
        <v>776</v>
      </c>
      <c r="AC93" s="440" t="s">
        <v>776</v>
      </c>
      <c r="AD93" s="440" t="s">
        <v>776</v>
      </c>
      <c r="AE93" s="440" t="s">
        <v>776</v>
      </c>
      <c r="AF93" s="350"/>
      <c r="AI93" s="352"/>
    </row>
    <row r="94" spans="1:35" x14ac:dyDescent="0.2">
      <c r="A94" s="320">
        <f>IFERROR(VLOOKUP(B94,mapping_one_neo!A:B,2,FALSE),"")</f>
        <v>0</v>
      </c>
      <c r="B94" s="387" t="s">
        <v>64</v>
      </c>
      <c r="J94" s="335">
        <v>0</v>
      </c>
      <c r="M94" s="335">
        <v>0</v>
      </c>
      <c r="S94" s="349"/>
      <c r="T94" s="346"/>
      <c r="U94" s="440"/>
      <c r="V94" s="440"/>
      <c r="W94" s="440"/>
      <c r="X94" s="440"/>
      <c r="Y94" s="440"/>
      <c r="Z94" s="440"/>
      <c r="AA94" s="440"/>
      <c r="AB94" s="440"/>
      <c r="AC94" s="440"/>
      <c r="AD94" s="440"/>
      <c r="AE94" s="440"/>
      <c r="AF94" s="350"/>
      <c r="AI94" s="352" t="s">
        <v>64</v>
      </c>
    </row>
    <row r="95" spans="1:35" s="352" customFormat="1" x14ac:dyDescent="0.2">
      <c r="A95" s="320" t="str">
        <f>IFERROR(VLOOKUP(B95,mapping_one_neo!A:B,2,FALSE),"")</f>
        <v>Advert/promotion</v>
      </c>
      <c r="B95" s="388" t="s">
        <v>65</v>
      </c>
      <c r="C95" s="396" t="s">
        <v>790</v>
      </c>
      <c r="E95" s="356">
        <v>-23.226660000000003</v>
      </c>
      <c r="G95" s="419">
        <v>-1</v>
      </c>
      <c r="H95" s="419">
        <v>-1</v>
      </c>
      <c r="I95" s="419">
        <v>-3.4225000000000003</v>
      </c>
      <c r="J95" s="419">
        <v>-1.3041599999999995</v>
      </c>
      <c r="K95" s="419">
        <v>-1</v>
      </c>
      <c r="L95" s="419">
        <v>-3.5000000000000009</v>
      </c>
      <c r="M95" s="419">
        <v>-5</v>
      </c>
      <c r="N95" s="419">
        <v>-2.5</v>
      </c>
      <c r="O95" s="419">
        <v>-1</v>
      </c>
      <c r="P95" s="419">
        <v>-1</v>
      </c>
      <c r="Q95" s="419">
        <v>-1</v>
      </c>
      <c r="R95" s="419">
        <v>-1.5</v>
      </c>
      <c r="S95" s="345"/>
      <c r="T95" s="361"/>
      <c r="U95" s="440">
        <f>IFERROR(VLOOKUP($B95,[4]Feuil1!$A:$AD,20,FALSE),"")</f>
        <v>-5.4969999999999999</v>
      </c>
      <c r="V95" s="440"/>
      <c r="W95" s="440"/>
      <c r="X95" s="440"/>
      <c r="Y95" s="440"/>
      <c r="Z95" s="440">
        <v>-5.4969999999999999</v>
      </c>
      <c r="AA95" s="440"/>
      <c r="AB95" s="440"/>
      <c r="AC95" s="440"/>
      <c r="AD95" s="440"/>
      <c r="AE95" s="440">
        <v>-5.4969999999999999</v>
      </c>
      <c r="AF95" s="355"/>
      <c r="AI95" s="387" t="s">
        <v>65</v>
      </c>
    </row>
    <row r="96" spans="1:35" s="352" customFormat="1" x14ac:dyDescent="0.2">
      <c r="A96" s="320" t="str">
        <f>IFERROR(VLOOKUP(B96,mapping_one_neo!A:B,2,FALSE),"")</f>
        <v>Advert/promotion</v>
      </c>
      <c r="B96" s="388" t="s">
        <v>66</v>
      </c>
      <c r="C96" s="353">
        <v>623400</v>
      </c>
      <c r="E96" s="356">
        <v>-3</v>
      </c>
      <c r="G96" s="419">
        <v>0</v>
      </c>
      <c r="H96" s="419">
        <v>0</v>
      </c>
      <c r="I96" s="419">
        <v>0</v>
      </c>
      <c r="J96" s="419">
        <v>0</v>
      </c>
      <c r="K96" s="419">
        <v>0</v>
      </c>
      <c r="L96" s="419">
        <v>0</v>
      </c>
      <c r="M96" s="419">
        <v>0</v>
      </c>
      <c r="N96" s="419">
        <v>0</v>
      </c>
      <c r="O96" s="419"/>
      <c r="P96" s="419"/>
      <c r="Q96" s="419"/>
      <c r="R96" s="419">
        <v>-3</v>
      </c>
      <c r="S96" s="345"/>
      <c r="T96" s="361"/>
      <c r="U96" s="440">
        <f>IFERROR(VLOOKUP($B96,[4]Feuil1!$A:$AD,20,FALSE),"")</f>
        <v>0.83023999999999998</v>
      </c>
      <c r="V96" s="440"/>
      <c r="W96" s="440"/>
      <c r="X96" s="440"/>
      <c r="Y96" s="440"/>
      <c r="Z96" s="440">
        <v>0.83023999999999998</v>
      </c>
      <c r="AA96" s="440"/>
      <c r="AB96" s="440"/>
      <c r="AC96" s="440"/>
      <c r="AD96" s="440"/>
      <c r="AE96" s="440">
        <v>0.83023999999999998</v>
      </c>
      <c r="AF96" s="355"/>
      <c r="AG96" s="334"/>
      <c r="AI96" s="334" t="s">
        <v>66</v>
      </c>
    </row>
    <row r="97" spans="1:35" s="387" customFormat="1" x14ac:dyDescent="0.2">
      <c r="A97" s="320">
        <f>IFERROR(VLOOKUP(B97,mapping_one_neo!A:B,2,FALSE),"")</f>
        <v>0</v>
      </c>
      <c r="B97" s="387" t="s">
        <v>67</v>
      </c>
      <c r="C97" s="392"/>
      <c r="E97" s="393">
        <v>-26.226660000000003</v>
      </c>
      <c r="G97" s="393">
        <v>-1</v>
      </c>
      <c r="H97" s="393">
        <v>-1</v>
      </c>
      <c r="I97" s="393">
        <v>-3.4225000000000003</v>
      </c>
      <c r="J97" s="393">
        <v>-1.3041599999999995</v>
      </c>
      <c r="K97" s="393">
        <v>-1</v>
      </c>
      <c r="L97" s="393">
        <v>-3.5000000000000009</v>
      </c>
      <c r="M97" s="393">
        <v>-5</v>
      </c>
      <c r="N97" s="393">
        <v>-2.5</v>
      </c>
      <c r="O97" s="393">
        <v>-1</v>
      </c>
      <c r="P97" s="393">
        <v>-1</v>
      </c>
      <c r="Q97" s="393">
        <v>-1</v>
      </c>
      <c r="R97" s="393">
        <v>-4.5</v>
      </c>
      <c r="S97" s="349"/>
      <c r="T97" s="346"/>
      <c r="U97" s="440">
        <f>IFERROR(VLOOKUP($B97,[4]Feuil1!$A:$AD,20,FALSE),"")</f>
        <v>-4.66676</v>
      </c>
      <c r="V97" s="440"/>
      <c r="W97" s="440"/>
      <c r="X97" s="440"/>
      <c r="Y97" s="440"/>
      <c r="Z97" s="440">
        <v>-4.66676</v>
      </c>
      <c r="AA97" s="440"/>
      <c r="AB97" s="440"/>
      <c r="AC97" s="440"/>
      <c r="AD97" s="440"/>
      <c r="AE97" s="440">
        <v>-4.66676</v>
      </c>
      <c r="AF97" s="394"/>
      <c r="AG97" s="334"/>
      <c r="AI97" s="334" t="s">
        <v>67</v>
      </c>
    </row>
    <row r="98" spans="1:35" x14ac:dyDescent="0.2">
      <c r="A98" s="320" t="str">
        <f>IFERROR(VLOOKUP(B98,mapping_one_neo!A:B,2,FALSE),"")</f>
        <v/>
      </c>
      <c r="J98" s="335">
        <v>0</v>
      </c>
      <c r="M98" s="335">
        <v>0</v>
      </c>
      <c r="S98" s="349"/>
      <c r="T98" s="346"/>
      <c r="U98" s="440" t="str">
        <f>IFERROR(VLOOKUP($B98,[4]Feuil1!$A:$AD,20,FALSE),"")</f>
        <v/>
      </c>
      <c r="V98" s="440" t="s">
        <v>776</v>
      </c>
      <c r="W98" s="440" t="s">
        <v>776</v>
      </c>
      <c r="X98" s="440" t="s">
        <v>776</v>
      </c>
      <c r="Y98" s="440" t="s">
        <v>776</v>
      </c>
      <c r="Z98" s="440" t="s">
        <v>776</v>
      </c>
      <c r="AA98" s="440" t="s">
        <v>776</v>
      </c>
      <c r="AB98" s="440" t="s">
        <v>776</v>
      </c>
      <c r="AC98" s="440" t="s">
        <v>776</v>
      </c>
      <c r="AD98" s="440" t="s">
        <v>776</v>
      </c>
      <c r="AE98" s="440" t="s">
        <v>776</v>
      </c>
      <c r="AF98" s="350"/>
      <c r="AI98" s="352"/>
    </row>
    <row r="99" spans="1:35" x14ac:dyDescent="0.2">
      <c r="A99" s="320">
        <f>IFERROR(VLOOKUP(B99,mapping_one_neo!A:B,2,FALSE),"")</f>
        <v>0</v>
      </c>
      <c r="B99" s="387" t="s">
        <v>68</v>
      </c>
      <c r="J99" s="335">
        <v>0</v>
      </c>
      <c r="M99" s="335">
        <v>0</v>
      </c>
      <c r="S99" s="349"/>
      <c r="T99" s="346"/>
      <c r="U99" s="440"/>
      <c r="V99" s="440"/>
      <c r="W99" s="440"/>
      <c r="X99" s="440"/>
      <c r="Y99" s="440"/>
      <c r="Z99" s="440"/>
      <c r="AA99" s="440"/>
      <c r="AB99" s="440"/>
      <c r="AC99" s="440"/>
      <c r="AD99" s="440"/>
      <c r="AE99" s="440"/>
      <c r="AF99" s="350"/>
      <c r="AI99" s="352" t="s">
        <v>68</v>
      </c>
    </row>
    <row r="100" spans="1:35" s="352" customFormat="1" x14ac:dyDescent="0.2">
      <c r="A100" s="320" t="str">
        <f>IFERROR(VLOOKUP(B100,mapping_one_neo!A:B,2,FALSE),"")</f>
        <v>Research costs</v>
      </c>
      <c r="B100" s="388" t="s">
        <v>753</v>
      </c>
      <c r="C100" s="353" t="s">
        <v>154</v>
      </c>
      <c r="E100" s="356">
        <v>-236.99979333333306</v>
      </c>
      <c r="G100" s="419">
        <v>-17.916666666666668</v>
      </c>
      <c r="H100" s="419">
        <v>-18.916780000000003</v>
      </c>
      <c r="I100" s="419">
        <v>-19.405189999999997</v>
      </c>
      <c r="J100" s="419">
        <v>-20.084492592592561</v>
      </c>
      <c r="K100" s="419">
        <v>-20.084492592592554</v>
      </c>
      <c r="L100" s="419">
        <v>-16.85770481481488</v>
      </c>
      <c r="M100" s="419">
        <v>-23.311487037036901</v>
      </c>
      <c r="N100" s="419">
        <v>-20.084595925925889</v>
      </c>
      <c r="O100" s="419">
        <v>-20.084595925925889</v>
      </c>
      <c r="P100" s="419">
        <v>-20.084595925925889</v>
      </c>
      <c r="Q100" s="419">
        <v>-20.084595925925889</v>
      </c>
      <c r="R100" s="419">
        <v>-20.084595925925889</v>
      </c>
      <c r="S100" s="345"/>
      <c r="T100" s="361"/>
      <c r="U100" s="440">
        <f>IFERROR(VLOOKUP($B100,[4]Feuil1!$A:$AD,20,FALSE),"")</f>
        <v>-224.43984</v>
      </c>
      <c r="V100" s="440"/>
      <c r="W100" s="440"/>
      <c r="X100" s="440"/>
      <c r="Y100" s="440">
        <v>-29.1</v>
      </c>
      <c r="Z100" s="440">
        <v>-253.53984</v>
      </c>
      <c r="AA100" s="440"/>
      <c r="AB100" s="440"/>
      <c r="AC100" s="440"/>
      <c r="AD100" s="440"/>
      <c r="AE100" s="440">
        <v>-253.53984</v>
      </c>
      <c r="AF100" s="355"/>
      <c r="AG100" s="334"/>
      <c r="AI100" s="387" t="s">
        <v>753</v>
      </c>
    </row>
    <row r="101" spans="1:35" s="352" customFormat="1" x14ac:dyDescent="0.2">
      <c r="A101" s="320" t="str">
        <f>IFERROR(VLOOKUP(B101,mapping_one_neo!A:B,2,FALSE),"")</f>
        <v>Other commercial costs</v>
      </c>
      <c r="B101" s="388" t="s">
        <v>754</v>
      </c>
      <c r="C101" s="353">
        <v>607178</v>
      </c>
      <c r="E101" s="356">
        <v>-57</v>
      </c>
      <c r="G101" s="419">
        <v>-4.75</v>
      </c>
      <c r="H101" s="419">
        <v>-4.75</v>
      </c>
      <c r="I101" s="419">
        <v>-4.75</v>
      </c>
      <c r="J101" s="419">
        <v>-4.75</v>
      </c>
      <c r="K101" s="419">
        <v>-4.75</v>
      </c>
      <c r="L101" s="419">
        <v>-4.0189999999999984</v>
      </c>
      <c r="M101" s="419">
        <v>-4.75</v>
      </c>
      <c r="N101" s="419">
        <v>-4.75</v>
      </c>
      <c r="O101" s="419">
        <v>-4.75</v>
      </c>
      <c r="P101" s="419">
        <v>-4.75</v>
      </c>
      <c r="Q101" s="419">
        <v>-4.75</v>
      </c>
      <c r="R101" s="419">
        <v>-5.4809999999999999</v>
      </c>
      <c r="S101" s="345" t="s">
        <v>134</v>
      </c>
      <c r="T101" s="361"/>
      <c r="U101" s="440">
        <f>IFERROR(VLOOKUP($B101,[4]Feuil1!$A:$AD,20,FALSE),"")</f>
        <v>-55.923000000000002</v>
      </c>
      <c r="V101" s="440"/>
      <c r="W101" s="440"/>
      <c r="X101" s="440"/>
      <c r="Y101" s="440">
        <v>-9.3149999999999995</v>
      </c>
      <c r="Z101" s="440">
        <v>-65.238</v>
      </c>
      <c r="AA101" s="440"/>
      <c r="AB101" s="440"/>
      <c r="AC101" s="440"/>
      <c r="AD101" s="440"/>
      <c r="AE101" s="440">
        <v>-65.238</v>
      </c>
      <c r="AF101" s="355"/>
      <c r="AG101" s="334"/>
      <c r="AI101" s="334" t="s">
        <v>754</v>
      </c>
    </row>
    <row r="102" spans="1:35" s="387" customFormat="1" x14ac:dyDescent="0.2">
      <c r="A102" s="320">
        <f>IFERROR(VLOOKUP(B102,mapping_one_neo!A:B,2,FALSE),"")</f>
        <v>0</v>
      </c>
      <c r="B102" s="387" t="s">
        <v>69</v>
      </c>
      <c r="C102" s="392"/>
      <c r="E102" s="393">
        <v>-293.99979333333306</v>
      </c>
      <c r="G102" s="393">
        <v>-22.666666666666668</v>
      </c>
      <c r="H102" s="393">
        <v>-23.666780000000003</v>
      </c>
      <c r="I102" s="393">
        <v>-24.155189999999997</v>
      </c>
      <c r="J102" s="393">
        <v>-24.834492592592561</v>
      </c>
      <c r="K102" s="393">
        <v>-24.834492592592554</v>
      </c>
      <c r="L102" s="393">
        <v>-20.876704814814879</v>
      </c>
      <c r="M102" s="393">
        <v>-28.061487037036901</v>
      </c>
      <c r="N102" s="393">
        <v>-24.834595925925889</v>
      </c>
      <c r="O102" s="393">
        <v>-24.834595925925889</v>
      </c>
      <c r="P102" s="393">
        <v>-24.834595925925889</v>
      </c>
      <c r="Q102" s="393">
        <v>-24.834595925925889</v>
      </c>
      <c r="R102" s="393">
        <v>-25.565595925925891</v>
      </c>
      <c r="S102" s="349"/>
      <c r="T102" s="346"/>
      <c r="U102" s="440">
        <f>IFERROR(VLOOKUP($B102,[4]Feuil1!$A:$AD,20,FALSE),"")</f>
        <v>-280.36284000000001</v>
      </c>
      <c r="V102" s="440"/>
      <c r="W102" s="440"/>
      <c r="X102" s="440"/>
      <c r="Y102" s="440">
        <v>-38.414999999999999</v>
      </c>
      <c r="Z102" s="440">
        <v>-318.77783999999997</v>
      </c>
      <c r="AA102" s="440"/>
      <c r="AB102" s="440"/>
      <c r="AC102" s="440"/>
      <c r="AD102" s="440"/>
      <c r="AE102" s="440">
        <v>-318.77783999999997</v>
      </c>
      <c r="AF102" s="394"/>
      <c r="AG102" s="334"/>
      <c r="AI102" s="457" t="s">
        <v>69</v>
      </c>
    </row>
    <row r="103" spans="1:35" x14ac:dyDescent="0.2">
      <c r="A103" s="320" t="str">
        <f>IFERROR(VLOOKUP(B103,mapping_one_neo!A:B,2,FALSE),"")</f>
        <v/>
      </c>
      <c r="G103" s="336"/>
      <c r="H103" s="336"/>
      <c r="I103" s="336"/>
      <c r="J103" s="336">
        <v>0</v>
      </c>
      <c r="K103" s="336"/>
      <c r="L103" s="336"/>
      <c r="M103" s="336">
        <v>0</v>
      </c>
      <c r="N103" s="336"/>
      <c r="O103" s="336"/>
      <c r="P103" s="336"/>
      <c r="Q103" s="336"/>
      <c r="R103" s="336"/>
      <c r="S103" s="349"/>
      <c r="T103" s="346"/>
      <c r="U103" s="440" t="str">
        <f>IFERROR(VLOOKUP($B103,[4]Feuil1!$A:$AD,20,FALSE),"")</f>
        <v/>
      </c>
      <c r="V103" s="440" t="s">
        <v>776</v>
      </c>
      <c r="W103" s="440" t="s">
        <v>776</v>
      </c>
      <c r="X103" s="440" t="s">
        <v>776</v>
      </c>
      <c r="Y103" s="440" t="s">
        <v>776</v>
      </c>
      <c r="Z103" s="440" t="s">
        <v>776</v>
      </c>
      <c r="AA103" s="440" t="s">
        <v>776</v>
      </c>
      <c r="AB103" s="440" t="s">
        <v>776</v>
      </c>
      <c r="AC103" s="440" t="s">
        <v>776</v>
      </c>
      <c r="AD103" s="440" t="s">
        <v>776</v>
      </c>
      <c r="AE103" s="440" t="s">
        <v>776</v>
      </c>
      <c r="AF103" s="350"/>
    </row>
    <row r="104" spans="1:35" s="457" customFormat="1" x14ac:dyDescent="0.2">
      <c r="A104" s="320" t="str">
        <f>IFERROR(VLOOKUP(B104,mapping_one_neo!A:B,2,FALSE),"")</f>
        <v/>
      </c>
      <c r="B104" s="484" t="s">
        <v>842</v>
      </c>
      <c r="C104" s="337"/>
      <c r="D104" s="334"/>
      <c r="E104" s="335"/>
      <c r="F104" s="334"/>
      <c r="G104" s="336"/>
      <c r="H104" s="336"/>
      <c r="I104" s="336"/>
      <c r="J104" s="336"/>
      <c r="K104" s="336"/>
      <c r="L104" s="336"/>
      <c r="M104" s="336"/>
      <c r="N104" s="336"/>
      <c r="O104" s="336"/>
      <c r="P104" s="336"/>
      <c r="Q104" s="336"/>
      <c r="R104" s="336"/>
      <c r="S104" s="349"/>
      <c r="T104" s="346"/>
      <c r="U104" s="440"/>
      <c r="V104" s="440"/>
      <c r="W104" s="440"/>
      <c r="X104" s="440"/>
      <c r="Y104" s="440"/>
      <c r="Z104" s="440"/>
      <c r="AA104" s="440">
        <v>82.636654459635594</v>
      </c>
      <c r="AB104" s="440"/>
      <c r="AC104" s="440"/>
      <c r="AD104" s="440"/>
      <c r="AE104" s="440">
        <v>82.636654459635594</v>
      </c>
      <c r="AF104" s="350"/>
      <c r="AG104" s="334"/>
      <c r="AI104" s="334" t="s">
        <v>829</v>
      </c>
    </row>
    <row r="105" spans="1:35" x14ac:dyDescent="0.2">
      <c r="A105" s="320" t="str">
        <f>IFERROR(VLOOKUP(B105,mapping_one_neo!A:B,2,FALSE),"")</f>
        <v/>
      </c>
      <c r="G105" s="336"/>
      <c r="H105" s="336"/>
      <c r="I105" s="336"/>
      <c r="J105" s="336"/>
      <c r="K105" s="336"/>
      <c r="L105" s="336"/>
      <c r="M105" s="336"/>
      <c r="N105" s="336"/>
      <c r="O105" s="336"/>
      <c r="P105" s="336"/>
      <c r="Q105" s="336"/>
      <c r="R105" s="336"/>
      <c r="S105" s="349"/>
      <c r="T105" s="346"/>
      <c r="U105" s="440" t="str">
        <f>IFERROR(VLOOKUP($B105,[4]Feuil1!$A:$AD,20,FALSE),"")</f>
        <v/>
      </c>
      <c r="V105" s="440" t="s">
        <v>776</v>
      </c>
      <c r="W105" s="440" t="s">
        <v>776</v>
      </c>
      <c r="X105" s="440" t="s">
        <v>776</v>
      </c>
      <c r="Y105" s="440" t="s">
        <v>776</v>
      </c>
      <c r="Z105" s="440" t="s">
        <v>776</v>
      </c>
      <c r="AA105" s="440" t="s">
        <v>776</v>
      </c>
      <c r="AB105" s="440" t="s">
        <v>776</v>
      </c>
      <c r="AC105" s="440" t="s">
        <v>776</v>
      </c>
      <c r="AD105" s="440" t="s">
        <v>776</v>
      </c>
      <c r="AE105" s="440" t="s">
        <v>776</v>
      </c>
      <c r="AF105" s="350"/>
    </row>
    <row r="106" spans="1:35" x14ac:dyDescent="0.2">
      <c r="A106" s="320">
        <f>IFERROR(VLOOKUP(B106,mapping_one_neo!A:B,2,FALSE),"")</f>
        <v>0</v>
      </c>
      <c r="B106" s="352" t="s">
        <v>71</v>
      </c>
      <c r="C106" s="353"/>
      <c r="E106" s="354">
        <v>-333.60977333333301</v>
      </c>
      <c r="G106" s="354">
        <v>-24.505226666666669</v>
      </c>
      <c r="H106" s="354">
        <v>-25.309840000000001</v>
      </c>
      <c r="I106" s="354">
        <v>-27.993859999999998</v>
      </c>
      <c r="J106" s="354">
        <v>-26.810882592592559</v>
      </c>
      <c r="K106" s="354">
        <v>-26.293072592592555</v>
      </c>
      <c r="L106" s="354">
        <v>-24.994934814814879</v>
      </c>
      <c r="M106" s="354">
        <v>-34.59171995370356</v>
      </c>
      <c r="N106" s="354">
        <v>-28.329202592592555</v>
      </c>
      <c r="O106" s="354">
        <v>-27.637508530092557</v>
      </c>
      <c r="P106" s="354">
        <v>-27.637508530092557</v>
      </c>
      <c r="Q106" s="354">
        <v>-27.637508530092557</v>
      </c>
      <c r="R106" s="354">
        <v>-31.868508530092559</v>
      </c>
      <c r="S106" s="349"/>
      <c r="T106" s="346"/>
      <c r="U106" s="440">
        <f>IFERROR(VLOOKUP($B106,[4]Feuil1!$A:$AD,20,FALSE),"")</f>
        <v>-288.63011</v>
      </c>
      <c r="V106" s="440"/>
      <c r="W106" s="440"/>
      <c r="X106" s="440"/>
      <c r="Y106" s="440">
        <v>-38.414999999999999</v>
      </c>
      <c r="Z106" s="440">
        <v>-327.04510999999997</v>
      </c>
      <c r="AA106" s="440">
        <v>82.636654459635594</v>
      </c>
      <c r="AB106" s="440"/>
      <c r="AC106" s="440"/>
      <c r="AD106" s="440"/>
      <c r="AE106" s="440">
        <v>-244.40845554036437</v>
      </c>
      <c r="AF106" s="350"/>
      <c r="AI106" s="334" t="s">
        <v>71</v>
      </c>
    </row>
    <row r="107" spans="1:35" x14ac:dyDescent="0.2">
      <c r="A107" s="320" t="str">
        <f>IFERROR(VLOOKUP(B107,mapping_one_neo!A:B,2,FALSE),"")</f>
        <v/>
      </c>
      <c r="S107" s="349"/>
      <c r="T107" s="346"/>
      <c r="U107" s="440" t="str">
        <f>IFERROR(VLOOKUP($B107,[4]Feuil1!$A:$AD,20,FALSE),"")</f>
        <v/>
      </c>
      <c r="V107" s="440" t="s">
        <v>776</v>
      </c>
      <c r="W107" s="440" t="s">
        <v>776</v>
      </c>
      <c r="X107" s="440" t="s">
        <v>776</v>
      </c>
      <c r="Y107" s="440" t="s">
        <v>776</v>
      </c>
      <c r="Z107" s="440" t="s">
        <v>776</v>
      </c>
      <c r="AA107" s="440" t="s">
        <v>776</v>
      </c>
      <c r="AB107" s="440" t="s">
        <v>776</v>
      </c>
      <c r="AC107" s="440" t="s">
        <v>776</v>
      </c>
      <c r="AD107" s="440" t="s">
        <v>776</v>
      </c>
      <c r="AE107" s="440" t="s">
        <v>776</v>
      </c>
      <c r="AF107" s="350"/>
    </row>
    <row r="108" spans="1:35" x14ac:dyDescent="0.2">
      <c r="A108" s="320">
        <f>IFERROR(VLOOKUP(B108,mapping_one_neo!A:B,2,FALSE),"")</f>
        <v>0</v>
      </c>
      <c r="B108" s="352" t="s">
        <v>72</v>
      </c>
      <c r="S108" s="349"/>
      <c r="T108" s="346"/>
      <c r="U108" s="440"/>
      <c r="V108" s="440"/>
      <c r="W108" s="440"/>
      <c r="X108" s="440"/>
      <c r="Y108" s="440"/>
      <c r="Z108" s="440"/>
      <c r="AA108" s="440"/>
      <c r="AB108" s="440"/>
      <c r="AC108" s="440"/>
      <c r="AD108" s="440"/>
      <c r="AE108" s="440"/>
      <c r="AF108" s="350"/>
      <c r="AI108" s="334" t="s">
        <v>72</v>
      </c>
    </row>
    <row r="109" spans="1:35" x14ac:dyDescent="0.2">
      <c r="A109" s="320" t="str">
        <f>IFERROR(VLOOKUP(B109,mapping_one_neo!A:B,2,FALSE),"")</f>
        <v/>
      </c>
      <c r="S109" s="349"/>
      <c r="T109" s="346"/>
      <c r="U109" s="440" t="str">
        <f>IFERROR(VLOOKUP($B109,[4]Feuil1!$A:$AD,20,FALSE),"")</f>
        <v/>
      </c>
      <c r="V109" s="440" t="s">
        <v>776</v>
      </c>
      <c r="W109" s="440" t="s">
        <v>776</v>
      </c>
      <c r="X109" s="440" t="s">
        <v>776</v>
      </c>
      <c r="Y109" s="440" t="s">
        <v>776</v>
      </c>
      <c r="Z109" s="440" t="s">
        <v>776</v>
      </c>
      <c r="AA109" s="440" t="s">
        <v>776</v>
      </c>
      <c r="AB109" s="440" t="s">
        <v>776</v>
      </c>
      <c r="AC109" s="440" t="s">
        <v>776</v>
      </c>
      <c r="AD109" s="440" t="s">
        <v>776</v>
      </c>
      <c r="AE109" s="440" t="s">
        <v>776</v>
      </c>
      <c r="AF109" s="350"/>
      <c r="AI109" s="352"/>
    </row>
    <row r="110" spans="1:35" x14ac:dyDescent="0.2">
      <c r="A110" s="320">
        <f>IFERROR(VLOOKUP(B110,mapping_one_neo!A:B,2,FALSE),"")</f>
        <v>0</v>
      </c>
      <c r="B110" s="387" t="s">
        <v>73</v>
      </c>
      <c r="S110" s="349"/>
      <c r="T110" s="346"/>
      <c r="U110" s="440"/>
      <c r="V110" s="440"/>
      <c r="W110" s="440"/>
      <c r="X110" s="440"/>
      <c r="Y110" s="440"/>
      <c r="Z110" s="440"/>
      <c r="AA110" s="440"/>
      <c r="AB110" s="440"/>
      <c r="AC110" s="440"/>
      <c r="AD110" s="440"/>
      <c r="AE110" s="440"/>
      <c r="AF110" s="350"/>
      <c r="AI110" s="352" t="s">
        <v>73</v>
      </c>
    </row>
    <row r="111" spans="1:35" s="352" customFormat="1" x14ac:dyDescent="0.2">
      <c r="A111" s="320" t="str">
        <f>IFERROR(VLOOKUP(B111,mapping_one_neo!A:B,2,FALSE),"")</f>
        <v>Stationery/art &amp; materials AU=0.INP</v>
      </c>
      <c r="B111" s="388" t="s">
        <v>74</v>
      </c>
      <c r="C111" s="342" t="s">
        <v>791</v>
      </c>
      <c r="E111" s="356">
        <v>-2.4363999999999999</v>
      </c>
      <c r="G111" s="419">
        <v>-5.7919999999999999E-2</v>
      </c>
      <c r="H111" s="419">
        <v>-7.1679999999999994E-2</v>
      </c>
      <c r="I111" s="419">
        <v>-6.5049999999999997E-2</v>
      </c>
      <c r="J111" s="419">
        <v>-0.6</v>
      </c>
      <c r="K111" s="419">
        <v>-5.8430000000000093E-2</v>
      </c>
      <c r="L111" s="419">
        <v>-8.3319999999999839E-2</v>
      </c>
      <c r="M111" s="419">
        <v>-0.5</v>
      </c>
      <c r="N111" s="419">
        <v>0</v>
      </c>
      <c r="O111" s="419">
        <v>-0.5</v>
      </c>
      <c r="P111" s="419">
        <v>0</v>
      </c>
      <c r="Q111" s="419">
        <v>0</v>
      </c>
      <c r="R111" s="419">
        <v>-0.5</v>
      </c>
      <c r="S111" s="345"/>
      <c r="T111" s="361"/>
      <c r="U111" s="440">
        <f>IFERROR(VLOOKUP($B111,[4]Feuil1!$A:$AD,20,FALSE),"")</f>
        <v>-0.9141999999999999</v>
      </c>
      <c r="V111" s="440"/>
      <c r="W111" s="440"/>
      <c r="X111" s="440"/>
      <c r="Y111" s="440"/>
      <c r="Z111" s="440">
        <v>-0.9141999999999999</v>
      </c>
      <c r="AA111" s="440"/>
      <c r="AB111" s="440"/>
      <c r="AC111" s="440"/>
      <c r="AD111" s="440"/>
      <c r="AE111" s="440">
        <v>-0.9141999999999999</v>
      </c>
      <c r="AF111" s="355"/>
      <c r="AG111" s="334"/>
      <c r="AI111" s="352" t="s">
        <v>74</v>
      </c>
    </row>
    <row r="112" spans="1:35" s="352" customFormat="1" x14ac:dyDescent="0.2">
      <c r="A112" s="320" t="str">
        <f>IFERROR(VLOOKUP(B112,mapping_one_neo!A:B,2,FALSE),"")</f>
        <v>Stationery/art &amp; materials AU=0.INP</v>
      </c>
      <c r="B112" s="388" t="s">
        <v>75</v>
      </c>
      <c r="C112" s="342" t="s">
        <v>155</v>
      </c>
      <c r="E112" s="356">
        <v>-1.5</v>
      </c>
      <c r="G112" s="419">
        <v>-0.125</v>
      </c>
      <c r="H112" s="419">
        <v>-0.125</v>
      </c>
      <c r="I112" s="419">
        <v>-0.125</v>
      </c>
      <c r="J112" s="419">
        <v>-0.125</v>
      </c>
      <c r="K112" s="419">
        <v>-0.125</v>
      </c>
      <c r="L112" s="419">
        <v>-0.125</v>
      </c>
      <c r="M112" s="419">
        <v>-0.125</v>
      </c>
      <c r="N112" s="419">
        <v>-0.125</v>
      </c>
      <c r="O112" s="419">
        <v>-0.125</v>
      </c>
      <c r="P112" s="419">
        <v>-0.125</v>
      </c>
      <c r="Q112" s="419">
        <v>-0.125</v>
      </c>
      <c r="R112" s="419">
        <v>-0.125</v>
      </c>
      <c r="S112" s="389" t="s">
        <v>134</v>
      </c>
      <c r="T112" s="361"/>
      <c r="U112" s="440">
        <f>IFERROR(VLOOKUP($B112,[4]Feuil1!$A:$AD,20,FALSE),"")</f>
        <v>-1.37225</v>
      </c>
      <c r="V112" s="440"/>
      <c r="W112" s="440"/>
      <c r="X112" s="440"/>
      <c r="Y112" s="440"/>
      <c r="Z112" s="440">
        <v>-1.37225</v>
      </c>
      <c r="AA112" s="440"/>
      <c r="AB112" s="440"/>
      <c r="AC112" s="440"/>
      <c r="AD112" s="440">
        <v>0.82160717139012795</v>
      </c>
      <c r="AE112" s="440">
        <v>-0.55064282860987201</v>
      </c>
      <c r="AF112" s="355"/>
      <c r="AG112" s="334"/>
      <c r="AI112" s="387" t="s">
        <v>75</v>
      </c>
    </row>
    <row r="113" spans="1:35" s="352" customFormat="1" x14ac:dyDescent="0.2">
      <c r="A113" s="320" t="str">
        <f>IFERROR(VLOOKUP(B113,mapping_one_neo!A:B,2,FALSE),"")</f>
        <v>Stationery/art &amp; materials AU=0.INP</v>
      </c>
      <c r="B113" s="388" t="s">
        <v>76</v>
      </c>
      <c r="C113" s="342" t="s">
        <v>156</v>
      </c>
      <c r="E113" s="356">
        <v>-1.0475000000000001</v>
      </c>
      <c r="G113" s="419">
        <v>0</v>
      </c>
      <c r="H113" s="419">
        <v>0</v>
      </c>
      <c r="I113" s="419">
        <v>0</v>
      </c>
      <c r="J113" s="419">
        <v>0</v>
      </c>
      <c r="K113" s="419">
        <v>0</v>
      </c>
      <c r="L113" s="419">
        <v>-4.7500000000000001E-2</v>
      </c>
      <c r="M113" s="419">
        <v>-1</v>
      </c>
      <c r="N113" s="419">
        <v>0</v>
      </c>
      <c r="O113" s="419">
        <v>0</v>
      </c>
      <c r="P113" s="419">
        <v>0</v>
      </c>
      <c r="Q113" s="419">
        <v>0</v>
      </c>
      <c r="R113" s="419">
        <v>0</v>
      </c>
      <c r="S113" s="345"/>
      <c r="T113" s="361"/>
      <c r="U113" s="440">
        <f>IFERROR(VLOOKUP($B113,[4]Feuil1!$A:$AD,20,FALSE),"")</f>
        <v>1.173</v>
      </c>
      <c r="V113" s="440"/>
      <c r="W113" s="440"/>
      <c r="X113" s="440"/>
      <c r="Y113" s="440"/>
      <c r="Z113" s="440">
        <v>1.173</v>
      </c>
      <c r="AA113" s="440"/>
      <c r="AB113" s="440"/>
      <c r="AC113" s="440"/>
      <c r="AD113" s="440">
        <v>0.29268292682926816</v>
      </c>
      <c r="AE113" s="440">
        <v>1.4656829268292682</v>
      </c>
      <c r="AF113" s="355"/>
      <c r="AG113" s="334"/>
      <c r="AI113" s="387" t="s">
        <v>76</v>
      </c>
    </row>
    <row r="114" spans="1:35" s="387" customFormat="1" x14ac:dyDescent="0.2">
      <c r="A114" s="320">
        <f>IFERROR(VLOOKUP(B114,mapping_one_neo!A:B,2,FALSE),"")</f>
        <v>0</v>
      </c>
      <c r="B114" s="387" t="s">
        <v>77</v>
      </c>
      <c r="C114" s="392"/>
      <c r="E114" s="393">
        <v>-4.9839000000000002</v>
      </c>
      <c r="G114" s="393">
        <v>-0.18292</v>
      </c>
      <c r="H114" s="393">
        <v>-0.19667999999999999</v>
      </c>
      <c r="I114" s="393">
        <v>-0.19005</v>
      </c>
      <c r="J114" s="393">
        <v>-0.72499999999999998</v>
      </c>
      <c r="K114" s="393">
        <v>-0.18343000000000009</v>
      </c>
      <c r="L114" s="393">
        <v>-0.25581999999999983</v>
      </c>
      <c r="M114" s="393">
        <v>-1.625</v>
      </c>
      <c r="N114" s="393">
        <v>-0.125</v>
      </c>
      <c r="O114" s="393">
        <v>-0.625</v>
      </c>
      <c r="P114" s="393">
        <v>-0.125</v>
      </c>
      <c r="Q114" s="393">
        <v>-0.125</v>
      </c>
      <c r="R114" s="393">
        <v>-0.625</v>
      </c>
      <c r="S114" s="349"/>
      <c r="T114" s="346"/>
      <c r="U114" s="440">
        <f>IFERROR(VLOOKUP($B114,[4]Feuil1!$A:$AD,20,FALSE),"")</f>
        <v>-1.1134499999999998</v>
      </c>
      <c r="V114" s="440"/>
      <c r="W114" s="440"/>
      <c r="X114" s="440"/>
      <c r="Y114" s="440"/>
      <c r="Z114" s="440">
        <v>-1.1134499999999998</v>
      </c>
      <c r="AA114" s="440"/>
      <c r="AB114" s="440"/>
      <c r="AC114" s="440"/>
      <c r="AD114" s="440">
        <v>1.1142900982193962</v>
      </c>
      <c r="AE114" s="440"/>
      <c r="AF114" s="394"/>
      <c r="AG114" s="334"/>
      <c r="AI114" s="334" t="s">
        <v>77</v>
      </c>
    </row>
    <row r="115" spans="1:35" s="387" customFormat="1" x14ac:dyDescent="0.2">
      <c r="A115" s="320" t="str">
        <f>IFERROR(VLOOKUP(B115,mapping_one_neo!A:B,2,FALSE),"")</f>
        <v/>
      </c>
      <c r="C115" s="392"/>
      <c r="E115" s="397"/>
      <c r="G115" s="397"/>
      <c r="H115" s="397"/>
      <c r="I115" s="397"/>
      <c r="J115" s="397"/>
      <c r="K115" s="397"/>
      <c r="L115" s="397"/>
      <c r="M115" s="397"/>
      <c r="N115" s="397"/>
      <c r="O115" s="397"/>
      <c r="P115" s="397"/>
      <c r="Q115" s="397"/>
      <c r="R115" s="397"/>
      <c r="S115" s="349"/>
      <c r="T115" s="346"/>
      <c r="U115" s="440" t="str">
        <f>IFERROR(VLOOKUP($B115,[4]Feuil1!$A:$AD,20,FALSE),"")</f>
        <v/>
      </c>
      <c r="V115" s="440" t="s">
        <v>776</v>
      </c>
      <c r="W115" s="440" t="s">
        <v>776</v>
      </c>
      <c r="X115" s="440" t="s">
        <v>776</v>
      </c>
      <c r="Y115" s="440" t="s">
        <v>776</v>
      </c>
      <c r="Z115" s="440" t="s">
        <v>776</v>
      </c>
      <c r="AA115" s="440" t="s">
        <v>776</v>
      </c>
      <c r="AB115" s="440" t="s">
        <v>776</v>
      </c>
      <c r="AC115" s="440" t="s">
        <v>776</v>
      </c>
      <c r="AD115" s="440" t="s">
        <v>776</v>
      </c>
      <c r="AE115" s="440" t="s">
        <v>776</v>
      </c>
      <c r="AF115" s="394"/>
      <c r="AG115" s="334"/>
      <c r="AI115" s="352"/>
    </row>
    <row r="116" spans="1:35" x14ac:dyDescent="0.2">
      <c r="A116" s="320">
        <f>IFERROR(VLOOKUP(B116,mapping_one_neo!A:B,2,FALSE),"")</f>
        <v>0</v>
      </c>
      <c r="B116" s="387" t="s">
        <v>78</v>
      </c>
      <c r="G116" s="398"/>
      <c r="H116" s="398"/>
      <c r="I116" s="398"/>
      <c r="J116" s="398"/>
      <c r="K116" s="398"/>
      <c r="L116" s="398"/>
      <c r="M116" s="398"/>
      <c r="N116" s="398"/>
      <c r="O116" s="398"/>
      <c r="P116" s="398"/>
      <c r="Q116" s="398"/>
      <c r="R116" s="398"/>
      <c r="S116" s="349"/>
      <c r="T116" s="346"/>
      <c r="U116" s="440"/>
      <c r="V116" s="440"/>
      <c r="W116" s="440"/>
      <c r="X116" s="440"/>
      <c r="Y116" s="440"/>
      <c r="Z116" s="440"/>
      <c r="AA116" s="440"/>
      <c r="AB116" s="440"/>
      <c r="AC116" s="440"/>
      <c r="AD116" s="440"/>
      <c r="AE116" s="440"/>
      <c r="AF116" s="350"/>
      <c r="AI116" s="352" t="s">
        <v>78</v>
      </c>
    </row>
    <row r="117" spans="1:35" s="352" customFormat="1" x14ac:dyDescent="0.2">
      <c r="A117" s="320" t="str">
        <f>IFERROR(VLOOKUP(B117,mapping_one_neo!A:B,2,FALSE),"")</f>
        <v>Postage &amp; courier</v>
      </c>
      <c r="B117" s="388" t="s">
        <v>79</v>
      </c>
      <c r="C117" s="353">
        <v>624210</v>
      </c>
      <c r="E117" s="356">
        <v>-0.78059999999999996</v>
      </c>
      <c r="G117" s="419">
        <v>0</v>
      </c>
      <c r="H117" s="419">
        <v>-2.58E-2</v>
      </c>
      <c r="I117" s="419">
        <v>0</v>
      </c>
      <c r="J117" s="419">
        <v>0</v>
      </c>
      <c r="K117" s="419">
        <v>-0.15480000000000002</v>
      </c>
      <c r="L117" s="419">
        <v>0</v>
      </c>
      <c r="M117" s="419">
        <v>-0.2</v>
      </c>
      <c r="N117" s="419">
        <v>0</v>
      </c>
      <c r="O117" s="419">
        <v>-0.2</v>
      </c>
      <c r="P117" s="419">
        <v>0</v>
      </c>
      <c r="Q117" s="419">
        <v>0</v>
      </c>
      <c r="R117" s="419">
        <v>-0.2</v>
      </c>
      <c r="S117" s="345"/>
      <c r="T117" s="361"/>
      <c r="U117" s="440">
        <f>IFERROR(VLOOKUP($B117,[4]Feuil1!$A:$AD,20,FALSE),"")</f>
        <v>-0.44372</v>
      </c>
      <c r="V117" s="440"/>
      <c r="W117" s="440"/>
      <c r="X117" s="440"/>
      <c r="Y117" s="440"/>
      <c r="Z117" s="440">
        <v>-0.44372</v>
      </c>
      <c r="AA117" s="440"/>
      <c r="AB117" s="440"/>
      <c r="AC117" s="440"/>
      <c r="AD117" s="440"/>
      <c r="AE117" s="440">
        <v>-0.44372</v>
      </c>
      <c r="AF117" s="355"/>
      <c r="AG117" s="334"/>
      <c r="AI117" s="387" t="s">
        <v>79</v>
      </c>
    </row>
    <row r="118" spans="1:35" s="352" customFormat="1" x14ac:dyDescent="0.2">
      <c r="A118" s="320" t="str">
        <f>IFERROR(VLOOKUP(B118,mapping_one_neo!A:B,2,FALSE),"")</f>
        <v>Postage &amp; courier</v>
      </c>
      <c r="B118" s="388" t="s">
        <v>80</v>
      </c>
      <c r="C118" s="353">
        <v>626000</v>
      </c>
      <c r="E118" s="356">
        <v>-1.748021999999998</v>
      </c>
      <c r="G118" s="419">
        <v>-8.0930000000000002E-2</v>
      </c>
      <c r="H118" s="419">
        <v>-0.25918000000000002</v>
      </c>
      <c r="I118" s="419">
        <v>-0.13499999999999995</v>
      </c>
      <c r="J118" s="419">
        <v>-0.16423000000000004</v>
      </c>
      <c r="K118" s="419">
        <v>-6.9999999999999951E-2</v>
      </c>
      <c r="L118" s="419">
        <v>-9.4189999999999996E-2</v>
      </c>
      <c r="M118" s="419">
        <v>-0.15741533333333299</v>
      </c>
      <c r="N118" s="419">
        <v>-0.15741533333333299</v>
      </c>
      <c r="O118" s="419">
        <v>-0.15741533333333299</v>
      </c>
      <c r="P118" s="419">
        <v>-0.15741533333333299</v>
      </c>
      <c r="Q118" s="419">
        <v>-0.15741533333333299</v>
      </c>
      <c r="R118" s="419">
        <v>-0.15741533333333299</v>
      </c>
      <c r="S118" s="345"/>
      <c r="T118" s="361"/>
      <c r="U118" s="440">
        <f>IFERROR(VLOOKUP($B118,[4]Feuil1!$A:$AD,20,FALSE),"")</f>
        <v>-0.53017000000000003</v>
      </c>
      <c r="V118" s="440"/>
      <c r="W118" s="440"/>
      <c r="X118" s="440"/>
      <c r="Y118" s="440"/>
      <c r="Z118" s="440">
        <v>-0.53017000000000003</v>
      </c>
      <c r="AA118" s="440"/>
      <c r="AB118" s="440"/>
      <c r="AC118" s="440"/>
      <c r="AD118" s="440"/>
      <c r="AE118" s="440">
        <v>-0.53017000000000003</v>
      </c>
      <c r="AF118" s="355"/>
      <c r="AG118" s="334"/>
      <c r="AI118" s="387" t="s">
        <v>80</v>
      </c>
    </row>
    <row r="119" spans="1:35" s="387" customFormat="1" x14ac:dyDescent="0.2">
      <c r="A119" s="320">
        <f>IFERROR(VLOOKUP(B119,mapping_one_neo!A:B,2,FALSE),"")</f>
        <v>0</v>
      </c>
      <c r="B119" s="387" t="s">
        <v>81</v>
      </c>
      <c r="C119" s="392"/>
      <c r="E119" s="393">
        <v>-2.5286219999999977</v>
      </c>
      <c r="G119" s="393">
        <v>-8.0930000000000002E-2</v>
      </c>
      <c r="H119" s="393">
        <v>-0.28498000000000001</v>
      </c>
      <c r="I119" s="393">
        <v>-0.13499999999999995</v>
      </c>
      <c r="J119" s="393">
        <v>-0.16423000000000004</v>
      </c>
      <c r="K119" s="393">
        <v>-0.22479999999999997</v>
      </c>
      <c r="L119" s="393">
        <v>-9.4189999999999996E-2</v>
      </c>
      <c r="M119" s="393">
        <v>-0.35741533333333297</v>
      </c>
      <c r="N119" s="393">
        <v>-0.15741533333333299</v>
      </c>
      <c r="O119" s="393">
        <v>-0.35741533333333297</v>
      </c>
      <c r="P119" s="393">
        <v>-0.15741533333333299</v>
      </c>
      <c r="Q119" s="393">
        <v>-0.15741533333333299</v>
      </c>
      <c r="R119" s="393">
        <v>-0.35741533333333297</v>
      </c>
      <c r="S119" s="345"/>
      <c r="T119" s="346"/>
      <c r="U119" s="440">
        <f>IFERROR(VLOOKUP($B119,[4]Feuil1!$A:$AD,20,FALSE),"")</f>
        <v>-0.97389000000000003</v>
      </c>
      <c r="V119" s="440"/>
      <c r="W119" s="440"/>
      <c r="X119" s="440"/>
      <c r="Y119" s="440"/>
      <c r="Z119" s="440">
        <v>-0.97389000000000003</v>
      </c>
      <c r="AA119" s="440"/>
      <c r="AB119" s="440"/>
      <c r="AC119" s="440"/>
      <c r="AD119" s="440"/>
      <c r="AE119" s="440">
        <v>-0.97389000000000003</v>
      </c>
      <c r="AF119" s="394"/>
      <c r="AG119" s="334"/>
      <c r="AI119" s="387" t="s">
        <v>81</v>
      </c>
    </row>
    <row r="120" spans="1:35" s="387" customFormat="1" x14ac:dyDescent="0.2">
      <c r="A120" s="320" t="str">
        <f>IFERROR(VLOOKUP(B120,mapping_one_neo!A:B,2,FALSE),"")</f>
        <v/>
      </c>
      <c r="C120" s="392"/>
      <c r="E120" s="397"/>
      <c r="G120" s="397"/>
      <c r="H120" s="397"/>
      <c r="I120" s="397"/>
      <c r="J120" s="397"/>
      <c r="K120" s="397"/>
      <c r="L120" s="397"/>
      <c r="M120" s="397"/>
      <c r="N120" s="397"/>
      <c r="O120" s="397"/>
      <c r="P120" s="397"/>
      <c r="Q120" s="397"/>
      <c r="R120" s="397"/>
      <c r="S120" s="349"/>
      <c r="T120" s="346"/>
      <c r="U120" s="440" t="str">
        <f>IFERROR(VLOOKUP($B120,[4]Feuil1!$A:$AD,20,FALSE),"")</f>
        <v/>
      </c>
      <c r="V120" s="440" t="s">
        <v>776</v>
      </c>
      <c r="W120" s="440" t="s">
        <v>776</v>
      </c>
      <c r="X120" s="440" t="s">
        <v>776</v>
      </c>
      <c r="Y120" s="440" t="s">
        <v>776</v>
      </c>
      <c r="Z120" s="440" t="s">
        <v>776</v>
      </c>
      <c r="AA120" s="440" t="s">
        <v>776</v>
      </c>
      <c r="AB120" s="440" t="s">
        <v>776</v>
      </c>
      <c r="AC120" s="440" t="s">
        <v>776</v>
      </c>
      <c r="AD120" s="440" t="s">
        <v>776</v>
      </c>
      <c r="AE120" s="440" t="s">
        <v>776</v>
      </c>
      <c r="AF120" s="394"/>
      <c r="AG120" s="334"/>
    </row>
    <row r="121" spans="1:35" s="387" customFormat="1" x14ac:dyDescent="0.2">
      <c r="A121" s="320" t="str">
        <f>IFERROR(VLOOKUP(B121,mapping_one_neo!A:B,2,FALSE),"")</f>
        <v/>
      </c>
      <c r="B121" s="387" t="s">
        <v>777</v>
      </c>
      <c r="C121" s="392"/>
      <c r="E121" s="397"/>
      <c r="G121" s="397"/>
      <c r="H121" s="397"/>
      <c r="I121" s="397"/>
      <c r="J121" s="397"/>
      <c r="K121" s="397"/>
      <c r="L121" s="397"/>
      <c r="M121" s="397"/>
      <c r="N121" s="397"/>
      <c r="O121" s="397"/>
      <c r="P121" s="397"/>
      <c r="Q121" s="397"/>
      <c r="R121" s="397"/>
      <c r="S121" s="349"/>
      <c r="T121" s="346"/>
      <c r="U121" s="440"/>
      <c r="V121" s="440"/>
      <c r="W121" s="440"/>
      <c r="X121" s="440"/>
      <c r="Y121" s="440"/>
      <c r="Z121" s="440"/>
      <c r="AA121" s="440"/>
      <c r="AB121" s="440"/>
      <c r="AC121" s="440"/>
      <c r="AD121" s="440"/>
      <c r="AE121" s="440"/>
      <c r="AF121" s="394"/>
      <c r="AG121" s="334"/>
      <c r="AI121" s="387" t="s">
        <v>777</v>
      </c>
    </row>
    <row r="122" spans="1:35" s="387" customFormat="1" x14ac:dyDescent="0.2">
      <c r="A122" s="320" t="str">
        <f>IFERROR(VLOOKUP(B122,mapping_one_neo!A:B,2,FALSE),"")</f>
        <v>Other office costs AU=0.INP</v>
      </c>
      <c r="B122" s="352" t="s">
        <v>767</v>
      </c>
      <c r="C122" s="353">
        <v>615600</v>
      </c>
      <c r="E122" s="356">
        <v>-1.98</v>
      </c>
      <c r="G122" s="397"/>
      <c r="H122" s="397"/>
      <c r="I122" s="397"/>
      <c r="J122" s="397"/>
      <c r="K122" s="397">
        <v>-1.98</v>
      </c>
      <c r="L122" s="397"/>
      <c r="M122" s="397"/>
      <c r="N122" s="397"/>
      <c r="O122" s="397"/>
      <c r="P122" s="397"/>
      <c r="Q122" s="397"/>
      <c r="R122" s="397"/>
      <c r="S122" s="349"/>
      <c r="T122" s="346"/>
      <c r="U122" s="440">
        <f>IFERROR(VLOOKUP($B122,[4]Feuil1!$A:$AD,20,FALSE),"")</f>
        <v>-1.173</v>
      </c>
      <c r="V122" s="440"/>
      <c r="W122" s="440"/>
      <c r="X122" s="440"/>
      <c r="Y122" s="440"/>
      <c r="Z122" s="440">
        <v>-1.173</v>
      </c>
      <c r="AA122" s="440"/>
      <c r="AB122" s="440"/>
      <c r="AC122" s="440"/>
      <c r="AD122" s="440"/>
      <c r="AE122" s="440">
        <v>-1.173</v>
      </c>
      <c r="AF122" s="394"/>
      <c r="AG122" s="334"/>
      <c r="AI122" s="387" t="s">
        <v>767</v>
      </c>
    </row>
    <row r="123" spans="1:35" s="387" customFormat="1" x14ac:dyDescent="0.2">
      <c r="A123" s="320" t="str">
        <f>IFERROR(VLOOKUP(B123,mapping_one_neo!A:B,2,FALSE),"")</f>
        <v>Other office costs AU=0.INP</v>
      </c>
      <c r="B123" s="352" t="s">
        <v>778</v>
      </c>
      <c r="C123" s="353">
        <v>624211</v>
      </c>
      <c r="E123" s="356">
        <v>-0.98099999999999998</v>
      </c>
      <c r="G123" s="397"/>
      <c r="H123" s="397"/>
      <c r="I123" s="397"/>
      <c r="J123" s="397"/>
      <c r="K123" s="397">
        <v>-0.98099999999999998</v>
      </c>
      <c r="L123" s="397"/>
      <c r="M123" s="397"/>
      <c r="N123" s="397"/>
      <c r="O123" s="397"/>
      <c r="P123" s="397"/>
      <c r="Q123" s="397"/>
      <c r="R123" s="397"/>
      <c r="S123" s="349"/>
      <c r="T123" s="346"/>
      <c r="U123" s="440"/>
      <c r="V123" s="440"/>
      <c r="W123" s="440"/>
      <c r="X123" s="440"/>
      <c r="Y123" s="440"/>
      <c r="Z123" s="440"/>
      <c r="AA123" s="440"/>
      <c r="AB123" s="440"/>
      <c r="AC123" s="440"/>
      <c r="AD123" s="440"/>
      <c r="AE123" s="440"/>
      <c r="AF123" s="394"/>
      <c r="AG123" s="334"/>
      <c r="AI123" s="387" t="s">
        <v>778</v>
      </c>
    </row>
    <row r="124" spans="1:35" s="387" customFormat="1" x14ac:dyDescent="0.2">
      <c r="A124" s="320" t="str">
        <f>IFERROR(VLOOKUP(B124,mapping_one_neo!A:B,2,FALSE),"")</f>
        <v/>
      </c>
      <c r="B124" s="387" t="s">
        <v>779</v>
      </c>
      <c r="C124" s="392"/>
      <c r="E124" s="393">
        <v>-2.9609999999999999</v>
      </c>
      <c r="G124" s="393">
        <v>0</v>
      </c>
      <c r="H124" s="393">
        <v>0</v>
      </c>
      <c r="I124" s="393">
        <v>0</v>
      </c>
      <c r="J124" s="393">
        <v>0</v>
      </c>
      <c r="K124" s="393">
        <v>-2.9609999999999999</v>
      </c>
      <c r="L124" s="393">
        <v>0</v>
      </c>
      <c r="M124" s="393">
        <v>0</v>
      </c>
      <c r="N124" s="393">
        <v>0</v>
      </c>
      <c r="O124" s="393">
        <v>0</v>
      </c>
      <c r="P124" s="393">
        <v>0</v>
      </c>
      <c r="Q124" s="393">
        <v>0</v>
      </c>
      <c r="R124" s="393">
        <v>0</v>
      </c>
      <c r="S124" s="349"/>
      <c r="T124" s="346"/>
      <c r="U124" s="440">
        <f>IFERROR(VLOOKUP($B124,[4]Feuil1!$A:$AD,20,FALSE),"")</f>
        <v>-1.173</v>
      </c>
      <c r="V124" s="440"/>
      <c r="W124" s="440"/>
      <c r="X124" s="440"/>
      <c r="Y124" s="440"/>
      <c r="Z124" s="440">
        <v>-1.173</v>
      </c>
      <c r="AA124" s="440"/>
      <c r="AB124" s="440"/>
      <c r="AC124" s="440"/>
      <c r="AD124" s="440"/>
      <c r="AE124" s="440">
        <v>-1.173</v>
      </c>
      <c r="AF124" s="394"/>
      <c r="AG124" s="334"/>
      <c r="AI124" s="334" t="s">
        <v>779</v>
      </c>
    </row>
    <row r="125" spans="1:35" s="387" customFormat="1" x14ac:dyDescent="0.2">
      <c r="A125" s="320" t="str">
        <f>IFERROR(VLOOKUP(B125,mapping_one_neo!A:B,2,FALSE),"")</f>
        <v/>
      </c>
      <c r="C125" s="392"/>
      <c r="E125" s="397"/>
      <c r="G125" s="397"/>
      <c r="H125" s="397"/>
      <c r="I125" s="397"/>
      <c r="J125" s="397"/>
      <c r="K125" s="397"/>
      <c r="L125" s="397"/>
      <c r="M125" s="397"/>
      <c r="N125" s="397"/>
      <c r="O125" s="397"/>
      <c r="P125" s="397"/>
      <c r="Q125" s="397"/>
      <c r="R125" s="397"/>
      <c r="S125" s="349"/>
      <c r="T125" s="346"/>
      <c r="U125" s="440" t="str">
        <f>IFERROR(VLOOKUP($B125,[4]Feuil1!$A:$AD,20,FALSE),"")</f>
        <v/>
      </c>
      <c r="V125" s="440" t="s">
        <v>776</v>
      </c>
      <c r="W125" s="440" t="s">
        <v>776</v>
      </c>
      <c r="X125" s="440" t="s">
        <v>776</v>
      </c>
      <c r="Y125" s="440" t="s">
        <v>776</v>
      </c>
      <c r="Z125" s="440" t="s">
        <v>776</v>
      </c>
      <c r="AA125" s="440" t="s">
        <v>776</v>
      </c>
      <c r="AB125" s="440" t="s">
        <v>776</v>
      </c>
      <c r="AC125" s="440" t="s">
        <v>776</v>
      </c>
      <c r="AD125" s="440" t="s">
        <v>776</v>
      </c>
      <c r="AE125" s="440" t="s">
        <v>776</v>
      </c>
      <c r="AF125" s="394"/>
      <c r="AG125" s="334"/>
      <c r="AI125" s="352"/>
    </row>
    <row r="126" spans="1:35" x14ac:dyDescent="0.2">
      <c r="A126" s="320">
        <f>IFERROR(VLOOKUP(B126,mapping_one_neo!A:B,2,FALSE),"")</f>
        <v>0</v>
      </c>
      <c r="B126" s="387" t="s">
        <v>82</v>
      </c>
      <c r="J126" s="335">
        <v>0</v>
      </c>
      <c r="M126" s="335">
        <v>0</v>
      </c>
      <c r="S126" s="349"/>
      <c r="T126" s="346"/>
      <c r="U126" s="440"/>
      <c r="V126" s="440"/>
      <c r="W126" s="440"/>
      <c r="X126" s="440"/>
      <c r="Y126" s="440"/>
      <c r="Z126" s="440"/>
      <c r="AA126" s="440"/>
      <c r="AB126" s="440"/>
      <c r="AC126" s="440"/>
      <c r="AD126" s="440"/>
      <c r="AE126" s="440"/>
      <c r="AF126" s="350"/>
      <c r="AI126" s="352" t="s">
        <v>82</v>
      </c>
    </row>
    <row r="127" spans="1:35" s="352" customFormat="1" x14ac:dyDescent="0.2">
      <c r="A127" s="320" t="str">
        <f>IFERROR(VLOOKUP(B127,mapping_one_neo!A:B,2,FALSE),"")</f>
        <v>Other office costs AU=0.INP</v>
      </c>
      <c r="B127" s="388" t="s">
        <v>83</v>
      </c>
      <c r="C127" s="353">
        <v>618100</v>
      </c>
      <c r="E127" s="356">
        <v>-0.57225000000000004</v>
      </c>
      <c r="G127" s="419">
        <v>-4.9939999999999998E-2</v>
      </c>
      <c r="H127" s="419">
        <v>-4.6719999999999998E-2</v>
      </c>
      <c r="I127" s="419">
        <v>-4.9940000000000012E-2</v>
      </c>
      <c r="J127" s="419">
        <v>-4.8320000000000002E-2</v>
      </c>
      <c r="K127" s="419">
        <v>-4.9939999999999984E-2</v>
      </c>
      <c r="L127" s="419">
        <v>-2.7389999999999998E-2</v>
      </c>
      <c r="M127" s="419">
        <v>-0.05</v>
      </c>
      <c r="N127" s="419">
        <v>-0.05</v>
      </c>
      <c r="O127" s="419">
        <v>-0.05</v>
      </c>
      <c r="P127" s="419">
        <v>-0.05</v>
      </c>
      <c r="Q127" s="419">
        <v>-0.05</v>
      </c>
      <c r="R127" s="419">
        <v>-0.05</v>
      </c>
      <c r="S127" s="345"/>
      <c r="T127" s="361"/>
      <c r="U127" s="440">
        <f>IFERROR(VLOOKUP($B127,[4]Feuil1!$A:$AD,20,FALSE),"")</f>
        <v>-3.2283900000000001</v>
      </c>
      <c r="V127" s="440"/>
      <c r="W127" s="440"/>
      <c r="X127" s="440"/>
      <c r="Y127" s="440"/>
      <c r="Z127" s="440">
        <v>-3.2283900000000001</v>
      </c>
      <c r="AA127" s="440"/>
      <c r="AB127" s="440"/>
      <c r="AC127" s="440"/>
      <c r="AD127" s="440"/>
      <c r="AE127" s="440">
        <v>-3.2283900000000001</v>
      </c>
      <c r="AF127" s="355"/>
      <c r="AG127" s="334" t="s">
        <v>134</v>
      </c>
      <c r="AI127" s="352" t="s">
        <v>83</v>
      </c>
    </row>
    <row r="128" spans="1:35" s="352" customFormat="1" x14ac:dyDescent="0.2">
      <c r="A128" s="320" t="str">
        <f>IFERROR(VLOOKUP(B128,mapping_one_neo!A:B,2,FALSE),"")</f>
        <v>Other office costs AU=0.INP</v>
      </c>
      <c r="B128" s="388" t="s">
        <v>84</v>
      </c>
      <c r="C128" s="353">
        <v>635110</v>
      </c>
      <c r="E128" s="356">
        <v>-99.999999999999986</v>
      </c>
      <c r="G128" s="419">
        <v>-8.3333333333333339</v>
      </c>
      <c r="H128" s="419">
        <v>-8.3333333333333339</v>
      </c>
      <c r="I128" s="419">
        <v>-8.3333333333333321</v>
      </c>
      <c r="J128" s="419">
        <v>-8.3333333333333357</v>
      </c>
      <c r="K128" s="419">
        <v>-8.3333333333333357</v>
      </c>
      <c r="L128" s="419">
        <v>-8.3333333333333357</v>
      </c>
      <c r="M128" s="419">
        <v>-8.3333333333333339</v>
      </c>
      <c r="N128" s="419">
        <v>-8.3333333333333339</v>
      </c>
      <c r="O128" s="419">
        <v>-8.3333333333333339</v>
      </c>
      <c r="P128" s="419">
        <v>-8.3333333333333339</v>
      </c>
      <c r="Q128" s="419">
        <v>-8.3333333333333339</v>
      </c>
      <c r="R128" s="419">
        <v>-8.3333333333333339</v>
      </c>
      <c r="S128" s="345"/>
      <c r="T128" s="361"/>
      <c r="U128" s="440">
        <f>IFERROR(VLOOKUP($B128,[4]Feuil1!$A:$AD,20,FALSE),"")</f>
        <v>-101.40785</v>
      </c>
      <c r="V128" s="440">
        <v>-7.4999999999999997E-2</v>
      </c>
      <c r="W128" s="440"/>
      <c r="X128" s="440"/>
      <c r="Y128" s="440"/>
      <c r="Z128" s="440">
        <v>-101.48285</v>
      </c>
      <c r="AA128" s="440"/>
      <c r="AB128" s="440"/>
      <c r="AC128" s="440"/>
      <c r="AD128" s="440"/>
      <c r="AE128" s="440">
        <v>-101.48285</v>
      </c>
      <c r="AF128" s="355"/>
      <c r="AG128" s="334"/>
      <c r="AI128" s="352" t="s">
        <v>84</v>
      </c>
    </row>
    <row r="129" spans="1:35" s="352" customFormat="1" ht="14.25" customHeight="1" x14ac:dyDescent="0.2">
      <c r="A129" s="320" t="str">
        <f>IFERROR(VLOOKUP(B129,mapping_one_neo!A:B,2,FALSE),"")</f>
        <v>Other office costs AU=0.INP</v>
      </c>
      <c r="B129" s="388" t="s">
        <v>85</v>
      </c>
      <c r="C129" s="353">
        <v>635140</v>
      </c>
      <c r="E129" s="356">
        <v>-7.9999999999999991</v>
      </c>
      <c r="G129" s="419">
        <v>-0.57099999999999995</v>
      </c>
      <c r="H129" s="419">
        <v>-0.57099999999999995</v>
      </c>
      <c r="I129" s="419">
        <v>-0.57099999999999995</v>
      </c>
      <c r="J129" s="419">
        <v>-0.57099999999999995</v>
      </c>
      <c r="K129" s="419">
        <v>-0.57099999999999973</v>
      </c>
      <c r="L129" s="419">
        <v>-0.57100000000000017</v>
      </c>
      <c r="M129" s="419">
        <v>-0.57099999999999995</v>
      </c>
      <c r="N129" s="419">
        <v>-0.57099999999999995</v>
      </c>
      <c r="O129" s="419">
        <v>-0.57099999999999995</v>
      </c>
      <c r="P129" s="419">
        <v>-0.57099999999999995</v>
      </c>
      <c r="Q129" s="419">
        <v>-0.57099999999999995</v>
      </c>
      <c r="R129" s="419">
        <v>-1.7190000000000001</v>
      </c>
      <c r="S129" s="345"/>
      <c r="T129" s="361"/>
      <c r="U129" s="440">
        <f>IFERROR(VLOOKUP($B129,[4]Feuil1!$A:$AD,20,FALSE),"")</f>
        <v>-4.8620000000000001</v>
      </c>
      <c r="V129" s="440"/>
      <c r="W129" s="440"/>
      <c r="X129" s="440"/>
      <c r="Y129" s="440"/>
      <c r="Z129" s="440">
        <v>-4.8620000000000001</v>
      </c>
      <c r="AA129" s="440"/>
      <c r="AB129" s="440"/>
      <c r="AC129" s="440"/>
      <c r="AD129" s="440"/>
      <c r="AE129" s="440">
        <v>-4.8620000000000001</v>
      </c>
      <c r="AF129" s="355"/>
      <c r="AG129" s="334"/>
      <c r="AI129" s="352" t="s">
        <v>85</v>
      </c>
    </row>
    <row r="130" spans="1:35" s="352" customFormat="1" ht="14.25" customHeight="1" x14ac:dyDescent="0.2">
      <c r="A130" s="320" t="str">
        <f>IFERROR(VLOOKUP(B130,mapping_one_neo!A:B,2,FALSE),"")</f>
        <v>Other office costs AU=0.INP</v>
      </c>
      <c r="B130" s="388" t="s">
        <v>712</v>
      </c>
      <c r="C130" s="353">
        <v>635800</v>
      </c>
      <c r="E130" s="356">
        <v>-1.76</v>
      </c>
      <c r="G130" s="419">
        <v>0</v>
      </c>
      <c r="H130" s="419">
        <v>0</v>
      </c>
      <c r="I130" s="419">
        <v>0</v>
      </c>
      <c r="J130" s="419">
        <v>0</v>
      </c>
      <c r="K130" s="419">
        <v>0</v>
      </c>
      <c r="L130" s="419">
        <v>0</v>
      </c>
      <c r="M130" s="419"/>
      <c r="N130" s="419">
        <v>-1.76</v>
      </c>
      <c r="O130" s="419"/>
      <c r="P130" s="419"/>
      <c r="Q130" s="419"/>
      <c r="R130" s="419"/>
      <c r="S130" s="345"/>
      <c r="T130" s="361"/>
      <c r="U130" s="440">
        <f>IFERROR(VLOOKUP($B130,[4]Feuil1!$A:$AD,20,FALSE),"")</f>
        <v>-6.9000000000000006E-2</v>
      </c>
      <c r="V130" s="440"/>
      <c r="W130" s="440"/>
      <c r="X130" s="440"/>
      <c r="Y130" s="440"/>
      <c r="Z130" s="440">
        <v>-6.9000000000000006E-2</v>
      </c>
      <c r="AA130" s="440"/>
      <c r="AB130" s="440"/>
      <c r="AC130" s="440"/>
      <c r="AD130" s="440"/>
      <c r="AE130" s="440">
        <v>-6.9000000000000006E-2</v>
      </c>
      <c r="AF130" s="355"/>
      <c r="AG130" s="334"/>
      <c r="AI130" s="352" t="s">
        <v>712</v>
      </c>
    </row>
    <row r="131" spans="1:35" s="352" customFormat="1" x14ac:dyDescent="0.2">
      <c r="A131" s="320" t="str">
        <f>IFERROR(VLOOKUP(B131,mapping_one_neo!A:B,2,FALSE),"")</f>
        <v>Other office costs AU=0.INP</v>
      </c>
      <c r="B131" s="388" t="s">
        <v>86</v>
      </c>
      <c r="C131" s="353">
        <v>637100</v>
      </c>
      <c r="E131" s="356">
        <v>0</v>
      </c>
      <c r="G131" s="419">
        <v>-0.8</v>
      </c>
      <c r="H131" s="419">
        <v>0.8</v>
      </c>
      <c r="I131" s="419">
        <v>0</v>
      </c>
      <c r="J131" s="419">
        <v>0</v>
      </c>
      <c r="K131" s="419">
        <v>0</v>
      </c>
      <c r="L131" s="419">
        <v>0</v>
      </c>
      <c r="M131" s="419">
        <v>0</v>
      </c>
      <c r="N131" s="419">
        <v>0</v>
      </c>
      <c r="O131" s="419">
        <v>0</v>
      </c>
      <c r="P131" s="419">
        <v>0</v>
      </c>
      <c r="Q131" s="419">
        <v>0</v>
      </c>
      <c r="R131" s="419">
        <v>0</v>
      </c>
      <c r="S131" s="345"/>
      <c r="T131" s="361"/>
      <c r="U131" s="440"/>
      <c r="V131" s="440"/>
      <c r="W131" s="440"/>
      <c r="X131" s="440"/>
      <c r="Y131" s="440"/>
      <c r="Z131" s="440"/>
      <c r="AA131" s="440"/>
      <c r="AB131" s="440"/>
      <c r="AC131" s="440"/>
      <c r="AD131" s="440"/>
      <c r="AE131" s="440"/>
      <c r="AF131" s="355"/>
      <c r="AG131" s="334"/>
      <c r="AI131" s="352" t="s">
        <v>86</v>
      </c>
    </row>
    <row r="132" spans="1:35" s="352" customFormat="1" x14ac:dyDescent="0.2">
      <c r="A132" s="320" t="str">
        <f>IFERROR(VLOOKUP(B132,mapping_one_neo!A:B,2,FALSE),"")</f>
        <v>Other office costs AU=0.INP</v>
      </c>
      <c r="B132" s="388" t="s">
        <v>87</v>
      </c>
      <c r="C132" s="353">
        <v>658201</v>
      </c>
      <c r="E132" s="356">
        <v>-4.9999999999999982</v>
      </c>
      <c r="G132" s="419">
        <v>-0.21203709999999998</v>
      </c>
      <c r="H132" s="419">
        <v>-0.28796289999999991</v>
      </c>
      <c r="I132" s="419">
        <v>-0.25000000000000011</v>
      </c>
      <c r="J132" s="419">
        <v>-0.24999999999999978</v>
      </c>
      <c r="K132" s="419">
        <v>-0.25000000000000022</v>
      </c>
      <c r="L132" s="419">
        <v>-0.25</v>
      </c>
      <c r="M132" s="419">
        <v>-0.58333333333333326</v>
      </c>
      <c r="N132" s="419">
        <v>-0.58333333333333326</v>
      </c>
      <c r="O132" s="419">
        <v>-0.58333333333333326</v>
      </c>
      <c r="P132" s="419">
        <v>-0.58333333333333326</v>
      </c>
      <c r="Q132" s="419">
        <v>-0.58333333333333326</v>
      </c>
      <c r="R132" s="419">
        <v>-0.58333333333333326</v>
      </c>
      <c r="S132" s="345"/>
      <c r="T132" s="361"/>
      <c r="U132" s="440">
        <f>IFERROR(VLOOKUP($B132,[4]Feuil1!$A:$AD,20,FALSE),"")</f>
        <v>-2.7426733333333333</v>
      </c>
      <c r="V132" s="440"/>
      <c r="W132" s="440"/>
      <c r="X132" s="440"/>
      <c r="Y132" s="440"/>
      <c r="Z132" s="440">
        <v>-2.7426733333333333</v>
      </c>
      <c r="AA132" s="440"/>
      <c r="AB132" s="440"/>
      <c r="AC132" s="440"/>
      <c r="AD132" s="440"/>
      <c r="AE132" s="440">
        <v>-2.7426733333333333</v>
      </c>
      <c r="AF132" s="355"/>
      <c r="AG132" s="334"/>
      <c r="AI132" s="352" t="s">
        <v>87</v>
      </c>
    </row>
    <row r="133" spans="1:35" s="352" customFormat="1" x14ac:dyDescent="0.2">
      <c r="A133" s="320" t="str">
        <f>IFERROR(VLOOKUP(B133,mapping_one_neo!A:B,2,FALSE),"")</f>
        <v>Other office costs AU=0.INP</v>
      </c>
      <c r="B133" s="388" t="s">
        <v>88</v>
      </c>
      <c r="C133" s="353">
        <v>658000</v>
      </c>
      <c r="E133" s="356">
        <v>-1.7569999999999999E-2</v>
      </c>
      <c r="G133" s="419">
        <v>-3.13E-3</v>
      </c>
      <c r="H133" s="419">
        <v>-2.8000000000000004E-3</v>
      </c>
      <c r="I133" s="419">
        <v>-3.0199999999999992E-3</v>
      </c>
      <c r="J133" s="419">
        <v>-6.5999999999999913E-4</v>
      </c>
      <c r="K133" s="419">
        <v>-3.9600000000000017E-3</v>
      </c>
      <c r="L133" s="419">
        <v>-3.9999999999999983E-3</v>
      </c>
      <c r="M133" s="419">
        <v>0</v>
      </c>
      <c r="N133" s="419">
        <v>0</v>
      </c>
      <c r="O133" s="419">
        <v>0</v>
      </c>
      <c r="P133" s="419">
        <v>0</v>
      </c>
      <c r="Q133" s="419">
        <v>0</v>
      </c>
      <c r="R133" s="419">
        <v>0</v>
      </c>
      <c r="S133" s="345"/>
      <c r="T133" s="361"/>
      <c r="U133" s="440">
        <v>-1.4590000000000001E-2</v>
      </c>
      <c r="V133" s="440">
        <v>-1.72E-3</v>
      </c>
      <c r="W133" s="440"/>
      <c r="X133" s="440"/>
      <c r="Y133" s="440"/>
      <c r="Z133" s="440">
        <v>-1.6310000000000002E-2</v>
      </c>
      <c r="AA133" s="440"/>
      <c r="AB133" s="440"/>
      <c r="AC133" s="440"/>
      <c r="AD133" s="440"/>
      <c r="AE133" s="440">
        <v>-1.6310000000000002E-2</v>
      </c>
      <c r="AF133" s="355"/>
      <c r="AG133" s="334"/>
      <c r="AI133" s="352" t="s">
        <v>88</v>
      </c>
    </row>
    <row r="134" spans="1:35" s="352" customFormat="1" x14ac:dyDescent="0.2">
      <c r="A134" s="320" t="str">
        <f>IFERROR(VLOOKUP(B134,mapping_one_neo!A:B,2,FALSE),"")</f>
        <v>Other office costs AU=0.INP</v>
      </c>
      <c r="B134" s="388" t="s">
        <v>89</v>
      </c>
      <c r="C134" s="353">
        <v>681124</v>
      </c>
      <c r="E134" s="356">
        <v>-2.8426974999999994</v>
      </c>
      <c r="G134" s="419">
        <v>-0.20135</v>
      </c>
      <c r="H134" s="419">
        <v>-0.18837000000000001</v>
      </c>
      <c r="I134" s="419">
        <v>-0.20132999999999995</v>
      </c>
      <c r="J134" s="419">
        <v>-0.19486000000000003</v>
      </c>
      <c r="K134" s="419">
        <v>-0.20135999999999998</v>
      </c>
      <c r="L134" s="419">
        <v>-0.19485999999999992</v>
      </c>
      <c r="M134" s="419">
        <v>-0.27676125000000001</v>
      </c>
      <c r="N134" s="419">
        <v>-0.27676125000000001</v>
      </c>
      <c r="O134" s="419">
        <v>-0.27676125000000001</v>
      </c>
      <c r="P134" s="419">
        <v>-0.27676125000000001</v>
      </c>
      <c r="Q134" s="419">
        <v>-0.27676125000000001</v>
      </c>
      <c r="R134" s="419">
        <v>-0.27676125000000001</v>
      </c>
      <c r="S134" s="345"/>
      <c r="T134" s="361"/>
      <c r="U134" s="440">
        <f>IFERROR(VLOOKUP($B134,[4]Feuil1!$A:$AD,20,FALSE),"")</f>
        <v>-3.1224699999999999</v>
      </c>
      <c r="V134" s="440"/>
      <c r="W134" s="440"/>
      <c r="X134" s="440"/>
      <c r="Y134" s="440"/>
      <c r="Z134" s="440">
        <v>-3.1224699999999999</v>
      </c>
      <c r="AA134" s="440"/>
      <c r="AB134" s="440"/>
      <c r="AC134" s="440"/>
      <c r="AD134" s="440"/>
      <c r="AE134" s="440">
        <v>-3.1224699999999999</v>
      </c>
      <c r="AF134" s="355"/>
      <c r="AG134" s="334"/>
      <c r="AI134" s="352" t="s">
        <v>89</v>
      </c>
    </row>
    <row r="135" spans="1:35" s="352" customFormat="1" x14ac:dyDescent="0.2">
      <c r="A135" s="320" t="str">
        <f>IFERROR(VLOOKUP(B135,mapping_one_neo!A:B,2,FALSE),"")</f>
        <v>Other office costs AU=0.INP</v>
      </c>
      <c r="B135" s="388" t="s">
        <v>90</v>
      </c>
      <c r="C135" s="353"/>
      <c r="E135" s="356">
        <v>0</v>
      </c>
      <c r="G135" s="419">
        <v>0</v>
      </c>
      <c r="H135" s="419">
        <v>0</v>
      </c>
      <c r="I135" s="419">
        <v>0</v>
      </c>
      <c r="J135" s="419">
        <v>0</v>
      </c>
      <c r="K135" s="419">
        <v>0</v>
      </c>
      <c r="L135" s="419">
        <v>0</v>
      </c>
      <c r="M135" s="419">
        <v>0</v>
      </c>
      <c r="N135" s="419">
        <v>0</v>
      </c>
      <c r="O135" s="419">
        <v>0</v>
      </c>
      <c r="P135" s="419">
        <v>0</v>
      </c>
      <c r="Q135" s="419">
        <v>0</v>
      </c>
      <c r="R135" s="419">
        <v>0</v>
      </c>
      <c r="S135" s="345"/>
      <c r="T135" s="361"/>
      <c r="U135" s="440"/>
      <c r="V135" s="440"/>
      <c r="W135" s="440"/>
      <c r="X135" s="440"/>
      <c r="Y135" s="440"/>
      <c r="Z135" s="440"/>
      <c r="AA135" s="440"/>
      <c r="AB135" s="440"/>
      <c r="AC135" s="440"/>
      <c r="AD135" s="440"/>
      <c r="AE135" s="440"/>
      <c r="AF135" s="355"/>
      <c r="AG135" s="334"/>
      <c r="AI135" s="387" t="s">
        <v>90</v>
      </c>
    </row>
    <row r="136" spans="1:35" s="352" customFormat="1" x14ac:dyDescent="0.2">
      <c r="A136" s="320" t="str">
        <f>IFERROR(VLOOKUP(B136,mapping_one_neo!A:B,2,FALSE),"")</f>
        <v>Staff Welfare</v>
      </c>
      <c r="B136" s="388" t="s">
        <v>53</v>
      </c>
      <c r="C136" s="353"/>
      <c r="E136" s="356">
        <v>0</v>
      </c>
      <c r="G136" s="419">
        <v>0</v>
      </c>
      <c r="H136" s="419">
        <v>0</v>
      </c>
      <c r="I136" s="419">
        <v>0</v>
      </c>
      <c r="J136" s="419">
        <v>0</v>
      </c>
      <c r="K136" s="419">
        <v>0</v>
      </c>
      <c r="L136" s="419">
        <v>0</v>
      </c>
      <c r="M136" s="419"/>
      <c r="N136" s="419"/>
      <c r="O136" s="419"/>
      <c r="P136" s="419"/>
      <c r="Q136" s="419"/>
      <c r="R136" s="419"/>
      <c r="S136" s="345"/>
      <c r="T136" s="361"/>
      <c r="U136" s="440"/>
      <c r="V136" s="440"/>
      <c r="W136" s="440"/>
      <c r="X136" s="440"/>
      <c r="Y136" s="440"/>
      <c r="Z136" s="440"/>
      <c r="AA136" s="440"/>
      <c r="AB136" s="440"/>
      <c r="AC136" s="440"/>
      <c r="AD136" s="440"/>
      <c r="AE136" s="440"/>
      <c r="AF136" s="355"/>
      <c r="AG136" s="334"/>
      <c r="AI136" s="387" t="s">
        <v>53</v>
      </c>
    </row>
    <row r="137" spans="1:35" s="387" customFormat="1" x14ac:dyDescent="0.2">
      <c r="A137" s="320">
        <f>IFERROR(VLOOKUP(B137,mapping_one_neo!A:B,2,FALSE),"")</f>
        <v>0</v>
      </c>
      <c r="B137" s="387" t="s">
        <v>91</v>
      </c>
      <c r="C137" s="392"/>
      <c r="E137" s="393">
        <v>-118.19251749999999</v>
      </c>
      <c r="G137" s="393">
        <v>-10.170790433333334</v>
      </c>
      <c r="H137" s="393">
        <v>-8.630186233333335</v>
      </c>
      <c r="I137" s="393">
        <v>-9.4086233333333311</v>
      </c>
      <c r="J137" s="393">
        <v>-9.3981733333333359</v>
      </c>
      <c r="K137" s="393">
        <v>-9.4095933333333335</v>
      </c>
      <c r="L137" s="393">
        <v>-9.3805833333333357</v>
      </c>
      <c r="M137" s="393">
        <v>-9.8144279166666681</v>
      </c>
      <c r="N137" s="393">
        <v>-11.574427916666668</v>
      </c>
      <c r="O137" s="393">
        <v>-9.8144279166666681</v>
      </c>
      <c r="P137" s="393">
        <v>-9.8144279166666681</v>
      </c>
      <c r="Q137" s="393">
        <v>-9.8144279166666681</v>
      </c>
      <c r="R137" s="393">
        <v>-10.962427916666668</v>
      </c>
      <c r="S137" s="349"/>
      <c r="T137" s="346"/>
      <c r="U137" s="440">
        <f>IFERROR(VLOOKUP($B137,[4]Feuil1!$A:$AD,20,FALSE),"")</f>
        <v>-115.44697333333332</v>
      </c>
      <c r="V137" s="440"/>
      <c r="W137" s="440"/>
      <c r="X137" s="440"/>
      <c r="Y137" s="440"/>
      <c r="Z137" s="440">
        <v>-115.52369333333334</v>
      </c>
      <c r="AA137" s="440"/>
      <c r="AB137" s="440"/>
      <c r="AC137" s="440"/>
      <c r="AD137" s="440"/>
      <c r="AE137" s="440">
        <v>-115.52369333333334</v>
      </c>
      <c r="AF137" s="394"/>
      <c r="AG137" s="334"/>
      <c r="AI137" s="458" t="s">
        <v>91</v>
      </c>
    </row>
    <row r="138" spans="1:35" s="387" customFormat="1" x14ac:dyDescent="0.2">
      <c r="A138" s="320" t="str">
        <f>IFERROR(VLOOKUP(B138,mapping_one_neo!A:B,2,FALSE),"")</f>
        <v/>
      </c>
      <c r="C138" s="392"/>
      <c r="E138" s="397"/>
      <c r="G138" s="397"/>
      <c r="H138" s="397"/>
      <c r="I138" s="397"/>
      <c r="J138" s="397"/>
      <c r="K138" s="397"/>
      <c r="L138" s="397"/>
      <c r="M138" s="397"/>
      <c r="N138" s="397"/>
      <c r="O138" s="397"/>
      <c r="P138" s="397"/>
      <c r="Q138" s="397"/>
      <c r="R138" s="397"/>
      <c r="S138" s="349"/>
      <c r="T138" s="346"/>
      <c r="U138" s="440" t="str">
        <f>IFERROR(VLOOKUP($B138,[4]Feuil1!$A:$AD,20,FALSE),"")</f>
        <v/>
      </c>
      <c r="V138" s="440" t="s">
        <v>776</v>
      </c>
      <c r="W138" s="440" t="s">
        <v>776</v>
      </c>
      <c r="X138" s="440" t="s">
        <v>776</v>
      </c>
      <c r="Y138" s="440" t="s">
        <v>776</v>
      </c>
      <c r="Z138" s="440" t="s">
        <v>776</v>
      </c>
      <c r="AA138" s="440" t="s">
        <v>776</v>
      </c>
      <c r="AB138" s="440" t="s">
        <v>776</v>
      </c>
      <c r="AC138" s="440" t="s">
        <v>776</v>
      </c>
      <c r="AD138" s="440" t="s">
        <v>776</v>
      </c>
      <c r="AE138" s="440" t="s">
        <v>776</v>
      </c>
      <c r="AF138" s="394"/>
      <c r="AG138" s="334"/>
    </row>
    <row r="139" spans="1:35" s="458" customFormat="1" x14ac:dyDescent="0.2">
      <c r="A139" s="320" t="str">
        <f>IFERROR(VLOOKUP(B139,mapping_one_neo!A:B,2,FALSE),"")</f>
        <v>Other office costs AU=0.INP</v>
      </c>
      <c r="B139" s="387" t="s">
        <v>811</v>
      </c>
      <c r="C139" s="392"/>
      <c r="D139" s="387"/>
      <c r="E139" s="397"/>
      <c r="F139" s="387"/>
      <c r="G139" s="397"/>
      <c r="H139" s="397"/>
      <c r="I139" s="397"/>
      <c r="J139" s="397"/>
      <c r="K139" s="397"/>
      <c r="L139" s="397"/>
      <c r="M139" s="397"/>
      <c r="N139" s="397"/>
      <c r="O139" s="397"/>
      <c r="P139" s="397"/>
      <c r="Q139" s="397"/>
      <c r="R139" s="397"/>
      <c r="S139" s="349"/>
      <c r="T139" s="346"/>
      <c r="U139" s="440"/>
      <c r="V139" s="440"/>
      <c r="W139" s="440"/>
      <c r="X139" s="440"/>
      <c r="Y139" s="440"/>
      <c r="Z139" s="440"/>
      <c r="AA139" s="440">
        <v>19.30146313110944</v>
      </c>
      <c r="AB139" s="440"/>
      <c r="AC139" s="440"/>
      <c r="AD139" s="440"/>
      <c r="AE139" s="440">
        <v>19.30146313110944</v>
      </c>
      <c r="AF139" s="394"/>
      <c r="AG139" s="334"/>
      <c r="AI139" s="334" t="s">
        <v>811</v>
      </c>
    </row>
    <row r="140" spans="1:35" s="387" customFormat="1" x14ac:dyDescent="0.2">
      <c r="A140" s="320" t="str">
        <f>IFERROR(VLOOKUP(B140,mapping_one_neo!A:B,2,FALSE),"")</f>
        <v/>
      </c>
      <c r="C140" s="392"/>
      <c r="E140" s="397"/>
      <c r="G140" s="397"/>
      <c r="H140" s="397"/>
      <c r="I140" s="397"/>
      <c r="J140" s="397"/>
      <c r="K140" s="397"/>
      <c r="L140" s="397"/>
      <c r="M140" s="397"/>
      <c r="N140" s="397"/>
      <c r="O140" s="397"/>
      <c r="P140" s="397"/>
      <c r="Q140" s="397"/>
      <c r="R140" s="397"/>
      <c r="S140" s="349"/>
      <c r="T140" s="346"/>
      <c r="U140" s="440" t="str">
        <f>IFERROR(VLOOKUP($B140,[4]Feuil1!$A:$AD,20,FALSE),"")</f>
        <v/>
      </c>
      <c r="V140" s="440" t="s">
        <v>776</v>
      </c>
      <c r="W140" s="440" t="s">
        <v>776</v>
      </c>
      <c r="X140" s="440" t="s">
        <v>776</v>
      </c>
      <c r="Y140" s="440" t="s">
        <v>776</v>
      </c>
      <c r="Z140" s="440" t="s">
        <v>776</v>
      </c>
      <c r="AA140" s="440" t="s">
        <v>776</v>
      </c>
      <c r="AB140" s="440" t="s">
        <v>776</v>
      </c>
      <c r="AC140" s="440" t="s">
        <v>776</v>
      </c>
      <c r="AD140" s="440" t="s">
        <v>776</v>
      </c>
      <c r="AE140" s="440" t="s">
        <v>776</v>
      </c>
      <c r="AF140" s="394"/>
      <c r="AG140" s="334"/>
      <c r="AI140" s="334"/>
    </row>
    <row r="141" spans="1:35" x14ac:dyDescent="0.2">
      <c r="A141" s="320">
        <f>IFERROR(VLOOKUP(B141,mapping_one_neo!A:B,2,FALSE),"")</f>
        <v>0</v>
      </c>
      <c r="B141" s="352" t="s">
        <v>92</v>
      </c>
      <c r="C141" s="353"/>
      <c r="E141" s="354">
        <v>-128.66603950000001</v>
      </c>
      <c r="G141" s="354">
        <v>-10.434640433333334</v>
      </c>
      <c r="H141" s="354">
        <v>-9.1118462333333348</v>
      </c>
      <c r="I141" s="354">
        <v>-9.7336733333333303</v>
      </c>
      <c r="J141" s="354">
        <v>-10.287403333333335</v>
      </c>
      <c r="K141" s="354">
        <v>-12.778823333333333</v>
      </c>
      <c r="L141" s="354">
        <v>-9.730593333333335</v>
      </c>
      <c r="M141" s="354">
        <v>-11.796843250000002</v>
      </c>
      <c r="N141" s="354">
        <v>-11.856843250000001</v>
      </c>
      <c r="O141" s="354">
        <v>-10.796843250000002</v>
      </c>
      <c r="P141" s="354">
        <v>-10.096843250000001</v>
      </c>
      <c r="Q141" s="354">
        <v>-10.096843250000001</v>
      </c>
      <c r="R141" s="354">
        <v>-11.944843250000002</v>
      </c>
      <c r="S141" s="349"/>
      <c r="T141" s="346"/>
      <c r="U141" s="440">
        <f>IFERROR(VLOOKUP($B141,[4]Feuil1!$A:$AD,20,FALSE),"")</f>
        <v>-118.70731333333332</v>
      </c>
      <c r="V141" s="440"/>
      <c r="W141" s="440"/>
      <c r="X141" s="440"/>
      <c r="Y141" s="440"/>
      <c r="Z141" s="440">
        <v>-118.78403333333334</v>
      </c>
      <c r="AA141" s="440">
        <v>19.30146313110944</v>
      </c>
      <c r="AB141" s="440"/>
      <c r="AC141" s="440"/>
      <c r="AD141" s="440">
        <v>1.1142900982193962</v>
      </c>
      <c r="AE141" s="440">
        <v>-98.368280104004498</v>
      </c>
      <c r="AF141" s="350"/>
      <c r="AI141" s="352" t="s">
        <v>92</v>
      </c>
    </row>
    <row r="142" spans="1:35" x14ac:dyDescent="0.2">
      <c r="A142" s="320" t="str">
        <f>IFERROR(VLOOKUP(B142,mapping_one_neo!A:B,2,FALSE),"")</f>
        <v/>
      </c>
      <c r="J142" s="335">
        <v>0</v>
      </c>
      <c r="M142" s="335">
        <v>0</v>
      </c>
      <c r="S142" s="349"/>
      <c r="T142" s="346"/>
      <c r="U142" s="440" t="str">
        <f>IFERROR(VLOOKUP($B142,[4]Feuil1!$A:$AD,20,FALSE),"")</f>
        <v/>
      </c>
      <c r="V142" s="440" t="s">
        <v>776</v>
      </c>
      <c r="W142" s="440" t="s">
        <v>776</v>
      </c>
      <c r="X142" s="440" t="s">
        <v>776</v>
      </c>
      <c r="Y142" s="440" t="s">
        <v>776</v>
      </c>
      <c r="Z142" s="440" t="s">
        <v>776</v>
      </c>
      <c r="AA142" s="440" t="s">
        <v>776</v>
      </c>
      <c r="AB142" s="440" t="s">
        <v>776</v>
      </c>
      <c r="AC142" s="440" t="s">
        <v>776</v>
      </c>
      <c r="AD142" s="440" t="s">
        <v>776</v>
      </c>
      <c r="AE142" s="440" t="s">
        <v>776</v>
      </c>
      <c r="AF142" s="350"/>
      <c r="AI142" s="352"/>
    </row>
    <row r="143" spans="1:35" s="352" customFormat="1" x14ac:dyDescent="0.2">
      <c r="A143" s="320" t="str">
        <f>IFERROR(VLOOKUP(B143,mapping_one_neo!A:B,2,FALSE),"")</f>
        <v>Voice/fax communication costs</v>
      </c>
      <c r="B143" s="400" t="s">
        <v>93</v>
      </c>
      <c r="C143" s="353">
        <v>626110</v>
      </c>
      <c r="E143" s="356">
        <v>-8.0407407407407394</v>
      </c>
      <c r="G143" s="419">
        <v>-0.6</v>
      </c>
      <c r="H143" s="419">
        <v>-0.6</v>
      </c>
      <c r="I143" s="419">
        <v>-0.60000000000000009</v>
      </c>
      <c r="J143" s="419">
        <v>-0.7</v>
      </c>
      <c r="K143" s="419">
        <v>-0.36629999999999985</v>
      </c>
      <c r="L143" s="419">
        <v>-0.10000000000000053</v>
      </c>
      <c r="M143" s="419">
        <v>-0.84574012345678995</v>
      </c>
      <c r="N143" s="419">
        <v>-0.84574012345678995</v>
      </c>
      <c r="O143" s="419">
        <v>-0.84574012345678995</v>
      </c>
      <c r="P143" s="419">
        <v>-0.84574012345678995</v>
      </c>
      <c r="Q143" s="419">
        <v>-0.84574012345678995</v>
      </c>
      <c r="R143" s="419">
        <v>-0.84574012345678995</v>
      </c>
      <c r="S143" s="345"/>
      <c r="T143" s="361"/>
      <c r="U143" s="440">
        <f>IFERROR(VLOOKUP($B143,[4]Feuil1!$A:$AD,20,FALSE),"")</f>
        <v>-4.5538399999999992</v>
      </c>
      <c r="V143" s="440"/>
      <c r="W143" s="440"/>
      <c r="X143" s="440"/>
      <c r="Y143" s="440">
        <v>-1.4</v>
      </c>
      <c r="Z143" s="440">
        <v>-5.9538399999999996</v>
      </c>
      <c r="AA143" s="440"/>
      <c r="AB143" s="440"/>
      <c r="AC143" s="440"/>
      <c r="AD143" s="440"/>
      <c r="AE143" s="440">
        <v>-5.9538399999999996</v>
      </c>
      <c r="AF143" s="355"/>
      <c r="AG143" s="334"/>
      <c r="AI143" s="334" t="s">
        <v>830</v>
      </c>
    </row>
    <row r="144" spans="1:35" s="352" customFormat="1" x14ac:dyDescent="0.2">
      <c r="A144" s="320" t="str">
        <f>IFERROR(VLOOKUP(B144,mapping_one_neo!A:B,2,FALSE),"")</f>
        <v>Voice/fax communication costs</v>
      </c>
      <c r="B144" s="400" t="s">
        <v>94</v>
      </c>
      <c r="C144" s="353">
        <v>626110</v>
      </c>
      <c r="E144" s="356">
        <v>-4.0082500000000003</v>
      </c>
      <c r="G144" s="419">
        <v>-0.33300000000000002</v>
      </c>
      <c r="H144" s="419">
        <v>-0.33300000000000002</v>
      </c>
      <c r="I144" s="419">
        <v>-0.33300000000000007</v>
      </c>
      <c r="J144" s="419">
        <v>-0.33299999999999996</v>
      </c>
      <c r="K144" s="419">
        <v>-0.33299999999999996</v>
      </c>
      <c r="L144" s="419">
        <v>-0.33300000000000018</v>
      </c>
      <c r="M144" s="419">
        <v>-0.33475000000000005</v>
      </c>
      <c r="N144" s="419">
        <v>-0.33475000000000005</v>
      </c>
      <c r="O144" s="419">
        <v>-0.33475000000000005</v>
      </c>
      <c r="P144" s="419">
        <v>-0.33475000000000005</v>
      </c>
      <c r="Q144" s="419">
        <v>-0.33475000000000005</v>
      </c>
      <c r="R144" s="419">
        <v>-0.33650000000000002</v>
      </c>
      <c r="S144" s="389" t="s">
        <v>134</v>
      </c>
      <c r="T144" s="361"/>
      <c r="U144" s="440">
        <f>IFERROR(VLOOKUP($B144,[4]Feuil1!$A:$AD,20,FALSE),"")</f>
        <v>-4.6474299999999999</v>
      </c>
      <c r="V144" s="440"/>
      <c r="W144" s="440"/>
      <c r="X144" s="440"/>
      <c r="Y144" s="440"/>
      <c r="Z144" s="440">
        <v>-4.6474299999999999</v>
      </c>
      <c r="AA144" s="440"/>
      <c r="AB144" s="440"/>
      <c r="AC144" s="440"/>
      <c r="AD144" s="440">
        <v>0.35902901910506879</v>
      </c>
      <c r="AE144" s="440">
        <v>-4.2884009808949308</v>
      </c>
      <c r="AF144" s="355"/>
      <c r="AG144" s="334"/>
    </row>
    <row r="145" spans="1:35" x14ac:dyDescent="0.2">
      <c r="A145" s="320" t="str">
        <f>IFERROR(VLOOKUP(B145,mapping_one_neo!A:B,2,FALSE),"")</f>
        <v/>
      </c>
      <c r="G145" s="398">
        <v>0</v>
      </c>
      <c r="H145" s="398">
        <v>0</v>
      </c>
      <c r="I145" s="398">
        <v>0</v>
      </c>
      <c r="J145" s="398">
        <v>0</v>
      </c>
      <c r="K145" s="398">
        <v>0</v>
      </c>
      <c r="L145" s="398">
        <v>0</v>
      </c>
      <c r="M145" s="398">
        <v>0</v>
      </c>
      <c r="N145" s="398">
        <v>0</v>
      </c>
      <c r="O145" s="398"/>
      <c r="P145" s="398"/>
      <c r="Q145" s="398"/>
      <c r="R145" s="398"/>
      <c r="S145" s="349"/>
      <c r="T145" s="346"/>
      <c r="U145" s="440" t="str">
        <f>IFERROR(VLOOKUP($B145,[4]Feuil1!$A:$AD,20,FALSE),"")</f>
        <v/>
      </c>
      <c r="V145" s="440" t="s">
        <v>776</v>
      </c>
      <c r="W145" s="440" t="s">
        <v>776</v>
      </c>
      <c r="X145" s="440" t="s">
        <v>776</v>
      </c>
      <c r="Y145" s="440" t="s">
        <v>776</v>
      </c>
      <c r="Z145" s="440" t="s">
        <v>776</v>
      </c>
      <c r="AA145" s="440" t="s">
        <v>776</v>
      </c>
      <c r="AB145" s="440" t="s">
        <v>776</v>
      </c>
      <c r="AC145" s="440" t="s">
        <v>776</v>
      </c>
      <c r="AD145" s="440" t="s">
        <v>776</v>
      </c>
      <c r="AE145" s="440" t="s">
        <v>776</v>
      </c>
      <c r="AF145" s="350"/>
      <c r="AI145" s="352" t="s">
        <v>93</v>
      </c>
    </row>
    <row r="146" spans="1:35" s="352" customFormat="1" x14ac:dyDescent="0.2">
      <c r="A146" s="320" t="str">
        <f>IFERROR(VLOOKUP(B146,mapping_one_neo!A:B,2,FALSE),"")</f>
        <v>Data communication costs AU=0ADJ16</v>
      </c>
      <c r="B146" s="400" t="s">
        <v>95</v>
      </c>
      <c r="C146" s="353">
        <v>626400</v>
      </c>
      <c r="E146" s="356">
        <v>0</v>
      </c>
      <c r="G146" s="419">
        <v>0</v>
      </c>
      <c r="H146" s="419">
        <v>0</v>
      </c>
      <c r="I146" s="419">
        <v>0</v>
      </c>
      <c r="J146" s="419">
        <v>0</v>
      </c>
      <c r="K146" s="419">
        <v>0</v>
      </c>
      <c r="L146" s="419">
        <v>0</v>
      </c>
      <c r="M146" s="419">
        <v>0</v>
      </c>
      <c r="N146" s="419">
        <v>0</v>
      </c>
      <c r="O146" s="419">
        <v>0</v>
      </c>
      <c r="P146" s="419">
        <v>0</v>
      </c>
      <c r="Q146" s="419">
        <v>0</v>
      </c>
      <c r="R146" s="419">
        <v>0</v>
      </c>
      <c r="S146" s="345"/>
      <c r="T146" s="361"/>
      <c r="U146" s="440"/>
      <c r="V146" s="440"/>
      <c r="W146" s="440"/>
      <c r="X146" s="440"/>
      <c r="Y146" s="440"/>
      <c r="Z146" s="440"/>
      <c r="AA146" s="440"/>
      <c r="AB146" s="440"/>
      <c r="AC146" s="440"/>
      <c r="AD146" s="440"/>
      <c r="AE146" s="440"/>
      <c r="AF146" s="355"/>
      <c r="AG146" s="334"/>
      <c r="AI146" s="334" t="s">
        <v>94</v>
      </c>
    </row>
    <row r="147" spans="1:35" s="352" customFormat="1" x14ac:dyDescent="0.2">
      <c r="A147" s="320" t="str">
        <f>IFERROR(VLOOKUP(B147,mapping_one_neo!A:B,2,FALSE),"")</f>
        <v>Data communication costs AU=0ADJ16</v>
      </c>
      <c r="B147" s="400" t="s">
        <v>96</v>
      </c>
      <c r="C147" s="353">
        <v>626400</v>
      </c>
      <c r="E147" s="356">
        <v>-0.99833333333333341</v>
      </c>
      <c r="G147" s="419">
        <v>-8.3000000000000004E-2</v>
      </c>
      <c r="H147" s="419">
        <v>-8.3000000000000004E-2</v>
      </c>
      <c r="I147" s="419">
        <v>-8.299999999999999E-2</v>
      </c>
      <c r="J147" s="419">
        <v>-8.3000000000000018E-2</v>
      </c>
      <c r="K147" s="419">
        <v>-8.3000000000000018E-2</v>
      </c>
      <c r="L147" s="419">
        <v>-8.2999999999999963E-2</v>
      </c>
      <c r="M147" s="419">
        <v>-8.3333333333333329E-2</v>
      </c>
      <c r="N147" s="419">
        <v>-8.3333333333333329E-2</v>
      </c>
      <c r="O147" s="419">
        <v>-8.3333333333333329E-2</v>
      </c>
      <c r="P147" s="419">
        <v>-8.3333333333333329E-2</v>
      </c>
      <c r="Q147" s="419">
        <v>-8.3333333333333329E-2</v>
      </c>
      <c r="R147" s="419">
        <v>-8.3666666666666598E-2</v>
      </c>
      <c r="S147" s="345"/>
      <c r="T147" s="361"/>
      <c r="U147" s="440"/>
      <c r="V147" s="440"/>
      <c r="W147" s="440"/>
      <c r="X147" s="440"/>
      <c r="Y147" s="440"/>
      <c r="Z147" s="440"/>
      <c r="AA147" s="440"/>
      <c r="AB147" s="440"/>
      <c r="AC147" s="440"/>
      <c r="AD147" s="440"/>
      <c r="AE147" s="440"/>
      <c r="AF147" s="355"/>
      <c r="AG147" s="334"/>
      <c r="AI147" s="334"/>
    </row>
    <row r="148" spans="1:35" x14ac:dyDescent="0.2">
      <c r="A148" s="320" t="str">
        <f>IFERROR(VLOOKUP(B148,mapping_one_neo!A:B,2,FALSE),"")</f>
        <v/>
      </c>
      <c r="G148" s="398"/>
      <c r="H148" s="398"/>
      <c r="I148" s="398"/>
      <c r="J148" s="398"/>
      <c r="K148" s="398"/>
      <c r="L148" s="398"/>
      <c r="M148" s="398"/>
      <c r="N148" s="398"/>
      <c r="O148" s="398"/>
      <c r="P148" s="398"/>
      <c r="Q148" s="398"/>
      <c r="R148" s="398"/>
      <c r="S148" s="349"/>
      <c r="T148" s="346"/>
      <c r="U148" s="440" t="str">
        <f>IFERROR(VLOOKUP($B148,[4]Feuil1!$A:$AD,20,FALSE),"")</f>
        <v/>
      </c>
      <c r="V148" s="440" t="s">
        <v>776</v>
      </c>
      <c r="W148" s="440" t="s">
        <v>776</v>
      </c>
      <c r="X148" s="440" t="s">
        <v>776</v>
      </c>
      <c r="Y148" s="440" t="s">
        <v>776</v>
      </c>
      <c r="Z148" s="440" t="s">
        <v>776</v>
      </c>
      <c r="AA148" s="440" t="s">
        <v>776</v>
      </c>
      <c r="AB148" s="440" t="s">
        <v>776</v>
      </c>
      <c r="AC148" s="440" t="s">
        <v>776</v>
      </c>
      <c r="AD148" s="440" t="s">
        <v>776</v>
      </c>
      <c r="AE148" s="440" t="s">
        <v>776</v>
      </c>
      <c r="AF148" s="350"/>
      <c r="AI148" s="352" t="s">
        <v>95</v>
      </c>
    </row>
    <row r="149" spans="1:35" x14ac:dyDescent="0.2">
      <c r="A149" s="320">
        <f>IFERROR(VLOOKUP(B149,mapping_one_neo!A:B,2,FALSE),"")</f>
        <v>0</v>
      </c>
      <c r="B149" s="387" t="s">
        <v>97</v>
      </c>
      <c r="J149" s="335">
        <v>0</v>
      </c>
      <c r="M149" s="335">
        <v>0</v>
      </c>
      <c r="S149" s="349"/>
      <c r="T149" s="346"/>
      <c r="U149" s="440"/>
      <c r="V149" s="440"/>
      <c r="W149" s="440"/>
      <c r="X149" s="440"/>
      <c r="Y149" s="440"/>
      <c r="Z149" s="440"/>
      <c r="AA149" s="440"/>
      <c r="AB149" s="440"/>
      <c r="AC149" s="440"/>
      <c r="AD149" s="440"/>
      <c r="AE149" s="440"/>
      <c r="AF149" s="350"/>
      <c r="AI149" s="352" t="s">
        <v>96</v>
      </c>
    </row>
    <row r="150" spans="1:35" s="352" customFormat="1" x14ac:dyDescent="0.2">
      <c r="A150" s="320" t="str">
        <f>IFERROR(VLOOKUP(B150,mapping_one_neo!A:B,2,FALSE),"")</f>
        <v>Outsourced business systems AU=0ADJ16</v>
      </c>
      <c r="B150" s="388" t="s">
        <v>755</v>
      </c>
      <c r="C150" s="353" t="s">
        <v>157</v>
      </c>
      <c r="E150" s="356">
        <v>0</v>
      </c>
      <c r="G150" s="356">
        <v>0</v>
      </c>
      <c r="H150" s="356">
        <v>0</v>
      </c>
      <c r="I150" s="356">
        <v>0</v>
      </c>
      <c r="J150" s="356">
        <v>0</v>
      </c>
      <c r="K150" s="356">
        <v>0</v>
      </c>
      <c r="L150" s="356">
        <v>0</v>
      </c>
      <c r="M150" s="356">
        <v>0</v>
      </c>
      <c r="N150" s="356">
        <v>0</v>
      </c>
      <c r="O150" s="356">
        <v>0</v>
      </c>
      <c r="P150" s="356">
        <v>0</v>
      </c>
      <c r="Q150" s="356">
        <v>0</v>
      </c>
      <c r="R150" s="356">
        <v>0</v>
      </c>
      <c r="S150" s="345"/>
      <c r="T150" s="361"/>
      <c r="U150" s="440" t="str">
        <f>IFERROR(VLOOKUP($B150,[4]Feuil1!$A:$AD,20,FALSE),"")</f>
        <v/>
      </c>
      <c r="V150" s="440" t="s">
        <v>776</v>
      </c>
      <c r="W150" s="440" t="s">
        <v>776</v>
      </c>
      <c r="X150" s="440" t="s">
        <v>776</v>
      </c>
      <c r="Y150" s="440" t="s">
        <v>776</v>
      </c>
      <c r="Z150" s="440" t="s">
        <v>776</v>
      </c>
      <c r="AA150" s="440" t="s">
        <v>776</v>
      </c>
      <c r="AB150" s="440" t="s">
        <v>776</v>
      </c>
      <c r="AC150" s="440" t="s">
        <v>776</v>
      </c>
      <c r="AD150" s="440" t="s">
        <v>776</v>
      </c>
      <c r="AE150" s="440" t="s">
        <v>776</v>
      </c>
      <c r="AF150" s="355"/>
      <c r="AG150" s="334"/>
    </row>
    <row r="151" spans="1:35" s="352" customFormat="1" x14ac:dyDescent="0.2">
      <c r="A151" s="320" t="str">
        <f>IFERROR(VLOOKUP(B151,mapping_one_neo!A:B,2,FALSE),"")</f>
        <v>Outsourced business systems AU=0ADJ16</v>
      </c>
      <c r="B151" s="388" t="s">
        <v>98</v>
      </c>
      <c r="C151" s="353" t="s">
        <v>157</v>
      </c>
      <c r="E151" s="356">
        <v>-18</v>
      </c>
      <c r="G151" s="419">
        <v>-1.5</v>
      </c>
      <c r="H151" s="419">
        <v>-1.5</v>
      </c>
      <c r="I151" s="419">
        <v>-1.5</v>
      </c>
      <c r="J151" s="419">
        <v>-1.5</v>
      </c>
      <c r="K151" s="419">
        <v>-1.5</v>
      </c>
      <c r="L151" s="419">
        <v>-1.5</v>
      </c>
      <c r="M151" s="419">
        <v>-1.5</v>
      </c>
      <c r="N151" s="419">
        <v>-1.5</v>
      </c>
      <c r="O151" s="419">
        <v>-1.5</v>
      </c>
      <c r="P151" s="419">
        <v>-1.5</v>
      </c>
      <c r="Q151" s="419">
        <v>-1.5</v>
      </c>
      <c r="R151" s="419">
        <v>-1.5</v>
      </c>
      <c r="S151" s="345"/>
      <c r="T151" s="361"/>
      <c r="U151" s="440">
        <f>IFERROR(VLOOKUP($B151,[4]Feuil1!$A:$AD,20,FALSE),"")</f>
        <v>-19.25</v>
      </c>
      <c r="V151" s="440"/>
      <c r="W151" s="440"/>
      <c r="X151" s="440"/>
      <c r="Y151" s="440"/>
      <c r="Z151" s="440">
        <v>-19.25</v>
      </c>
      <c r="AA151" s="440"/>
      <c r="AB151" s="440"/>
      <c r="AC151" s="440"/>
      <c r="AD151" s="440"/>
      <c r="AE151" s="440">
        <v>-19.25</v>
      </c>
      <c r="AF151" s="355"/>
      <c r="AG151" s="334"/>
      <c r="AI151" s="352" t="s">
        <v>831</v>
      </c>
    </row>
    <row r="152" spans="1:35" s="352" customFormat="1" x14ac:dyDescent="0.2">
      <c r="A152" s="320" t="str">
        <f>IFERROR(VLOOKUP(B152,mapping_one_neo!A:B,2,FALSE),"")</f>
        <v/>
      </c>
      <c r="B152" s="388" t="s">
        <v>833</v>
      </c>
      <c r="C152" s="353" t="s">
        <v>157</v>
      </c>
      <c r="E152" s="356"/>
      <c r="G152" s="419"/>
      <c r="H152" s="419"/>
      <c r="I152" s="419"/>
      <c r="J152" s="419"/>
      <c r="K152" s="419"/>
      <c r="L152" s="419"/>
      <c r="M152" s="419"/>
      <c r="N152" s="419"/>
      <c r="O152" s="419"/>
      <c r="P152" s="419"/>
      <c r="Q152" s="419"/>
      <c r="R152" s="419"/>
      <c r="S152" s="345"/>
      <c r="T152" s="361"/>
      <c r="U152" s="440">
        <f>IFERROR(VLOOKUP($B152,[4]Feuil1!$A:$AD,20,FALSE),"")</f>
        <v>-0.63800000000000001</v>
      </c>
      <c r="V152" s="440" t="s">
        <v>776</v>
      </c>
      <c r="W152" s="440" t="s">
        <v>776</v>
      </c>
      <c r="X152" s="440" t="s">
        <v>776</v>
      </c>
      <c r="Y152" s="440" t="s">
        <v>776</v>
      </c>
      <c r="Z152" s="440">
        <v>0.6</v>
      </c>
      <c r="AA152" s="440" t="s">
        <v>776</v>
      </c>
      <c r="AB152" s="440" t="s">
        <v>776</v>
      </c>
      <c r="AC152" s="440" t="s">
        <v>776</v>
      </c>
      <c r="AD152" s="440" t="s">
        <v>776</v>
      </c>
      <c r="AE152" s="440" t="s">
        <v>776</v>
      </c>
      <c r="AF152" s="355"/>
      <c r="AG152" s="334"/>
      <c r="AI152" s="352" t="s">
        <v>107</v>
      </c>
    </row>
    <row r="153" spans="1:35" s="352" customFormat="1" x14ac:dyDescent="0.2">
      <c r="A153" s="320" t="str">
        <f>IFERROR(VLOOKUP(B153,mapping_one_neo!A:B,2,FALSE),"")</f>
        <v>Computer equipment maintenance/service AU=0ADJ16</v>
      </c>
      <c r="B153" s="388" t="s">
        <v>99</v>
      </c>
      <c r="C153" s="353">
        <v>615620</v>
      </c>
      <c r="E153" s="356">
        <v>-0.61181084444444411</v>
      </c>
      <c r="G153" s="419">
        <v>0</v>
      </c>
      <c r="H153" s="419">
        <v>0</v>
      </c>
      <c r="I153" s="419">
        <v>0</v>
      </c>
      <c r="J153" s="419">
        <v>0</v>
      </c>
      <c r="K153" s="419">
        <v>0</v>
      </c>
      <c r="L153" s="419">
        <v>0</v>
      </c>
      <c r="M153" s="419">
        <v>-0.101968474074074</v>
      </c>
      <c r="N153" s="419">
        <v>-0.101968474074074</v>
      </c>
      <c r="O153" s="419">
        <v>-0.101968474074074</v>
      </c>
      <c r="P153" s="419">
        <v>-0.101968474074074</v>
      </c>
      <c r="Q153" s="419">
        <v>-0.101968474074074</v>
      </c>
      <c r="R153" s="419">
        <v>-0.101968474074074</v>
      </c>
      <c r="S153" s="345"/>
      <c r="T153" s="361"/>
      <c r="U153" s="440">
        <f>IFERROR(VLOOKUP($B153,[4]Feuil1!$A:$AD,20,FALSE),"")</f>
        <v>-0.65</v>
      </c>
      <c r="V153" s="440"/>
      <c r="W153" s="440"/>
      <c r="X153" s="440"/>
      <c r="Y153" s="440"/>
      <c r="Z153" s="440">
        <v>-0.65</v>
      </c>
      <c r="AA153" s="440"/>
      <c r="AB153" s="440"/>
      <c r="AC153" s="440"/>
      <c r="AD153" s="440"/>
      <c r="AE153" s="440">
        <v>-0.65</v>
      </c>
      <c r="AF153" s="355"/>
      <c r="AG153" s="334"/>
      <c r="AI153" s="352" t="s">
        <v>108</v>
      </c>
    </row>
    <row r="154" spans="1:35" s="352" customFormat="1" x14ac:dyDescent="0.2">
      <c r="A154" s="320" t="str">
        <f>IFERROR(VLOOKUP(B154,mapping_one_neo!A:B,2,FALSE),"")</f>
        <v>Outsourced business systems AU=0ADJ16</v>
      </c>
      <c r="B154" s="388" t="s">
        <v>100</v>
      </c>
      <c r="C154" s="353" t="s">
        <v>157</v>
      </c>
      <c r="E154" s="356">
        <v>-5.7623066666666656</v>
      </c>
      <c r="G154" s="419">
        <v>-0.47642000000000029</v>
      </c>
      <c r="H154" s="419">
        <v>-0.44569000000000059</v>
      </c>
      <c r="I154" s="419">
        <v>-0.4764199999999994</v>
      </c>
      <c r="J154" s="419">
        <v>-0.46104999999999863</v>
      </c>
      <c r="K154" s="419">
        <v>-0.47642000000000095</v>
      </c>
      <c r="L154" s="419">
        <v>-0.46106000000000025</v>
      </c>
      <c r="M154" s="419">
        <v>-0.4916666666666667</v>
      </c>
      <c r="N154" s="419">
        <v>-0.4916666666666667</v>
      </c>
      <c r="O154" s="419">
        <v>-0.4916666666666667</v>
      </c>
      <c r="P154" s="419">
        <v>-0.4916666666666667</v>
      </c>
      <c r="Q154" s="419">
        <v>-0.4916666666666667</v>
      </c>
      <c r="R154" s="419">
        <v>-0.50691333333333199</v>
      </c>
      <c r="S154" s="345"/>
      <c r="T154" s="361"/>
      <c r="U154" s="440">
        <f>IFERROR(VLOOKUP($B154,[4]Feuil1!$A:$AD,20,FALSE),"")</f>
        <v>-4.0660700000000034</v>
      </c>
      <c r="V154" s="440"/>
      <c r="W154" s="440"/>
      <c r="X154" s="440"/>
      <c r="Y154" s="440"/>
      <c r="Z154" s="440">
        <v>-4.0660700000000034</v>
      </c>
      <c r="AA154" s="440"/>
      <c r="AB154" s="440"/>
      <c r="AC154" s="440"/>
      <c r="AD154" s="440"/>
      <c r="AE154" s="440">
        <v>-4.0660700000000034</v>
      </c>
      <c r="AF154" s="355"/>
      <c r="AG154" s="334"/>
      <c r="AI154" s="352" t="s">
        <v>109</v>
      </c>
    </row>
    <row r="155" spans="1:35" s="352" customFormat="1" x14ac:dyDescent="0.2">
      <c r="A155" s="320" t="str">
        <f>IFERROR(VLOOKUP(B155,mapping_one_neo!A:B,2,FALSE),"")</f>
        <v>Outsourced business systems AU=0ADJ16</v>
      </c>
      <c r="B155" s="388" t="s">
        <v>101</v>
      </c>
      <c r="C155" s="353" t="s">
        <v>157</v>
      </c>
      <c r="E155" s="356">
        <v>-29.459999999999994</v>
      </c>
      <c r="G155" s="419">
        <v>-2.3999999999999995</v>
      </c>
      <c r="H155" s="419">
        <v>-2.5100000000000002</v>
      </c>
      <c r="I155" s="419">
        <v>-2.4550000000000001</v>
      </c>
      <c r="J155" s="419">
        <v>-2.4550000000000001</v>
      </c>
      <c r="K155" s="419">
        <v>-2.4550000000000001</v>
      </c>
      <c r="L155" s="419">
        <v>-2.4550000000000001</v>
      </c>
      <c r="M155" s="419">
        <v>-2.4550000000000001</v>
      </c>
      <c r="N155" s="419">
        <v>-2.4550000000000001</v>
      </c>
      <c r="O155" s="419">
        <v>-2.4550000000000001</v>
      </c>
      <c r="P155" s="419">
        <v>-2.4550000000000001</v>
      </c>
      <c r="Q155" s="419">
        <v>-2.4550000000000001</v>
      </c>
      <c r="R155" s="419">
        <v>-2.4550000000000001</v>
      </c>
      <c r="S155" s="345"/>
      <c r="T155" s="361"/>
      <c r="U155" s="440">
        <f>IFERROR(VLOOKUP($B155,[4]Feuil1!$A:$AD,20,FALSE),"")</f>
        <v>-27.5</v>
      </c>
      <c r="V155" s="440"/>
      <c r="W155" s="440"/>
      <c r="X155" s="440"/>
      <c r="Y155" s="440"/>
      <c r="Z155" s="440">
        <v>-27.5</v>
      </c>
      <c r="AA155" s="440"/>
      <c r="AB155" s="440"/>
      <c r="AC155" s="440"/>
      <c r="AD155" s="440"/>
      <c r="AE155" s="440">
        <v>-27.5</v>
      </c>
      <c r="AF155" s="355"/>
      <c r="AG155" s="334" t="s">
        <v>134</v>
      </c>
      <c r="AI155" s="352" t="s">
        <v>110</v>
      </c>
    </row>
    <row r="156" spans="1:35" s="352" customFormat="1" x14ac:dyDescent="0.2">
      <c r="A156" s="320" t="str">
        <f>IFERROR(VLOOKUP(B156,mapping_one_neo!A:B,2,FALSE),"")</f>
        <v>Outsourced business systems AU=0ADJ16</v>
      </c>
      <c r="B156" s="388" t="s">
        <v>102</v>
      </c>
      <c r="C156" s="353" t="s">
        <v>157</v>
      </c>
      <c r="E156" s="356">
        <v>-6.9993333333333316</v>
      </c>
      <c r="G156" s="419">
        <v>-0.58299999999999996</v>
      </c>
      <c r="H156" s="419">
        <v>-0.58299999999999996</v>
      </c>
      <c r="I156" s="419">
        <v>-0.58299999999999996</v>
      </c>
      <c r="J156" s="419">
        <v>-0.58299999999999996</v>
      </c>
      <c r="K156" s="419">
        <v>-0.58300000000000018</v>
      </c>
      <c r="L156" s="419">
        <v>-0.58299999999999974</v>
      </c>
      <c r="M156" s="419">
        <v>-0.58299999999999996</v>
      </c>
      <c r="N156" s="419">
        <v>-0.58299999999999996</v>
      </c>
      <c r="O156" s="419">
        <v>-0.58299999999999996</v>
      </c>
      <c r="P156" s="419">
        <v>-0.58299999999999996</v>
      </c>
      <c r="Q156" s="419">
        <v>-0.58299999999999996</v>
      </c>
      <c r="R156" s="419">
        <v>-0.58633333333333104</v>
      </c>
      <c r="S156" s="345"/>
      <c r="T156" s="361"/>
      <c r="U156" s="440">
        <f>IFERROR(VLOOKUP($B156,[4]Feuil1!$A:$AD,20,FALSE),"")</f>
        <v>-5.7323599999999999</v>
      </c>
      <c r="V156" s="440"/>
      <c r="W156" s="440"/>
      <c r="X156" s="440"/>
      <c r="Y156" s="440"/>
      <c r="Z156" s="440">
        <v>-5.7323599999999999</v>
      </c>
      <c r="AA156" s="440"/>
      <c r="AB156" s="440"/>
      <c r="AC156" s="440"/>
      <c r="AD156" s="440"/>
      <c r="AE156" s="440">
        <v>-5.7323599999999999</v>
      </c>
      <c r="AF156" s="355"/>
      <c r="AG156" s="334"/>
      <c r="AI156" s="352" t="s">
        <v>111</v>
      </c>
    </row>
    <row r="157" spans="1:35" s="352" customFormat="1" x14ac:dyDescent="0.2">
      <c r="A157" s="320" t="str">
        <f>IFERROR(VLOOKUP(B157,mapping_one_neo!A:B,2,FALSE),"")</f>
        <v>Outsourced business systems AU=0ADJ16</v>
      </c>
      <c r="B157" s="388" t="s">
        <v>103</v>
      </c>
      <c r="C157" s="353">
        <v>681202</v>
      </c>
      <c r="E157" s="356">
        <v>0</v>
      </c>
      <c r="G157" s="419">
        <v>0</v>
      </c>
      <c r="H157" s="419">
        <v>0</v>
      </c>
      <c r="I157" s="419">
        <v>0</v>
      </c>
      <c r="J157" s="419">
        <v>0</v>
      </c>
      <c r="K157" s="419">
        <v>0</v>
      </c>
      <c r="L157" s="419">
        <v>0</v>
      </c>
      <c r="M157" s="419">
        <v>0</v>
      </c>
      <c r="N157" s="419">
        <v>0</v>
      </c>
      <c r="O157" s="419">
        <v>0</v>
      </c>
      <c r="P157" s="419">
        <v>0</v>
      </c>
      <c r="Q157" s="419">
        <v>0</v>
      </c>
      <c r="R157" s="419">
        <v>0</v>
      </c>
      <c r="S157" s="345"/>
      <c r="T157" s="361"/>
      <c r="U157" s="440"/>
      <c r="V157" s="440"/>
      <c r="W157" s="440"/>
      <c r="X157" s="440"/>
      <c r="Y157" s="440"/>
      <c r="Z157" s="440"/>
      <c r="AA157" s="440"/>
      <c r="AB157" s="440"/>
      <c r="AC157" s="440"/>
      <c r="AD157" s="440"/>
      <c r="AE157" s="440"/>
      <c r="AF157" s="355"/>
      <c r="AG157" s="334"/>
      <c r="AI157" s="352" t="s">
        <v>112</v>
      </c>
    </row>
    <row r="158" spans="1:35" s="352" customFormat="1" x14ac:dyDescent="0.2">
      <c r="A158" s="320" t="str">
        <f>IFERROR(VLOOKUP(B158,mapping_one_neo!A:B,2,FALSE),"")</f>
        <v>Outsourced business systems AU=0ADJ16</v>
      </c>
      <c r="B158" s="388" t="s">
        <v>104</v>
      </c>
      <c r="C158" s="353">
        <v>615625</v>
      </c>
      <c r="E158" s="356">
        <v>-3</v>
      </c>
      <c r="G158" s="419">
        <v>-0.25</v>
      </c>
      <c r="H158" s="419">
        <v>-0.25</v>
      </c>
      <c r="I158" s="419">
        <v>-0.25</v>
      </c>
      <c r="J158" s="419">
        <v>-0.25</v>
      </c>
      <c r="K158" s="419">
        <v>-0.25</v>
      </c>
      <c r="L158" s="419">
        <v>-0.25</v>
      </c>
      <c r="M158" s="419">
        <v>-0.25</v>
      </c>
      <c r="N158" s="419">
        <v>-0.25</v>
      </c>
      <c r="O158" s="419">
        <v>-0.25</v>
      </c>
      <c r="P158" s="419">
        <v>-0.25</v>
      </c>
      <c r="Q158" s="419">
        <v>-0.25</v>
      </c>
      <c r="R158" s="419">
        <v>-0.25</v>
      </c>
      <c r="S158" s="345"/>
      <c r="T158" s="361"/>
      <c r="U158" s="440"/>
      <c r="V158" s="440"/>
      <c r="W158" s="440">
        <v>-4.125</v>
      </c>
      <c r="X158" s="440"/>
      <c r="Y158" s="440"/>
      <c r="Z158" s="440">
        <v>-4.125</v>
      </c>
      <c r="AA158" s="440"/>
      <c r="AB158" s="440"/>
      <c r="AC158" s="440"/>
      <c r="AD158" s="440"/>
      <c r="AE158" s="440">
        <v>-4.125</v>
      </c>
      <c r="AF158" s="355"/>
      <c r="AG158" s="334"/>
      <c r="AI158" s="387"/>
    </row>
    <row r="159" spans="1:35" s="352" customFormat="1" x14ac:dyDescent="0.2">
      <c r="A159" s="320" t="str">
        <f>IFERROR(VLOOKUP(B159,mapping_one_neo!A:B,2,FALSE),"")</f>
        <v>WPP Business Services/IBM cost allocation</v>
      </c>
      <c r="B159" s="480" t="s">
        <v>105</v>
      </c>
      <c r="C159" s="353">
        <v>622617</v>
      </c>
      <c r="E159" s="356">
        <v>-22.998333333333335</v>
      </c>
      <c r="G159" s="419">
        <v>-1.9166666666666667</v>
      </c>
      <c r="H159" s="419">
        <v>-1.9163333333333334</v>
      </c>
      <c r="I159" s="419">
        <v>-1.9163333333333337</v>
      </c>
      <c r="J159" s="419">
        <v>-1.9163333333333341</v>
      </c>
      <c r="K159" s="419">
        <v>-1.9163333333333332</v>
      </c>
      <c r="L159" s="419">
        <v>-1.9163333333333323</v>
      </c>
      <c r="M159" s="419">
        <v>-1.9166666666666667</v>
      </c>
      <c r="N159" s="419">
        <v>-1.9166666666666667</v>
      </c>
      <c r="O159" s="419">
        <v>-1.9166666666666667</v>
      </c>
      <c r="P159" s="419">
        <v>-1.9166666666666667</v>
      </c>
      <c r="Q159" s="419">
        <v>-1.9166666666666667</v>
      </c>
      <c r="R159" s="419">
        <v>-1.9166666666666667</v>
      </c>
      <c r="S159" s="345"/>
      <c r="T159" s="361"/>
      <c r="U159" s="440"/>
      <c r="V159" s="440"/>
      <c r="W159" s="440"/>
      <c r="X159" s="440">
        <v>-27.242416666666706</v>
      </c>
      <c r="Y159" s="440">
        <v>0</v>
      </c>
      <c r="Z159" s="440">
        <v>-27.242416666666706</v>
      </c>
      <c r="AA159" s="440"/>
      <c r="AB159" s="440"/>
      <c r="AC159" s="440"/>
      <c r="AD159" s="440"/>
      <c r="AE159" s="440">
        <v>-27.242416666666706</v>
      </c>
      <c r="AF159" s="355"/>
      <c r="AG159" s="334"/>
      <c r="AI159" s="387" t="s">
        <v>97</v>
      </c>
    </row>
    <row r="160" spans="1:35" s="387" customFormat="1" x14ac:dyDescent="0.2">
      <c r="A160" s="320">
        <f>IFERROR(VLOOKUP(B160,mapping_one_neo!A:B,2,FALSE),"")</f>
        <v>0</v>
      </c>
      <c r="B160" s="387" t="s">
        <v>106</v>
      </c>
      <c r="C160" s="392"/>
      <c r="E160" s="393">
        <v>-86.831784177777763</v>
      </c>
      <c r="G160" s="393">
        <v>-7.1260866666666667</v>
      </c>
      <c r="H160" s="393">
        <v>-7.205023333333334</v>
      </c>
      <c r="I160" s="393">
        <v>-7.1807533333333335</v>
      </c>
      <c r="J160" s="393">
        <v>-7.1653833333333328</v>
      </c>
      <c r="K160" s="393">
        <v>-7.1807533333333344</v>
      </c>
      <c r="L160" s="393">
        <v>-7.1653933333333324</v>
      </c>
      <c r="M160" s="393">
        <v>-7.298301807407408</v>
      </c>
      <c r="N160" s="393">
        <v>-7.298301807407408</v>
      </c>
      <c r="O160" s="393">
        <v>-7.298301807407408</v>
      </c>
      <c r="P160" s="393">
        <v>-7.298301807407408</v>
      </c>
      <c r="Q160" s="393">
        <v>-7.298301807407408</v>
      </c>
      <c r="R160" s="393">
        <v>-7.3168818074074045</v>
      </c>
      <c r="S160" s="349"/>
      <c r="T160" s="346"/>
      <c r="U160" s="440">
        <f>IFERROR(VLOOKUP($B160,[4]Feuil1!$A:$AD,20,FALSE),"")</f>
        <v>-57.83643</v>
      </c>
      <c r="V160" s="440"/>
      <c r="W160" s="440">
        <v>-4.125</v>
      </c>
      <c r="X160" s="440"/>
      <c r="Y160" s="440"/>
      <c r="Z160" s="440">
        <v>-89.203846666666706</v>
      </c>
      <c r="AA160" s="440"/>
      <c r="AB160" s="440"/>
      <c r="AC160" s="440"/>
      <c r="AD160" s="440"/>
      <c r="AE160" s="440">
        <v>-89.203846666666706</v>
      </c>
      <c r="AF160" s="394"/>
      <c r="AG160" s="334"/>
      <c r="AI160" s="352" t="s">
        <v>832</v>
      </c>
    </row>
    <row r="161" spans="1:35" s="387" customFormat="1" x14ac:dyDescent="0.2">
      <c r="A161" s="320" t="str">
        <f>IFERROR(VLOOKUP(B161,mapping_one_neo!A:B,2,FALSE),"")</f>
        <v/>
      </c>
      <c r="C161" s="353"/>
      <c r="E161" s="397"/>
      <c r="G161" s="397"/>
      <c r="H161" s="397"/>
      <c r="I161" s="397"/>
      <c r="J161" s="397"/>
      <c r="K161" s="397"/>
      <c r="L161" s="397"/>
      <c r="M161" s="397"/>
      <c r="N161" s="397"/>
      <c r="O161" s="397"/>
      <c r="P161" s="397"/>
      <c r="Q161" s="397"/>
      <c r="R161" s="397"/>
      <c r="S161" s="349"/>
      <c r="T161" s="346"/>
      <c r="U161" s="440" t="str">
        <f>IFERROR(VLOOKUP($B161,[4]Feuil1!$A:$AD,20,FALSE),"")</f>
        <v/>
      </c>
      <c r="V161" s="440" t="s">
        <v>776</v>
      </c>
      <c r="W161" s="440" t="s">
        <v>776</v>
      </c>
      <c r="X161" s="440" t="s">
        <v>776</v>
      </c>
      <c r="Y161" s="440" t="s">
        <v>776</v>
      </c>
      <c r="Z161" s="440" t="s">
        <v>776</v>
      </c>
      <c r="AA161" s="440" t="s">
        <v>776</v>
      </c>
      <c r="AB161" s="440" t="s">
        <v>776</v>
      </c>
      <c r="AC161" s="440" t="s">
        <v>776</v>
      </c>
      <c r="AD161" s="440" t="s">
        <v>776</v>
      </c>
      <c r="AE161" s="440" t="s">
        <v>776</v>
      </c>
      <c r="AF161" s="394"/>
      <c r="AG161" s="334"/>
      <c r="AI161" s="352" t="s">
        <v>98</v>
      </c>
    </row>
    <row r="162" spans="1:35" s="352" customFormat="1" x14ac:dyDescent="0.2">
      <c r="A162" s="320" t="str">
        <f>IFERROR(VLOOKUP(B162,mapping_one_neo!A:B,2,FALSE),"")</f>
        <v>Stationery/art &amp; materials AU=0.INP</v>
      </c>
      <c r="B162" s="388" t="s">
        <v>107</v>
      </c>
      <c r="C162" s="353" t="s">
        <v>158</v>
      </c>
      <c r="E162" s="356">
        <v>-1.5</v>
      </c>
      <c r="G162" s="419">
        <v>-0.125</v>
      </c>
      <c r="H162" s="419">
        <v>-0.125</v>
      </c>
      <c r="I162" s="419">
        <v>-0.125</v>
      </c>
      <c r="J162" s="419">
        <v>-0.125</v>
      </c>
      <c r="K162" s="419">
        <v>-0.125</v>
      </c>
      <c r="L162" s="419">
        <v>-0.125</v>
      </c>
      <c r="M162" s="419">
        <v>-0.125</v>
      </c>
      <c r="N162" s="419">
        <v>-0.125</v>
      </c>
      <c r="O162" s="419">
        <v>-0.125</v>
      </c>
      <c r="P162" s="419">
        <v>-0.125</v>
      </c>
      <c r="Q162" s="419">
        <v>-0.125</v>
      </c>
      <c r="R162" s="419">
        <v>-0.125</v>
      </c>
      <c r="S162" s="345"/>
      <c r="T162" s="361"/>
      <c r="U162" s="440">
        <f>IFERROR(VLOOKUP($B162,[4]Feuil1!$A:$AD,20,FALSE),"")</f>
        <v>-1.2908299999999999</v>
      </c>
      <c r="V162" s="440"/>
      <c r="W162" s="440"/>
      <c r="X162" s="440"/>
      <c r="Y162" s="440"/>
      <c r="Z162" s="440">
        <v>-1.2908299999999999</v>
      </c>
      <c r="AA162" s="440"/>
      <c r="AB162" s="440"/>
      <c r="AC162" s="440"/>
      <c r="AD162" s="440">
        <v>0.53854325227559041</v>
      </c>
      <c r="AE162" s="440">
        <v>-0.75228674772440951</v>
      </c>
      <c r="AF162" s="355"/>
      <c r="AG162" s="334"/>
      <c r="AI162" s="352" t="s">
        <v>833</v>
      </c>
    </row>
    <row r="163" spans="1:35" s="352" customFormat="1" x14ac:dyDescent="0.2">
      <c r="A163" s="320" t="str">
        <f>IFERROR(VLOOKUP(B163,mapping_one_neo!A:B,2,FALSE),"")</f>
        <v>Software/hardware expenses</v>
      </c>
      <c r="B163" s="388" t="s">
        <v>108</v>
      </c>
      <c r="C163" s="353">
        <v>606420</v>
      </c>
      <c r="E163" s="356">
        <v>-3.9547024999999989</v>
      </c>
      <c r="G163" s="419">
        <v>-0.44634000000000001</v>
      </c>
      <c r="H163" s="419">
        <v>0</v>
      </c>
      <c r="I163" s="419">
        <v>-0.68500000000000005</v>
      </c>
      <c r="J163" s="419">
        <v>0</v>
      </c>
      <c r="K163" s="419">
        <v>0</v>
      </c>
      <c r="L163" s="419">
        <v>-3.0450000000000088E-2</v>
      </c>
      <c r="M163" s="419">
        <v>-1</v>
      </c>
      <c r="N163" s="419">
        <v>-0.35858250000000003</v>
      </c>
      <c r="O163" s="419">
        <v>-0.35858250000000003</v>
      </c>
      <c r="P163" s="419">
        <v>-0.35858250000000003</v>
      </c>
      <c r="Q163" s="419">
        <v>-0.35858250000000003</v>
      </c>
      <c r="R163" s="419">
        <v>-0.35858250000000003</v>
      </c>
      <c r="S163" s="345"/>
      <c r="T163" s="361"/>
      <c r="U163" s="440">
        <f>IFERROR(VLOOKUP($B163,[4]Feuil1!$A:$AD,20,FALSE),"")</f>
        <v>-0.34300000000000003</v>
      </c>
      <c r="V163" s="440"/>
      <c r="W163" s="440"/>
      <c r="X163" s="440"/>
      <c r="Y163" s="440">
        <v>-1.5</v>
      </c>
      <c r="Z163" s="440">
        <v>-1.843</v>
      </c>
      <c r="AA163" s="440"/>
      <c r="AB163" s="440"/>
      <c r="AC163" s="440"/>
      <c r="AD163" s="440"/>
      <c r="AE163" s="440">
        <v>-1.843</v>
      </c>
      <c r="AF163" s="355"/>
      <c r="AG163" s="334" t="s">
        <v>792</v>
      </c>
      <c r="AI163" s="352" t="s">
        <v>100</v>
      </c>
    </row>
    <row r="164" spans="1:35" s="352" customFormat="1" x14ac:dyDescent="0.2">
      <c r="A164" s="320" t="str">
        <f>IFERROR(VLOOKUP(B164,mapping_one_neo!A:B,2,FALSE),"")</f>
        <v>Stationery/art &amp; materials AU=0.INP</v>
      </c>
      <c r="B164" s="388" t="s">
        <v>109</v>
      </c>
      <c r="C164" s="353" t="s">
        <v>159</v>
      </c>
      <c r="E164" s="356">
        <v>-7.5</v>
      </c>
      <c r="G164" s="419">
        <v>-0.625</v>
      </c>
      <c r="H164" s="419">
        <v>-0.625</v>
      </c>
      <c r="I164" s="419">
        <v>-0.625</v>
      </c>
      <c r="J164" s="419">
        <v>-0.625</v>
      </c>
      <c r="K164" s="419">
        <v>-0.625</v>
      </c>
      <c r="L164" s="419">
        <v>-0.625</v>
      </c>
      <c r="M164" s="419">
        <v>-0.625</v>
      </c>
      <c r="N164" s="419">
        <v>-0.625</v>
      </c>
      <c r="O164" s="419">
        <v>-0.625</v>
      </c>
      <c r="P164" s="419">
        <v>-0.625</v>
      </c>
      <c r="Q164" s="419">
        <v>-0.625</v>
      </c>
      <c r="R164" s="419">
        <v>-0.625</v>
      </c>
      <c r="S164" s="345"/>
      <c r="T164" s="361"/>
      <c r="U164" s="440">
        <f>IFERROR(VLOOKUP($B164,[4]Feuil1!$A:$AD,20,FALSE),"")</f>
        <v>-6.95</v>
      </c>
      <c r="V164" s="440"/>
      <c r="W164" s="440"/>
      <c r="X164" s="440"/>
      <c r="Y164" s="440"/>
      <c r="Z164" s="440">
        <v>-6.95</v>
      </c>
      <c r="AA164" s="440"/>
      <c r="AB164" s="440"/>
      <c r="AC164" s="440"/>
      <c r="AD164" s="440"/>
      <c r="AE164" s="440">
        <v>-6.95</v>
      </c>
      <c r="AF164" s="355"/>
      <c r="AG164" s="334"/>
      <c r="AI164" s="352" t="s">
        <v>101</v>
      </c>
    </row>
    <row r="165" spans="1:35" s="352" customFormat="1" x14ac:dyDescent="0.2">
      <c r="A165" s="320" t="str">
        <f>IFERROR(VLOOKUP(B165,mapping_one_neo!A:B,2,FALSE),"")</f>
        <v>Other office costs AU=0.INP</v>
      </c>
      <c r="B165" s="388" t="s">
        <v>110</v>
      </c>
      <c r="C165" s="353">
        <v>658201</v>
      </c>
      <c r="E165" s="356">
        <v>-3.9603704333333338</v>
      </c>
      <c r="G165" s="419">
        <v>-0.37096289999999998</v>
      </c>
      <c r="H165" s="419">
        <v>-0.29503710000000005</v>
      </c>
      <c r="I165" s="419">
        <v>-0.33300000000000007</v>
      </c>
      <c r="J165" s="419">
        <v>-0.33299999999999996</v>
      </c>
      <c r="K165" s="419">
        <v>-0.33299999999999996</v>
      </c>
      <c r="L165" s="419">
        <v>-0.33300000000000018</v>
      </c>
      <c r="M165" s="419">
        <v>-0.33333333333333331</v>
      </c>
      <c r="N165" s="419">
        <v>-0.33333333333333331</v>
      </c>
      <c r="O165" s="419">
        <v>-0.33333333333333331</v>
      </c>
      <c r="P165" s="419">
        <v>-0.33333333333333331</v>
      </c>
      <c r="Q165" s="419">
        <v>-0.33333333333333331</v>
      </c>
      <c r="R165" s="419">
        <v>-0.29570376666666598</v>
      </c>
      <c r="S165" s="345"/>
      <c r="T165" s="361"/>
      <c r="U165" s="440">
        <f>IFERROR(VLOOKUP($B165,[4]Feuil1!$A:$AD,20,FALSE),"")</f>
        <v>-0.91666666666666663</v>
      </c>
      <c r="V165" s="440"/>
      <c r="W165" s="440"/>
      <c r="X165" s="440"/>
      <c r="Y165" s="440"/>
      <c r="Z165" s="440">
        <v>-0.91666666666666663</v>
      </c>
      <c r="AA165" s="440"/>
      <c r="AB165" s="440"/>
      <c r="AC165" s="440"/>
      <c r="AD165" s="440"/>
      <c r="AE165" s="440">
        <v>-0.91666666666666663</v>
      </c>
      <c r="AF165" s="355"/>
      <c r="AG165" s="334"/>
      <c r="AI165" s="387" t="s">
        <v>102</v>
      </c>
    </row>
    <row r="166" spans="1:35" s="352" customFormat="1" x14ac:dyDescent="0.2">
      <c r="A166" s="320" t="str">
        <f>IFERROR(VLOOKUP(B166,mapping_one_neo!A:B,2,FALSE),"")</f>
        <v>Other office costs AU=0.INP</v>
      </c>
      <c r="B166" s="388" t="s">
        <v>111</v>
      </c>
      <c r="C166" s="353">
        <v>681122</v>
      </c>
      <c r="E166" s="356">
        <v>-7.2424500000000016</v>
      </c>
      <c r="G166" s="419">
        <v>-0.54120000000000001</v>
      </c>
      <c r="H166" s="419">
        <v>-0.50627999999999995</v>
      </c>
      <c r="I166" s="419">
        <v>-0.54116999999999993</v>
      </c>
      <c r="J166" s="419">
        <v>-0.62921000000000005</v>
      </c>
      <c r="K166" s="419">
        <v>-0.63658999999999999</v>
      </c>
      <c r="L166" s="419">
        <v>-0.61274000000000006</v>
      </c>
      <c r="M166" s="419">
        <v>-0.62921000000000005</v>
      </c>
      <c r="N166" s="419">
        <v>-0.62921000000000005</v>
      </c>
      <c r="O166" s="419">
        <v>-0.62921000000000005</v>
      </c>
      <c r="P166" s="419">
        <v>-0.62921000000000005</v>
      </c>
      <c r="Q166" s="419">
        <v>-0.62921000000000005</v>
      </c>
      <c r="R166" s="419">
        <v>-0.62921000000000005</v>
      </c>
      <c r="S166" s="345"/>
      <c r="T166" s="361"/>
      <c r="U166" s="440">
        <f>IFERROR(VLOOKUP($B166,[4]Feuil1!$A:$AD,20,FALSE),"")</f>
        <v>-8.46373</v>
      </c>
      <c r="V166" s="440"/>
      <c r="W166" s="440"/>
      <c r="X166" s="440"/>
      <c r="Y166" s="440"/>
      <c r="Z166" s="440">
        <v>-8.46373</v>
      </c>
      <c r="AA166" s="440"/>
      <c r="AB166" s="440"/>
      <c r="AC166" s="440"/>
      <c r="AD166" s="440"/>
      <c r="AE166" s="440">
        <v>-8.46373</v>
      </c>
      <c r="AF166" s="355"/>
      <c r="AG166" s="334"/>
      <c r="AI166" s="387" t="s">
        <v>99</v>
      </c>
    </row>
    <row r="167" spans="1:35" s="387" customFormat="1" x14ac:dyDescent="0.2">
      <c r="A167" s="320">
        <f>IFERROR(VLOOKUP(B167,mapping_one_neo!A:B,2,FALSE),"")</f>
        <v>0</v>
      </c>
      <c r="B167" s="387" t="s">
        <v>112</v>
      </c>
      <c r="C167" s="353"/>
      <c r="E167" s="393">
        <v>-24.157522933333336</v>
      </c>
      <c r="G167" s="393">
        <v>-2.1085029</v>
      </c>
      <c r="H167" s="393">
        <v>-1.5513170999999999</v>
      </c>
      <c r="I167" s="393">
        <v>-2.3091699999999999</v>
      </c>
      <c r="J167" s="393">
        <v>-1.71221</v>
      </c>
      <c r="K167" s="393">
        <v>-1.71959</v>
      </c>
      <c r="L167" s="393">
        <v>-1.7261900000000003</v>
      </c>
      <c r="M167" s="393">
        <v>-2.7125433333333335</v>
      </c>
      <c r="N167" s="393">
        <v>-2.0711258333333333</v>
      </c>
      <c r="O167" s="393">
        <v>-2.0711258333333333</v>
      </c>
      <c r="P167" s="393">
        <v>-2.0711258333333333</v>
      </c>
      <c r="Q167" s="393">
        <v>-2.0711258333333333</v>
      </c>
      <c r="R167" s="393">
        <v>-2.0334962666666661</v>
      </c>
      <c r="S167" s="349"/>
      <c r="T167" s="346"/>
      <c r="U167" s="440">
        <f>IFERROR(VLOOKUP($B167,[4]Feuil1!$A:$AD,20,FALSE),"")</f>
        <v>-17.964226666666669</v>
      </c>
      <c r="V167" s="440"/>
      <c r="W167" s="440"/>
      <c r="X167" s="440"/>
      <c r="Y167" s="440">
        <v>-1.5</v>
      </c>
      <c r="Z167" s="440">
        <v>-19.464226666666665</v>
      </c>
      <c r="AA167" s="440"/>
      <c r="AB167" s="440"/>
      <c r="AC167" s="440"/>
      <c r="AD167" s="440">
        <v>0.53854325227559041</v>
      </c>
      <c r="AE167" s="440">
        <v>-18.925683414391074</v>
      </c>
      <c r="AF167" s="355"/>
      <c r="AG167" s="334"/>
      <c r="AI167" s="458" t="s">
        <v>103</v>
      </c>
    </row>
    <row r="168" spans="1:35" s="387" customFormat="1" x14ac:dyDescent="0.2">
      <c r="A168" s="320" t="str">
        <f>IFERROR(VLOOKUP(B168,mapping_one_neo!A:B,2,FALSE),"")</f>
        <v/>
      </c>
      <c r="C168" s="353"/>
      <c r="E168" s="397"/>
      <c r="G168" s="397"/>
      <c r="H168" s="397"/>
      <c r="I168" s="397"/>
      <c r="J168" s="397"/>
      <c r="K168" s="397"/>
      <c r="L168" s="397"/>
      <c r="M168" s="397"/>
      <c r="N168" s="397"/>
      <c r="O168" s="397"/>
      <c r="P168" s="397"/>
      <c r="Q168" s="397"/>
      <c r="R168" s="397"/>
      <c r="S168" s="349"/>
      <c r="T168" s="346"/>
      <c r="U168" s="440" t="str">
        <f>IFERROR(VLOOKUP($B168,[4]Feuil1!$A:$AD,20,FALSE),"")</f>
        <v/>
      </c>
      <c r="V168" s="440" t="s">
        <v>776</v>
      </c>
      <c r="W168" s="440" t="s">
        <v>776</v>
      </c>
      <c r="X168" s="440" t="s">
        <v>776</v>
      </c>
      <c r="Y168" s="440" t="s">
        <v>776</v>
      </c>
      <c r="Z168" s="440" t="s">
        <v>776</v>
      </c>
      <c r="AA168" s="440" t="s">
        <v>776</v>
      </c>
      <c r="AB168" s="440" t="s">
        <v>776</v>
      </c>
      <c r="AC168" s="440" t="s">
        <v>776</v>
      </c>
      <c r="AD168" s="440" t="s">
        <v>776</v>
      </c>
      <c r="AE168" s="440" t="s">
        <v>776</v>
      </c>
      <c r="AF168" s="394"/>
      <c r="AG168" s="334"/>
      <c r="AI168" s="400" t="s">
        <v>104</v>
      </c>
    </row>
    <row r="169" spans="1:35" s="458" customFormat="1" x14ac:dyDescent="0.2">
      <c r="A169" s="320" t="str">
        <f>IFERROR(VLOOKUP(B169,mapping_one_neo!A:B,2,FALSE),"")</f>
        <v>Other office costs AU=0.INP</v>
      </c>
      <c r="B169" s="483" t="s">
        <v>520</v>
      </c>
      <c r="C169" s="392"/>
      <c r="D169" s="387"/>
      <c r="E169" s="397"/>
      <c r="F169" s="387"/>
      <c r="G169" s="397"/>
      <c r="H169" s="397"/>
      <c r="I169" s="397"/>
      <c r="J169" s="397"/>
      <c r="K169" s="397"/>
      <c r="L169" s="397"/>
      <c r="M169" s="397"/>
      <c r="N169" s="397"/>
      <c r="O169" s="397"/>
      <c r="P169" s="397"/>
      <c r="Q169" s="397"/>
      <c r="R169" s="397"/>
      <c r="S169" s="349"/>
      <c r="T169" s="346"/>
      <c r="U169" s="440"/>
      <c r="V169" s="440"/>
      <c r="W169" s="440"/>
      <c r="X169" s="440"/>
      <c r="Y169" s="440"/>
      <c r="Z169" s="440"/>
      <c r="AA169" s="440">
        <v>19.106616420310839</v>
      </c>
      <c r="AB169" s="440"/>
      <c r="AC169" s="440"/>
      <c r="AD169" s="440"/>
      <c r="AE169" s="440">
        <v>19.106616420310839</v>
      </c>
      <c r="AF169" s="394"/>
      <c r="AG169" s="334"/>
      <c r="AI169" s="334" t="s">
        <v>834</v>
      </c>
    </row>
    <row r="170" spans="1:35" s="400" customFormat="1" x14ac:dyDescent="0.2">
      <c r="A170" s="320" t="str">
        <f>IFERROR(VLOOKUP(B170,mapping_one_neo!A:B,2,FALSE),"")</f>
        <v>vide</v>
      </c>
      <c r="B170" s="400" t="s">
        <v>113</v>
      </c>
      <c r="C170" s="402"/>
      <c r="E170" s="356">
        <v>-9.492231230702151</v>
      </c>
      <c r="G170" s="419">
        <v>-0.79101916666666661</v>
      </c>
      <c r="H170" s="419">
        <v>-0.79101916666666661</v>
      </c>
      <c r="I170" s="419">
        <v>-0.79101916666666661</v>
      </c>
      <c r="J170" s="419">
        <v>-0.79101916666666661</v>
      </c>
      <c r="K170" s="419">
        <v>-0.79101916666666661</v>
      </c>
      <c r="L170" s="419">
        <v>-0.79101916666666661</v>
      </c>
      <c r="M170" s="419">
        <v>-0.79101916666666661</v>
      </c>
      <c r="N170" s="419">
        <v>-0.79101916666666661</v>
      </c>
      <c r="O170" s="419">
        <v>-0.79101916666666661</v>
      </c>
      <c r="P170" s="419">
        <v>-0.79101916666666661</v>
      </c>
      <c r="Q170" s="419">
        <v>-0.79101916666666661</v>
      </c>
      <c r="R170" s="419">
        <v>-0.79102039736881802</v>
      </c>
      <c r="S170" s="345"/>
      <c r="T170" s="361"/>
      <c r="U170" s="440"/>
      <c r="V170" s="440"/>
      <c r="W170" s="440"/>
      <c r="X170" s="440">
        <v>-17.14166666666663</v>
      </c>
      <c r="Y170" s="440"/>
      <c r="Z170" s="440">
        <v>-17.14166666666663</v>
      </c>
      <c r="AA170" s="440"/>
      <c r="AB170" s="440"/>
      <c r="AC170" s="440"/>
      <c r="AD170" s="440"/>
      <c r="AE170" s="440">
        <v>-17.14166666666663</v>
      </c>
      <c r="AF170" s="403"/>
      <c r="AG170" s="334"/>
      <c r="AI170" s="334" t="s">
        <v>106</v>
      </c>
    </row>
    <row r="171" spans="1:35" x14ac:dyDescent="0.2">
      <c r="A171" s="320" t="str">
        <f>IFERROR(VLOOKUP(B171,mapping_one_neo!A:B,2,FALSE),"")</f>
        <v/>
      </c>
      <c r="J171" s="335">
        <v>0</v>
      </c>
      <c r="M171" s="335">
        <v>0</v>
      </c>
      <c r="S171" s="349"/>
      <c r="T171" s="346"/>
      <c r="U171" s="440" t="str">
        <f>IFERROR(VLOOKUP($B171,[4]Feuil1!$A:$AD,20,FALSE),"")</f>
        <v/>
      </c>
      <c r="V171" s="440" t="s">
        <v>776</v>
      </c>
      <c r="W171" s="440" t="s">
        <v>776</v>
      </c>
      <c r="X171" s="440" t="s">
        <v>776</v>
      </c>
      <c r="Y171" s="440" t="s">
        <v>776</v>
      </c>
      <c r="Z171" s="440" t="s">
        <v>776</v>
      </c>
      <c r="AA171" s="440" t="s">
        <v>776</v>
      </c>
      <c r="AB171" s="440" t="s">
        <v>776</v>
      </c>
      <c r="AC171" s="440" t="s">
        <v>776</v>
      </c>
      <c r="AD171" s="440" t="s">
        <v>776</v>
      </c>
      <c r="AE171" s="440" t="s">
        <v>776</v>
      </c>
      <c r="AF171" s="350"/>
    </row>
    <row r="172" spans="1:35" x14ac:dyDescent="0.2">
      <c r="A172" s="320">
        <f>IFERROR(VLOOKUP(B172,mapping_one_neo!A:B,2,FALSE),"")</f>
        <v>0</v>
      </c>
      <c r="B172" s="352" t="s">
        <v>114</v>
      </c>
      <c r="C172" s="353"/>
      <c r="E172" s="354">
        <v>-133.52886241588732</v>
      </c>
      <c r="G172" s="404">
        <v>-11.041608733333334</v>
      </c>
      <c r="H172" s="404">
        <v>-10.563359600000002</v>
      </c>
      <c r="I172" s="404">
        <v>-11.2969425</v>
      </c>
      <c r="J172" s="404">
        <v>-10.7846125</v>
      </c>
      <c r="K172" s="404">
        <v>-10.473662500000001</v>
      </c>
      <c r="L172" s="404">
        <v>-10.198602500000002</v>
      </c>
      <c r="M172" s="404">
        <v>-12.065687764197531</v>
      </c>
      <c r="N172" s="404">
        <v>-11.424270264197531</v>
      </c>
      <c r="O172" s="404">
        <v>-11.424270264197531</v>
      </c>
      <c r="P172" s="404">
        <v>-11.424270264197531</v>
      </c>
      <c r="Q172" s="404">
        <v>-11.424270264197531</v>
      </c>
      <c r="R172" s="404">
        <v>-11.407305261566346</v>
      </c>
      <c r="S172" s="349"/>
      <c r="T172" s="346"/>
      <c r="U172" s="440">
        <f>IFERROR(VLOOKUP($B172,[4]Feuil1!$A:$AD,20,FALSE),"")</f>
        <v>-85.001926666666662</v>
      </c>
      <c r="V172" s="440"/>
      <c r="W172" s="440">
        <v>-4.125</v>
      </c>
      <c r="X172" s="440">
        <v>-17.14166666666663</v>
      </c>
      <c r="Y172" s="440">
        <v>-2.9</v>
      </c>
      <c r="Z172" s="440">
        <v>-136.41101000000003</v>
      </c>
      <c r="AA172" s="440">
        <v>19.106616420310839</v>
      </c>
      <c r="AB172" s="440"/>
      <c r="AC172" s="440"/>
      <c r="AD172" s="440">
        <v>0.8975722713806592</v>
      </c>
      <c r="AE172" s="440">
        <v>-116.40682130830851</v>
      </c>
      <c r="AF172" s="403"/>
      <c r="AI172" s="334" t="s">
        <v>835</v>
      </c>
    </row>
    <row r="173" spans="1:35" x14ac:dyDescent="0.2">
      <c r="A173" s="320" t="str">
        <f>IFERROR(VLOOKUP(B173,mapping_one_neo!A:B,2,FALSE),"")</f>
        <v/>
      </c>
      <c r="J173" s="335">
        <v>0</v>
      </c>
      <c r="M173" s="335">
        <v>0</v>
      </c>
      <c r="S173" s="349"/>
      <c r="T173" s="346"/>
      <c r="U173" s="440" t="str">
        <f>IFERROR(VLOOKUP($B173,[4]Feuil1!$A:$AD,20,FALSE),"")</f>
        <v/>
      </c>
      <c r="V173" s="440" t="s">
        <v>776</v>
      </c>
      <c r="W173" s="440" t="s">
        <v>776</v>
      </c>
      <c r="X173" s="440" t="s">
        <v>776</v>
      </c>
      <c r="Y173" s="440" t="s">
        <v>776</v>
      </c>
      <c r="Z173" s="440" t="s">
        <v>776</v>
      </c>
      <c r="AA173" s="440" t="s">
        <v>776</v>
      </c>
      <c r="AB173" s="440" t="s">
        <v>776</v>
      </c>
      <c r="AC173" s="440" t="s">
        <v>776</v>
      </c>
      <c r="AD173" s="440" t="s">
        <v>776</v>
      </c>
      <c r="AE173" s="440" t="s">
        <v>776</v>
      </c>
      <c r="AF173" s="350"/>
      <c r="AI173" s="334" t="s">
        <v>113</v>
      </c>
    </row>
    <row r="174" spans="1:35" x14ac:dyDescent="0.2">
      <c r="A174" s="320" t="str">
        <f>IFERROR(VLOOKUP(B174,mapping_one_neo!A:B,2,FALSE),"")</f>
        <v/>
      </c>
      <c r="S174" s="349"/>
      <c r="T174" s="346"/>
      <c r="U174" s="440" t="str">
        <f>IFERROR(VLOOKUP($B174,[4]Feuil1!$A:$AD,20,FALSE),"")</f>
        <v/>
      </c>
      <c r="V174" s="440" t="s">
        <v>776</v>
      </c>
      <c r="W174" s="440" t="s">
        <v>776</v>
      </c>
      <c r="X174" s="440" t="s">
        <v>776</v>
      </c>
      <c r="Y174" s="440" t="s">
        <v>776</v>
      </c>
      <c r="Z174" s="440" t="s">
        <v>776</v>
      </c>
      <c r="AA174" s="440" t="s">
        <v>776</v>
      </c>
      <c r="AB174" s="440" t="s">
        <v>776</v>
      </c>
      <c r="AC174" s="440" t="s">
        <v>776</v>
      </c>
      <c r="AD174" s="440" t="s">
        <v>776</v>
      </c>
      <c r="AE174" s="440" t="s">
        <v>776</v>
      </c>
      <c r="AF174" s="350"/>
      <c r="AI174" s="352"/>
    </row>
    <row r="175" spans="1:35" x14ac:dyDescent="0.2">
      <c r="A175" s="320">
        <f>IFERROR(VLOOKUP(B175,mapping_one_neo!A:B,2,FALSE),"")</f>
        <v>0</v>
      </c>
      <c r="B175" s="352" t="s">
        <v>115</v>
      </c>
      <c r="S175" s="349"/>
      <c r="T175" s="346"/>
      <c r="U175" s="440"/>
      <c r="V175" s="440"/>
      <c r="W175" s="440"/>
      <c r="X175" s="440"/>
      <c r="Y175" s="440"/>
      <c r="Z175" s="440"/>
      <c r="AA175" s="440"/>
      <c r="AB175" s="440"/>
      <c r="AC175" s="440"/>
      <c r="AD175" s="440"/>
      <c r="AE175" s="440"/>
      <c r="AF175" s="350"/>
      <c r="AI175" s="352" t="s">
        <v>114</v>
      </c>
    </row>
    <row r="176" spans="1:35" s="352" customFormat="1" x14ac:dyDescent="0.2">
      <c r="A176" s="320" t="str">
        <f>IFERROR(VLOOKUP(B176,mapping_one_neo!A:B,2,FALSE),"")</f>
        <v>Insurance</v>
      </c>
      <c r="B176" s="352" t="s">
        <v>116</v>
      </c>
      <c r="C176" s="353" t="s">
        <v>160</v>
      </c>
      <c r="E176" s="356">
        <v>-0.69833333333333336</v>
      </c>
      <c r="G176" s="419">
        <v>-5.8000000000000003E-2</v>
      </c>
      <c r="H176" s="419">
        <v>-5.8000000000000003E-2</v>
      </c>
      <c r="I176" s="419">
        <v>-5.800000000000001E-2</v>
      </c>
      <c r="J176" s="419">
        <v>-5.7999999999999996E-2</v>
      </c>
      <c r="K176" s="419">
        <v>-5.8000000000000024E-2</v>
      </c>
      <c r="L176" s="419">
        <v>-5.7999999999999996E-2</v>
      </c>
      <c r="M176" s="419">
        <v>-5.8333333333333327E-2</v>
      </c>
      <c r="N176" s="419">
        <v>-5.8333333333333327E-2</v>
      </c>
      <c r="O176" s="419">
        <v>-5.8333333333333327E-2</v>
      </c>
      <c r="P176" s="419">
        <v>-5.8333333333333327E-2</v>
      </c>
      <c r="Q176" s="419">
        <v>-5.8333333333333327E-2</v>
      </c>
      <c r="R176" s="419">
        <v>-5.8666666666666603E-2</v>
      </c>
      <c r="S176" s="345"/>
      <c r="T176" s="361"/>
      <c r="U176" s="440"/>
      <c r="V176" s="440"/>
      <c r="W176" s="440"/>
      <c r="X176" s="440"/>
      <c r="Y176" s="440">
        <v>-4.375</v>
      </c>
      <c r="Z176" s="440">
        <v>-4.375</v>
      </c>
      <c r="AA176" s="440"/>
      <c r="AB176" s="440"/>
      <c r="AC176" s="440"/>
      <c r="AD176" s="440"/>
      <c r="AE176" s="440">
        <v>-4.375</v>
      </c>
      <c r="AF176" s="355"/>
      <c r="AG176" s="334"/>
    </row>
    <row r="177" spans="1:35" s="352" customFormat="1" x14ac:dyDescent="0.2">
      <c r="A177" s="320" t="str">
        <f>IFERROR(VLOOKUP(B177,mapping_one_neo!A:B,2,FALSE),"")</f>
        <v>Insurance</v>
      </c>
      <c r="B177" s="352" t="s">
        <v>117</v>
      </c>
      <c r="C177" s="353">
        <v>616021</v>
      </c>
      <c r="E177" s="356">
        <v>0</v>
      </c>
      <c r="G177" s="419">
        <v>0</v>
      </c>
      <c r="H177" s="419">
        <v>0</v>
      </c>
      <c r="I177" s="419">
        <v>0</v>
      </c>
      <c r="J177" s="419">
        <v>0</v>
      </c>
      <c r="K177" s="419">
        <v>0</v>
      </c>
      <c r="L177" s="419">
        <v>0</v>
      </c>
      <c r="M177" s="419">
        <v>0</v>
      </c>
      <c r="N177" s="419">
        <v>0</v>
      </c>
      <c r="O177" s="419">
        <v>0</v>
      </c>
      <c r="P177" s="419">
        <v>0</v>
      </c>
      <c r="Q177" s="419">
        <v>0</v>
      </c>
      <c r="R177" s="419">
        <v>0</v>
      </c>
      <c r="S177" s="345"/>
      <c r="T177" s="361"/>
      <c r="U177" s="440">
        <f>IFERROR(VLOOKUP($B177,[4]Feuil1!$A:$AD,20,FALSE),"")</f>
        <v>-0.26600000000000001</v>
      </c>
      <c r="V177" s="440"/>
      <c r="W177" s="440"/>
      <c r="X177" s="440"/>
      <c r="Y177" s="440"/>
      <c r="Z177" s="440">
        <v>-0.26600000000000001</v>
      </c>
      <c r="AA177" s="440"/>
      <c r="AB177" s="440"/>
      <c r="AC177" s="440"/>
      <c r="AD177" s="440"/>
      <c r="AE177" s="440">
        <v>-0.26600000000000001</v>
      </c>
      <c r="AF177" s="355"/>
      <c r="AG177" s="334"/>
      <c r="AI177" s="352" t="s">
        <v>115</v>
      </c>
    </row>
    <row r="178" spans="1:35" s="352" customFormat="1" x14ac:dyDescent="0.2">
      <c r="A178" s="320" t="str">
        <f>IFERROR(VLOOKUP(B178,mapping_one_neo!A:B,2,FALSE),"")</f>
        <v>Audit fees</v>
      </c>
      <c r="B178" s="352" t="s">
        <v>118</v>
      </c>
      <c r="C178" s="353">
        <v>622600</v>
      </c>
      <c r="E178" s="356">
        <v>-4</v>
      </c>
      <c r="G178" s="419">
        <v>-0.33333333333333331</v>
      </c>
      <c r="H178" s="419">
        <v>-0.33333333333333331</v>
      </c>
      <c r="I178" s="419">
        <v>-0.33333333333333337</v>
      </c>
      <c r="J178" s="419">
        <v>-0.33333333333333326</v>
      </c>
      <c r="K178" s="419">
        <v>-0.33333333333333326</v>
      </c>
      <c r="L178" s="419">
        <v>-0.33333333333333326</v>
      </c>
      <c r="M178" s="419">
        <v>-0.33333333333333326</v>
      </c>
      <c r="N178" s="419">
        <v>-0.33333333333333348</v>
      </c>
      <c r="O178" s="419">
        <v>-0.33333333333333331</v>
      </c>
      <c r="P178" s="419">
        <v>-0.33333333333333331</v>
      </c>
      <c r="Q178" s="419">
        <v>-0.33333333333333331</v>
      </c>
      <c r="R178" s="419">
        <v>-0.33333333333333331</v>
      </c>
      <c r="S178" s="345"/>
      <c r="T178" s="361"/>
      <c r="U178" s="440"/>
      <c r="V178" s="440">
        <v>-1.1478699999999999</v>
      </c>
      <c r="W178" s="440">
        <v>-3.666666666666663</v>
      </c>
      <c r="X178" s="440"/>
      <c r="Y178" s="440"/>
      <c r="Z178" s="440">
        <v>-4.8145366666666627</v>
      </c>
      <c r="AA178" s="440"/>
      <c r="AB178" s="440"/>
      <c r="AC178" s="440"/>
      <c r="AD178" s="440"/>
      <c r="AE178" s="440">
        <v>-4.8145366666666627</v>
      </c>
      <c r="AF178" s="355"/>
      <c r="AG178" s="334"/>
      <c r="AI178" s="352" t="s">
        <v>116</v>
      </c>
    </row>
    <row r="179" spans="1:35" s="352" customFormat="1" x14ac:dyDescent="0.2">
      <c r="A179" s="320" t="str">
        <f>IFERROR(VLOOKUP(B179,mapping_one_neo!A:B,2,FALSE),"")</f>
        <v>Other finance &amp; general costs</v>
      </c>
      <c r="B179" s="482" t="s">
        <v>119</v>
      </c>
      <c r="C179" s="353">
        <v>618200</v>
      </c>
      <c r="E179" s="356">
        <v>-15.28218</v>
      </c>
      <c r="G179" s="419">
        <v>-0.86299999999999999</v>
      </c>
      <c r="H179" s="419">
        <v>-0.625</v>
      </c>
      <c r="I179" s="419">
        <v>-0.625</v>
      </c>
      <c r="J179" s="419">
        <v>-0.625</v>
      </c>
      <c r="K179" s="419">
        <v>-0.60273999999999983</v>
      </c>
      <c r="L179" s="419">
        <v>-0.61644000000000032</v>
      </c>
      <c r="M179" s="419">
        <v>-0.625</v>
      </c>
      <c r="N179" s="419">
        <v>-0.625</v>
      </c>
      <c r="O179" s="419">
        <v>-0.625</v>
      </c>
      <c r="P179" s="419">
        <v>-0.625</v>
      </c>
      <c r="Q179" s="419">
        <v>-0.625</v>
      </c>
      <c r="R179" s="419">
        <v>-8.1999999999999993</v>
      </c>
      <c r="S179" s="345"/>
      <c r="T179" s="361"/>
      <c r="U179" s="440">
        <v>-6.8612599999999997</v>
      </c>
      <c r="V179" s="440"/>
      <c r="W179" s="440"/>
      <c r="X179" s="440"/>
      <c r="Y179" s="440">
        <v>0</v>
      </c>
      <c r="Z179" s="440">
        <v>-6.8612599999999997</v>
      </c>
      <c r="AA179" s="440"/>
      <c r="AB179" s="440"/>
      <c r="AC179" s="440"/>
      <c r="AD179" s="440"/>
      <c r="AE179" s="440">
        <v>-6.8612599999999997</v>
      </c>
      <c r="AF179" s="355"/>
      <c r="AG179" s="334"/>
      <c r="AI179" s="352" t="s">
        <v>117</v>
      </c>
    </row>
    <row r="180" spans="1:35" s="352" customFormat="1" x14ac:dyDescent="0.2">
      <c r="A180" s="320" t="str">
        <f>IFERROR(VLOOKUP(B180,mapping_one_neo!A:B,2,FALSE),"")</f>
        <v>Bank charges</v>
      </c>
      <c r="B180" s="352" t="s">
        <v>120</v>
      </c>
      <c r="C180" s="353">
        <v>627800</v>
      </c>
      <c r="E180" s="356">
        <v>-4.3593520000000003</v>
      </c>
      <c r="G180" s="419">
        <v>-0.31032999999999999</v>
      </c>
      <c r="H180" s="419">
        <v>-0.26900000000000002</v>
      </c>
      <c r="I180" s="419">
        <v>-0.51026000000000005</v>
      </c>
      <c r="J180" s="419">
        <v>-0.48784999999999989</v>
      </c>
      <c r="K180" s="419">
        <v>-0.26075000000000004</v>
      </c>
      <c r="L180" s="419">
        <v>-0.46876000000000007</v>
      </c>
      <c r="M180" s="419">
        <v>-0.34206700000000001</v>
      </c>
      <c r="N180" s="419">
        <v>-0.34206700000000001</v>
      </c>
      <c r="O180" s="419">
        <v>-0.34206700000000001</v>
      </c>
      <c r="P180" s="419">
        <v>-0.34206700000000001</v>
      </c>
      <c r="Q180" s="419">
        <v>-0.34206700000000001</v>
      </c>
      <c r="R180" s="419">
        <v>-0.34206700000000001</v>
      </c>
      <c r="S180" s="345"/>
      <c r="T180" s="361"/>
      <c r="U180" s="440">
        <f>IFERROR(VLOOKUP($B180,[4]Feuil1!$A:$AD,20,FALSE),"")</f>
        <v>-2.8159800000000001</v>
      </c>
      <c r="V180" s="440">
        <v>-0.61558999999999997</v>
      </c>
      <c r="W180" s="440"/>
      <c r="X180" s="440"/>
      <c r="Y180" s="440"/>
      <c r="Z180" s="440">
        <v>-3.4315700000000002</v>
      </c>
      <c r="AA180" s="440"/>
      <c r="AB180" s="440"/>
      <c r="AC180" s="440"/>
      <c r="AD180" s="440"/>
      <c r="AE180" s="440">
        <v>-3.4315700000000002</v>
      </c>
      <c r="AF180" s="355"/>
      <c r="AG180" s="334"/>
      <c r="AI180" s="352" t="s">
        <v>118</v>
      </c>
    </row>
    <row r="181" spans="1:35" s="352" customFormat="1" x14ac:dyDescent="0.2">
      <c r="A181" s="320" t="str">
        <f>IFERROR(VLOOKUP(B181,mapping_one_neo!A:B,2,FALSE),"")</f>
        <v>Other finance &amp; general costs</v>
      </c>
      <c r="B181" s="352" t="s">
        <v>756</v>
      </c>
      <c r="C181" s="353" t="s">
        <v>757</v>
      </c>
      <c r="E181" s="356">
        <v>0</v>
      </c>
      <c r="G181" s="419">
        <v>0</v>
      </c>
      <c r="H181" s="419">
        <v>0</v>
      </c>
      <c r="I181" s="419">
        <v>0</v>
      </c>
      <c r="J181" s="419">
        <v>-0.33400000000000002</v>
      </c>
      <c r="K181" s="419">
        <v>0.24400000000000002</v>
      </c>
      <c r="L181" s="419">
        <v>0.09</v>
      </c>
      <c r="M181" s="419"/>
      <c r="N181" s="419"/>
      <c r="O181" s="419"/>
      <c r="P181" s="419"/>
      <c r="Q181" s="419"/>
      <c r="R181" s="419"/>
      <c r="S181" s="345"/>
      <c r="T181" s="361"/>
      <c r="U181" s="440">
        <f>IFERROR(VLOOKUP($B181,[4]Feuil1!$A:$AD,20,FALSE),"")</f>
        <v>-0.20399999999999999</v>
      </c>
      <c r="V181" s="440"/>
      <c r="W181" s="440"/>
      <c r="X181" s="440"/>
      <c r="Y181" s="440"/>
      <c r="Z181" s="440">
        <v>-0.20399999999999999</v>
      </c>
      <c r="AA181" s="440"/>
      <c r="AB181" s="440"/>
      <c r="AC181" s="440"/>
      <c r="AD181" s="440"/>
      <c r="AE181" s="440">
        <v>-0.20399999999999999</v>
      </c>
      <c r="AF181" s="355"/>
      <c r="AG181" s="334"/>
      <c r="AI181" s="352" t="s">
        <v>836</v>
      </c>
    </row>
    <row r="182" spans="1:35" s="352" customFormat="1" x14ac:dyDescent="0.2">
      <c r="A182" s="320" t="str">
        <f>IFERROR(VLOOKUP(B182,mapping_one_neo!A:B,2,FALSE),"")</f>
        <v>Other finance &amp; general costs</v>
      </c>
      <c r="B182" s="352" t="s">
        <v>121</v>
      </c>
      <c r="C182" s="353">
        <v>622605</v>
      </c>
      <c r="E182" s="356">
        <v>-1.1000000000000001</v>
      </c>
      <c r="G182" s="419">
        <v>0</v>
      </c>
      <c r="H182" s="419">
        <v>0</v>
      </c>
      <c r="I182" s="419">
        <v>0</v>
      </c>
      <c r="J182" s="419">
        <v>0</v>
      </c>
      <c r="K182" s="419">
        <v>-0.3</v>
      </c>
      <c r="L182" s="419">
        <v>0</v>
      </c>
      <c r="M182" s="419">
        <v>0</v>
      </c>
      <c r="N182" s="419">
        <v>0</v>
      </c>
      <c r="O182" s="419">
        <v>-0.4</v>
      </c>
      <c r="P182" s="419"/>
      <c r="Q182" s="419"/>
      <c r="R182" s="419">
        <v>-0.4</v>
      </c>
      <c r="S182" s="345"/>
      <c r="T182" s="361"/>
      <c r="U182" s="440">
        <f>IFERROR(VLOOKUP($B182,[4]Feuil1!$A:$AD,20,FALSE),"")</f>
        <v>-0.3</v>
      </c>
      <c r="V182" s="440"/>
      <c r="W182" s="440"/>
      <c r="X182" s="440"/>
      <c r="Y182" s="440">
        <v>-0.5</v>
      </c>
      <c r="Z182" s="440">
        <v>-0.8</v>
      </c>
      <c r="AA182" s="440"/>
      <c r="AB182" s="440"/>
      <c r="AC182" s="440"/>
      <c r="AD182" s="440"/>
      <c r="AE182" s="440">
        <v>-0.8</v>
      </c>
      <c r="AF182" s="355"/>
      <c r="AG182" s="334"/>
      <c r="AI182" s="449" t="s">
        <v>120</v>
      </c>
    </row>
    <row r="183" spans="1:35" s="352" customFormat="1" x14ac:dyDescent="0.2">
      <c r="A183" s="320" t="str">
        <f>IFERROR(VLOOKUP(B183,mapping_one_neo!A:B,2,FALSE),"")</f>
        <v>I/G exchange gains/(losses)</v>
      </c>
      <c r="B183" s="352" t="s">
        <v>793</v>
      </c>
      <c r="C183" s="353">
        <v>766000</v>
      </c>
      <c r="E183" s="356">
        <v>13.01343</v>
      </c>
      <c r="G183" s="419">
        <v>4.4179300000000001</v>
      </c>
      <c r="H183" s="419">
        <v>7.4658999999999995</v>
      </c>
      <c r="I183" s="419">
        <v>0.92795000000000094</v>
      </c>
      <c r="J183" s="419"/>
      <c r="K183" s="419">
        <v>5.7760000000000034E-2</v>
      </c>
      <c r="L183" s="419">
        <v>0.14388999999999896</v>
      </c>
      <c r="M183" s="419"/>
      <c r="N183" s="419"/>
      <c r="O183" s="419"/>
      <c r="P183" s="419"/>
      <c r="Q183" s="419"/>
      <c r="R183" s="419"/>
      <c r="S183" s="345"/>
      <c r="T183" s="361"/>
      <c r="U183" s="440">
        <f>IFERROR(VLOOKUP($B183,[4]Feuil1!$A:$AD,20,FALSE),"")</f>
        <v>2.0571700000000002</v>
      </c>
      <c r="V183" s="440"/>
      <c r="W183" s="440"/>
      <c r="X183" s="440"/>
      <c r="Y183" s="440"/>
      <c r="Z183" s="440">
        <v>2.0571700000000002</v>
      </c>
      <c r="AA183" s="440"/>
      <c r="AB183" s="440"/>
      <c r="AC183" s="440"/>
      <c r="AD183" s="440"/>
      <c r="AE183" s="440">
        <v>2.0571700000000002</v>
      </c>
      <c r="AF183" s="355"/>
      <c r="AG183" s="334"/>
      <c r="AI183" s="334" t="s">
        <v>756</v>
      </c>
    </row>
    <row r="184" spans="1:35" s="449" customFormat="1" x14ac:dyDescent="0.2">
      <c r="A184" s="320" t="str">
        <f>IFERROR(VLOOKUP(B184,mapping_one_neo!A:B,2,FALSE),"")</f>
        <v>Other finance &amp; general costs</v>
      </c>
      <c r="B184" s="352" t="s">
        <v>820</v>
      </c>
      <c r="C184" s="353"/>
      <c r="D184" s="352"/>
      <c r="E184" s="356">
        <v>0</v>
      </c>
      <c r="F184" s="352"/>
      <c r="G184" s="419">
        <v>0</v>
      </c>
      <c r="H184" s="419">
        <v>0</v>
      </c>
      <c r="I184" s="419">
        <v>0</v>
      </c>
      <c r="J184" s="419">
        <v>0</v>
      </c>
      <c r="K184" s="419">
        <v>0</v>
      </c>
      <c r="L184" s="419">
        <v>0</v>
      </c>
      <c r="M184" s="419"/>
      <c r="N184" s="419"/>
      <c r="O184" s="419"/>
      <c r="P184" s="419"/>
      <c r="Q184" s="419"/>
      <c r="R184" s="419"/>
      <c r="S184" s="345"/>
      <c r="T184" s="361"/>
      <c r="U184" s="440" t="str">
        <f>IFERROR(VLOOKUP($B184,[4]Feuil1!$A:$AD,20,FALSE),"")</f>
        <v/>
      </c>
      <c r="V184" s="440" t="s">
        <v>776</v>
      </c>
      <c r="W184" s="440" t="s">
        <v>776</v>
      </c>
      <c r="X184" s="440" t="s">
        <v>776</v>
      </c>
      <c r="Y184" s="440" t="s">
        <v>776</v>
      </c>
      <c r="Z184" s="440" t="s">
        <v>776</v>
      </c>
      <c r="AA184" s="440" t="s">
        <v>776</v>
      </c>
      <c r="AB184" s="440" t="s">
        <v>776</v>
      </c>
      <c r="AC184" s="440" t="s">
        <v>776</v>
      </c>
      <c r="AD184" s="440" t="s">
        <v>776</v>
      </c>
      <c r="AE184" s="440" t="s">
        <v>776</v>
      </c>
      <c r="AF184" s="355"/>
      <c r="AG184" s="334"/>
      <c r="AI184" s="334" t="s">
        <v>121</v>
      </c>
    </row>
    <row r="185" spans="1:35" x14ac:dyDescent="0.2">
      <c r="A185" s="320">
        <f>IFERROR(VLOOKUP(B185,mapping_one_neo!A:B,2,FALSE),"")</f>
        <v>0</v>
      </c>
      <c r="B185" s="352" t="s">
        <v>122</v>
      </c>
      <c r="C185" s="353"/>
      <c r="E185" s="354">
        <v>-12.426435333333337</v>
      </c>
      <c r="G185" s="354">
        <v>2.8532666666666668</v>
      </c>
      <c r="H185" s="354">
        <v>6.1805666666666657</v>
      </c>
      <c r="I185" s="354">
        <v>-0.59864333333333253</v>
      </c>
      <c r="J185" s="354">
        <v>-1.8381833333333333</v>
      </c>
      <c r="K185" s="354">
        <v>-1.2530633333333332</v>
      </c>
      <c r="L185" s="354">
        <v>-1.2426433333333347</v>
      </c>
      <c r="M185" s="354">
        <v>-1.3587336666666667</v>
      </c>
      <c r="N185" s="354">
        <v>-1.3587336666666667</v>
      </c>
      <c r="O185" s="354">
        <v>-1.7587336666666666</v>
      </c>
      <c r="P185" s="354">
        <v>-1.3587336666666667</v>
      </c>
      <c r="Q185" s="354">
        <v>-1.3587336666666667</v>
      </c>
      <c r="R185" s="354">
        <v>-9.3340669999999992</v>
      </c>
      <c r="S185" s="349"/>
      <c r="T185" s="346"/>
      <c r="U185" s="440">
        <f>IFERROR(VLOOKUP($B185,[4]Feuil1!$A:$AD,20,FALSE),"")</f>
        <v>-8.3900700000000015</v>
      </c>
      <c r="V185" s="440">
        <v>-1.7634599999999998</v>
      </c>
      <c r="W185" s="440">
        <v>-3.666666666666663</v>
      </c>
      <c r="X185" s="440"/>
      <c r="Y185" s="440">
        <v>-4.875</v>
      </c>
      <c r="Z185" s="440">
        <v>-18.695196666666664</v>
      </c>
      <c r="AA185" s="440">
        <v>3.1857511003193082</v>
      </c>
      <c r="AB185" s="440"/>
      <c r="AC185" s="440"/>
      <c r="AD185" s="440"/>
      <c r="AE185" s="440">
        <v>-15.509445566347356</v>
      </c>
      <c r="AF185" s="350"/>
      <c r="AI185" s="352" t="s">
        <v>793</v>
      </c>
    </row>
    <row r="186" spans="1:35" x14ac:dyDescent="0.2">
      <c r="A186" s="320" t="str">
        <f>IFERROR(VLOOKUP(B186,mapping_one_neo!A:B,2,FALSE),"")</f>
        <v/>
      </c>
      <c r="S186" s="349"/>
      <c r="T186" s="346"/>
      <c r="U186" s="440" t="str">
        <f>IFERROR(VLOOKUP($B186,[4]Feuil1!$A:$AD,20,FALSE),"")</f>
        <v/>
      </c>
      <c r="V186" s="440" t="s">
        <v>776</v>
      </c>
      <c r="W186" s="440" t="s">
        <v>776</v>
      </c>
      <c r="X186" s="440" t="s">
        <v>776</v>
      </c>
      <c r="Y186" s="440" t="s">
        <v>776</v>
      </c>
      <c r="Z186" s="440" t="s">
        <v>776</v>
      </c>
      <c r="AA186" s="440" t="s">
        <v>776</v>
      </c>
      <c r="AB186" s="440" t="s">
        <v>776</v>
      </c>
      <c r="AC186" s="440" t="s">
        <v>776</v>
      </c>
      <c r="AD186" s="440" t="s">
        <v>776</v>
      </c>
      <c r="AE186" s="440" t="s">
        <v>776</v>
      </c>
      <c r="AF186" s="350"/>
      <c r="AI186" s="334" t="s">
        <v>837</v>
      </c>
    </row>
    <row r="187" spans="1:35" s="352" customFormat="1" x14ac:dyDescent="0.2">
      <c r="A187" s="320">
        <f>IFERROR(VLOOKUP(B187,mapping_one_neo!A:B,2,FALSE),"")</f>
        <v>0</v>
      </c>
      <c r="B187" s="352" t="s">
        <v>123</v>
      </c>
      <c r="C187" s="353"/>
      <c r="E187" s="356">
        <v>-1056.4001456871595</v>
      </c>
      <c r="G187" s="356">
        <v>-72.381549166666659</v>
      </c>
      <c r="H187" s="356">
        <v>-77.538119166666675</v>
      </c>
      <c r="I187" s="356">
        <v>-87.084399166666671</v>
      </c>
      <c r="J187" s="356">
        <v>-83.282141759259233</v>
      </c>
      <c r="K187" s="356">
        <v>-81.486561759259217</v>
      </c>
      <c r="L187" s="356">
        <v>-79.562363981481568</v>
      </c>
      <c r="M187" s="356">
        <v>-101.4223185968211</v>
      </c>
      <c r="N187" s="356">
        <v>-91.743487902376756</v>
      </c>
      <c r="O187" s="356">
        <v>-90.708533423210099</v>
      </c>
      <c r="P187" s="356">
        <v>-91.704564673210086</v>
      </c>
      <c r="Q187" s="356">
        <v>-90.004564673210098</v>
      </c>
      <c r="R187" s="356">
        <v>-109.48154141833135</v>
      </c>
      <c r="S187" s="349"/>
      <c r="T187" s="346"/>
      <c r="U187" s="440">
        <f>IFERROR(VLOOKUP($B187,[4]Feuil1!$A:$AD,20,FALSE),"")</f>
        <v>-857.16537000000005</v>
      </c>
      <c r="V187" s="440">
        <v>-1.7634599999999998</v>
      </c>
      <c r="W187" s="440">
        <v>-163.76530666666667</v>
      </c>
      <c r="X187" s="440">
        <v>-17.14166666666663</v>
      </c>
      <c r="Y187" s="440">
        <v>-42.974059999999994</v>
      </c>
      <c r="Z187" s="440">
        <v>-1110.1289999999999</v>
      </c>
      <c r="AA187" s="440">
        <v>203.53805442896578</v>
      </c>
      <c r="AB187" s="440"/>
      <c r="AC187" s="440"/>
      <c r="AD187" s="440">
        <v>26.727309524071607</v>
      </c>
      <c r="AE187" s="440">
        <v>-879.86363604696248</v>
      </c>
      <c r="AF187" s="355"/>
      <c r="AG187" s="334"/>
      <c r="AI187" s="334" t="s">
        <v>122</v>
      </c>
    </row>
    <row r="188" spans="1:35" x14ac:dyDescent="0.2">
      <c r="A188" s="320" t="str">
        <f>IFERROR(VLOOKUP(B188,mapping_one_neo!A:B,2,FALSE),"")</f>
        <v/>
      </c>
      <c r="S188" s="349"/>
      <c r="T188" s="346"/>
      <c r="U188" s="440" t="str">
        <f>IFERROR(VLOOKUP($B188,[4]Feuil1!$A:$AD,20,FALSE),"")</f>
        <v/>
      </c>
      <c r="V188" s="440" t="s">
        <v>776</v>
      </c>
      <c r="W188" s="440" t="s">
        <v>776</v>
      </c>
      <c r="X188" s="440" t="s">
        <v>776</v>
      </c>
      <c r="Y188" s="440" t="s">
        <v>776</v>
      </c>
      <c r="Z188" s="440" t="s">
        <v>776</v>
      </c>
      <c r="AA188" s="440" t="s">
        <v>776</v>
      </c>
      <c r="AB188" s="440" t="s">
        <v>776</v>
      </c>
      <c r="AC188" s="440" t="s">
        <v>776</v>
      </c>
      <c r="AD188" s="440" t="s">
        <v>776</v>
      </c>
      <c r="AE188" s="440" t="s">
        <v>776</v>
      </c>
      <c r="AF188" s="350"/>
    </row>
    <row r="189" spans="1:35" x14ac:dyDescent="0.2">
      <c r="A189" s="320" t="str">
        <f>IFERROR(VLOOKUP(B189,mapping_one_neo!A:B,2,FALSE),"")</f>
        <v>Country overhead AU=0.INP Neo</v>
      </c>
      <c r="B189" s="352" t="s">
        <v>124</v>
      </c>
      <c r="C189" s="337" t="s">
        <v>768</v>
      </c>
      <c r="E189" s="356">
        <v>-562.73365000000001</v>
      </c>
      <c r="G189" s="356">
        <v>-46.894470833333337</v>
      </c>
      <c r="H189" s="356">
        <v>-46.894470833333337</v>
      </c>
      <c r="I189" s="356">
        <v>-46.894470833333337</v>
      </c>
      <c r="J189" s="356">
        <v>-46.894470833333337</v>
      </c>
      <c r="K189" s="356">
        <v>-46.894470833333337</v>
      </c>
      <c r="L189" s="356">
        <v>-46.894470833333337</v>
      </c>
      <c r="M189" s="356">
        <v>-46.894470833333337</v>
      </c>
      <c r="N189" s="356">
        <v>-46.894470833333337</v>
      </c>
      <c r="O189" s="356">
        <v>-46.894470833333337</v>
      </c>
      <c r="P189" s="356">
        <v>-46.894470833333337</v>
      </c>
      <c r="Q189" s="356">
        <v>-46.894470833333337</v>
      </c>
      <c r="R189" s="356">
        <v>-46.894470833333337</v>
      </c>
      <c r="S189" s="349"/>
      <c r="T189" s="346"/>
      <c r="U189" s="440">
        <f>IFERROR(VLOOKUP($B189,[4]Feuil1!$A:$AD,20,FALSE),"")</f>
        <v>-56.71978</v>
      </c>
      <c r="V189" s="440"/>
      <c r="W189" s="440"/>
      <c r="X189" s="440">
        <v>-426.45522000000005</v>
      </c>
      <c r="Y189" s="440"/>
      <c r="Z189" s="440">
        <v>-483.17500000000007</v>
      </c>
      <c r="AA189" s="440"/>
      <c r="AB189" s="440"/>
      <c r="AC189" s="440"/>
      <c r="AD189" s="440"/>
      <c r="AE189" s="440">
        <v>-483.17500000000007</v>
      </c>
      <c r="AF189" s="350"/>
      <c r="AI189" s="352" t="s">
        <v>123</v>
      </c>
    </row>
    <row r="190" spans="1:35" x14ac:dyDescent="0.2">
      <c r="A190" s="320" t="str">
        <f>IFERROR(VLOOKUP(B190,mapping_one_neo!A:B,2,FALSE),"")</f>
        <v/>
      </c>
      <c r="S190" s="349"/>
      <c r="T190" s="346"/>
      <c r="U190" s="440" t="str">
        <f>IFERROR(VLOOKUP($B190,[4]Feuil1!$A:$AD,20,FALSE),"")</f>
        <v/>
      </c>
      <c r="V190" s="440" t="s">
        <v>776</v>
      </c>
      <c r="W190" s="440" t="s">
        <v>776</v>
      </c>
      <c r="X190" s="440" t="s">
        <v>776</v>
      </c>
      <c r="Y190" s="440" t="s">
        <v>776</v>
      </c>
      <c r="Z190" s="440" t="s">
        <v>776</v>
      </c>
      <c r="AA190" s="440" t="s">
        <v>776</v>
      </c>
      <c r="AB190" s="440" t="s">
        <v>776</v>
      </c>
      <c r="AC190" s="440" t="s">
        <v>776</v>
      </c>
      <c r="AD190" s="440" t="s">
        <v>776</v>
      </c>
      <c r="AE190" s="440" t="s">
        <v>776</v>
      </c>
      <c r="AF190" s="350"/>
      <c r="AI190" s="408"/>
    </row>
    <row r="191" spans="1:35" s="352" customFormat="1" ht="13.5" thickBot="1" x14ac:dyDescent="0.25">
      <c r="A191" s="320">
        <f>IFERROR(VLOOKUP(B191,mapping_one_neo!A:B,2,FALSE),"")</f>
        <v>0</v>
      </c>
      <c r="B191" s="352" t="s">
        <v>125</v>
      </c>
      <c r="C191" s="353"/>
      <c r="E191" s="406">
        <v>1064.7890899761505</v>
      </c>
      <c r="G191" s="407">
        <v>-47.638120017778</v>
      </c>
      <c r="H191" s="407">
        <v>66.287604982221978</v>
      </c>
      <c r="I191" s="407">
        <v>60.890894982221901</v>
      </c>
      <c r="J191" s="407">
        <v>121.09979912740795</v>
      </c>
      <c r="K191" s="407">
        <v>107.85232907407365</v>
      </c>
      <c r="L191" s="407">
        <v>131.96869745185273</v>
      </c>
      <c r="M191" s="407">
        <v>11.106425399242518</v>
      </c>
      <c r="N191" s="407">
        <v>75.889422760352915</v>
      </c>
      <c r="O191" s="407">
        <v>216.34490612047261</v>
      </c>
      <c r="P191" s="407">
        <v>127.9979051561865</v>
      </c>
      <c r="Q191" s="407">
        <v>124.69790515618649</v>
      </c>
      <c r="R191" s="407">
        <v>67.698319783708541</v>
      </c>
      <c r="S191" s="349"/>
      <c r="T191" s="346"/>
      <c r="U191" s="440">
        <f>U6+U49+U187+U189</f>
        <v>192.82075633332943</v>
      </c>
      <c r="V191" s="440">
        <f>V6+V49+V187+V189</f>
        <v>4476.0363263333302</v>
      </c>
      <c r="W191" s="440">
        <f t="shared" ref="W191:AD191" si="0">W6+W49+W187+W189</f>
        <v>4374.9264924166637</v>
      </c>
      <c r="X191" s="440">
        <f t="shared" si="0"/>
        <v>4034.2028996666641</v>
      </c>
      <c r="Y191" s="440">
        <f t="shared" si="0"/>
        <v>4461.661726333331</v>
      </c>
      <c r="Z191" s="440">
        <f t="shared" si="0"/>
        <v>-398.87008091667064</v>
      </c>
      <c r="AA191" s="440">
        <f t="shared" si="0"/>
        <v>5216.9602109752386</v>
      </c>
      <c r="AB191" s="440">
        <f t="shared" si="0"/>
        <v>4499.9997863333301</v>
      </c>
      <c r="AC191" s="440">
        <f t="shared" si="0"/>
        <v>4477.7997863333303</v>
      </c>
      <c r="AD191" s="440">
        <f t="shared" si="0"/>
        <v>4505.2425430118737</v>
      </c>
      <c r="AE191" s="440">
        <f>AE6+AE49+AE187+AE189</f>
        <v>389.93310040378071</v>
      </c>
      <c r="AF191" s="355"/>
      <c r="AG191" s="334"/>
      <c r="AI191" s="334" t="s">
        <v>124</v>
      </c>
    </row>
    <row r="192" spans="1:35" s="408" customFormat="1" ht="13.5" thickTop="1" x14ac:dyDescent="0.2">
      <c r="A192" s="320" t="str">
        <f>IFERROR(VLOOKUP(B192,mapping_one_neo!A:B,2,FALSE),"")</f>
        <v/>
      </c>
      <c r="E192" s="409">
        <v>0.17023361408393931</v>
      </c>
      <c r="G192" s="408">
        <v>-0.1395572912694007</v>
      </c>
      <c r="H192" s="408">
        <v>0.14595496269585756</v>
      </c>
      <c r="I192" s="408">
        <v>0.12442763665003939</v>
      </c>
      <c r="J192" s="408">
        <v>0.23553786205916724</v>
      </c>
      <c r="K192" s="408">
        <v>0.20834089102311387</v>
      </c>
      <c r="L192" s="408">
        <v>0.23022728151277719</v>
      </c>
      <c r="M192" s="408">
        <v>2.296659815619486E-2</v>
      </c>
      <c r="N192" s="408">
        <v>0.14945030311906116</v>
      </c>
      <c r="O192" s="408">
        <v>0.35450467469009223</v>
      </c>
      <c r="P192" s="408">
        <v>0.22213063957647869</v>
      </c>
      <c r="Q192" s="408">
        <v>0.21829793772579228</v>
      </c>
      <c r="R192" s="408">
        <v>0.10992658010645354</v>
      </c>
      <c r="S192" s="349"/>
      <c r="T192" s="346"/>
      <c r="U192" s="440">
        <v>0.10138171547854044</v>
      </c>
      <c r="V192" s="440"/>
      <c r="W192" s="440" t="e">
        <v>#DIV/0!</v>
      </c>
      <c r="X192" s="440" t="e">
        <v>#DIV/0!</v>
      </c>
      <c r="Y192" s="440" t="e">
        <v>#DIV/0!</v>
      </c>
      <c r="Z192" s="440">
        <v>-0.11464460809174173</v>
      </c>
      <c r="AA192" s="440"/>
      <c r="AB192" s="440"/>
      <c r="AC192" s="440"/>
      <c r="AD192" s="440" t="e">
        <v>#DIV/0!</v>
      </c>
      <c r="AE192" s="440">
        <v>-0.11464460809174173</v>
      </c>
      <c r="AF192" s="410"/>
      <c r="AG192" s="334"/>
      <c r="AI192" s="334"/>
    </row>
    <row r="193" spans="1:35" x14ac:dyDescent="0.2">
      <c r="A193" s="320" t="str">
        <f>IFERROR(VLOOKUP(B193,mapping_one_neo!A:B,2,FALSE),"")</f>
        <v/>
      </c>
      <c r="S193" s="349"/>
      <c r="T193" s="346"/>
      <c r="U193" s="440"/>
      <c r="V193" s="440"/>
      <c r="W193" s="440"/>
      <c r="X193" s="440"/>
      <c r="Y193" s="440"/>
      <c r="Z193" s="440"/>
      <c r="AA193" s="440"/>
      <c r="AB193" s="440"/>
      <c r="AC193" s="440"/>
      <c r="AD193" s="440"/>
      <c r="AE193" s="440"/>
      <c r="AF193" s="350"/>
    </row>
    <row r="194" spans="1:35" x14ac:dyDescent="0.2">
      <c r="A194" s="320" t="str">
        <f>IFERROR(VLOOKUP(B194,mapping_one_neo!A:B,2,FALSE),"")</f>
        <v>I/G exchange gains/(losses)</v>
      </c>
      <c r="B194" s="352" t="s">
        <v>126</v>
      </c>
      <c r="S194" s="349"/>
      <c r="T194" s="346"/>
      <c r="U194" s="440">
        <v>1.8990800000000001</v>
      </c>
      <c r="V194" s="440">
        <v>0</v>
      </c>
      <c r="W194" s="440">
        <v>0</v>
      </c>
      <c r="X194" s="440">
        <v>0</v>
      </c>
      <c r="Y194" s="440">
        <v>0</v>
      </c>
      <c r="Z194" s="440">
        <v>1.8990800000000001</v>
      </c>
      <c r="AA194" s="440"/>
      <c r="AB194" s="440"/>
      <c r="AC194" s="440"/>
      <c r="AD194" s="440"/>
      <c r="AE194" s="440">
        <v>1.8990800000000001</v>
      </c>
      <c r="AF194" s="350"/>
      <c r="AI194" s="334" t="s">
        <v>125</v>
      </c>
    </row>
    <row r="195" spans="1:35" x14ac:dyDescent="0.2">
      <c r="A195" s="473"/>
      <c r="B195" s="334" t="s">
        <v>126</v>
      </c>
      <c r="C195" s="337">
        <v>768003</v>
      </c>
      <c r="G195" s="335">
        <v>-46.894470833333337</v>
      </c>
      <c r="S195" s="349"/>
      <c r="T195" s="346"/>
      <c r="U195" s="440">
        <v>1.8171200000000001</v>
      </c>
      <c r="V195" s="440"/>
      <c r="W195" s="440"/>
      <c r="X195" s="440"/>
      <c r="Y195" s="440"/>
      <c r="Z195" s="440"/>
      <c r="AA195" s="440"/>
      <c r="AB195" s="440"/>
      <c r="AC195" s="440"/>
      <c r="AD195" s="440"/>
      <c r="AE195" s="440">
        <v>0</v>
      </c>
      <c r="AF195" s="350"/>
    </row>
    <row r="196" spans="1:35" x14ac:dyDescent="0.2">
      <c r="A196" s="320">
        <f>IFERROR(VLOOKUP(B196,mapping_one_neo!A:B,2,FALSE),"")</f>
        <v>0</v>
      </c>
      <c r="B196" s="334" t="s">
        <v>127</v>
      </c>
      <c r="C196" s="337">
        <v>758000</v>
      </c>
      <c r="S196" s="349"/>
      <c r="T196" s="346"/>
      <c r="U196" s="440">
        <v>8.1960000000000005E-2</v>
      </c>
      <c r="V196" s="440"/>
      <c r="W196" s="440"/>
      <c r="X196" s="440"/>
      <c r="Y196" s="440"/>
      <c r="Z196" s="440"/>
      <c r="AA196" s="440"/>
      <c r="AB196" s="440"/>
      <c r="AC196" s="440"/>
      <c r="AD196" s="440"/>
      <c r="AE196" s="440">
        <v>0</v>
      </c>
      <c r="AF196" s="350"/>
    </row>
    <row r="197" spans="1:35" x14ac:dyDescent="0.2">
      <c r="A197" s="320" t="str">
        <f>IFERROR(VLOOKUP(B197,mapping_one_neo!A:B,2,FALSE),"")</f>
        <v/>
      </c>
      <c r="S197" s="349"/>
      <c r="T197" s="346"/>
      <c r="U197" s="440"/>
      <c r="V197" s="440"/>
      <c r="W197" s="440"/>
      <c r="X197" s="440"/>
      <c r="Y197" s="440"/>
      <c r="Z197" s="440"/>
      <c r="AA197" s="440"/>
      <c r="AB197" s="440"/>
      <c r="AC197" s="440"/>
      <c r="AD197" s="440"/>
      <c r="AE197" s="440"/>
      <c r="AF197" s="350"/>
      <c r="AI197" s="334" t="s">
        <v>126</v>
      </c>
    </row>
    <row r="198" spans="1:35" x14ac:dyDescent="0.2">
      <c r="A198" s="320" t="str">
        <f>IFERROR(VLOOKUP(B198,mapping_one_neo!A:B,2,FALSE),"")</f>
        <v>I/G exchange gains/(losses)</v>
      </c>
      <c r="B198" s="352" t="s">
        <v>128</v>
      </c>
      <c r="S198" s="349"/>
      <c r="T198" s="346"/>
      <c r="U198" s="440">
        <v>-1.2369700000000001</v>
      </c>
      <c r="V198" s="440">
        <v>-1.2E-4</v>
      </c>
      <c r="W198" s="440">
        <v>0</v>
      </c>
      <c r="X198" s="440">
        <v>0</v>
      </c>
      <c r="Y198" s="440">
        <v>0</v>
      </c>
      <c r="Z198" s="440">
        <v>-1.23709</v>
      </c>
      <c r="AA198" s="440"/>
      <c r="AB198" s="440"/>
      <c r="AC198" s="440"/>
      <c r="AD198" s="440"/>
      <c r="AE198" s="440">
        <v>-1.23709</v>
      </c>
      <c r="AF198" s="350"/>
      <c r="AI198" s="334" t="s">
        <v>126</v>
      </c>
    </row>
    <row r="199" spans="1:35" x14ac:dyDescent="0.2">
      <c r="A199" s="473"/>
      <c r="B199" s="334" t="s">
        <v>129</v>
      </c>
      <c r="C199" s="337">
        <v>666000</v>
      </c>
      <c r="S199" s="349"/>
      <c r="T199" s="346"/>
      <c r="U199" s="440">
        <v>-1.2376100000000001</v>
      </c>
      <c r="V199" s="440"/>
      <c r="W199" s="440"/>
      <c r="X199" s="440"/>
      <c r="Y199" s="440"/>
      <c r="Z199" s="440"/>
      <c r="AA199" s="440"/>
      <c r="AB199" s="440"/>
      <c r="AC199" s="440"/>
      <c r="AD199" s="440"/>
      <c r="AE199" s="440">
        <v>0</v>
      </c>
      <c r="AF199" s="350"/>
      <c r="AI199" s="334" t="s">
        <v>127</v>
      </c>
    </row>
    <row r="200" spans="1:35" x14ac:dyDescent="0.2">
      <c r="A200" s="320">
        <f>IFERROR(VLOOKUP(B200,mapping_one_neo!A:B,2,FALSE),"")</f>
        <v>0</v>
      </c>
      <c r="B200" s="334" t="s">
        <v>127</v>
      </c>
      <c r="C200" s="414" t="s">
        <v>758</v>
      </c>
      <c r="S200" s="349"/>
      <c r="T200" s="346"/>
      <c r="U200" s="440"/>
      <c r="V200" s="440">
        <v>-1.2E-4</v>
      </c>
      <c r="W200" s="440"/>
      <c r="X200" s="440"/>
      <c r="Y200" s="440"/>
      <c r="Z200" s="440"/>
      <c r="AA200" s="440"/>
      <c r="AB200" s="440"/>
      <c r="AC200" s="440"/>
      <c r="AD200" s="440"/>
      <c r="AE200" s="440">
        <v>0</v>
      </c>
      <c r="AF200" s="350"/>
    </row>
    <row r="201" spans="1:35" x14ac:dyDescent="0.2">
      <c r="A201" s="320" t="str">
        <f>IFERROR(VLOOKUP(B201,mapping_one_neo!A:B,2,FALSE),"")</f>
        <v/>
      </c>
      <c r="S201" s="349"/>
      <c r="T201" s="346"/>
      <c r="U201" s="440"/>
      <c r="V201" s="440"/>
      <c r="W201" s="440"/>
      <c r="X201" s="440"/>
      <c r="Y201" s="440"/>
      <c r="Z201" s="440"/>
      <c r="AA201" s="440"/>
      <c r="AB201" s="440"/>
      <c r="AC201" s="440"/>
      <c r="AD201" s="440"/>
      <c r="AE201" s="440" t="s">
        <v>134</v>
      </c>
      <c r="AF201" s="350"/>
      <c r="AI201" s="334" t="s">
        <v>128</v>
      </c>
    </row>
    <row r="202" spans="1:35" x14ac:dyDescent="0.2">
      <c r="A202" s="320">
        <f>IFERROR(VLOOKUP(B202,mapping_one_neo!A:B,2,FALSE),"")</f>
        <v>0</v>
      </c>
      <c r="B202" s="352" t="s">
        <v>130</v>
      </c>
      <c r="S202" s="349"/>
      <c r="T202" s="346"/>
      <c r="U202" s="440">
        <v>193.48286633332941</v>
      </c>
      <c r="V202" s="440">
        <v>-1.7635799999999997</v>
      </c>
      <c r="W202" s="440">
        <v>-102.87329391666668</v>
      </c>
      <c r="X202" s="440">
        <v>-443.59688666666671</v>
      </c>
      <c r="Y202" s="440">
        <v>-16.138059999999996</v>
      </c>
      <c r="Z202" s="440">
        <v>-398.20809091667064</v>
      </c>
      <c r="AA202" s="440">
        <v>739.16042464190843</v>
      </c>
      <c r="AB202" s="440"/>
      <c r="AC202" s="440"/>
      <c r="AD202" s="440">
        <v>27.442756678543152</v>
      </c>
      <c r="AE202" s="440">
        <v>368.39509040378096</v>
      </c>
      <c r="AF202" s="350"/>
      <c r="AI202" s="352" t="s">
        <v>129</v>
      </c>
    </row>
    <row r="203" spans="1:35" x14ac:dyDescent="0.2">
      <c r="A203" s="320" t="str">
        <f>IFERROR(VLOOKUP(B203,mapping_one_neo!A:B,2,FALSE),"")</f>
        <v/>
      </c>
      <c r="S203" s="349"/>
      <c r="T203" s="346"/>
      <c r="U203" s="440"/>
      <c r="V203" s="440"/>
      <c r="W203" s="440"/>
      <c r="X203" s="440"/>
      <c r="Y203" s="440"/>
      <c r="Z203" s="440"/>
      <c r="AA203" s="440"/>
      <c r="AB203" s="440"/>
      <c r="AC203" s="440"/>
      <c r="AD203" s="440"/>
      <c r="AE203" s="440"/>
      <c r="AF203" s="350"/>
      <c r="AI203" s="334" t="s">
        <v>127</v>
      </c>
    </row>
    <row r="204" spans="1:35" s="352" customFormat="1" x14ac:dyDescent="0.2">
      <c r="A204" s="320">
        <f>IFERROR(VLOOKUP(B204,mapping_one_neo!A:B,2,FALSE),"")</f>
        <v>0</v>
      </c>
      <c r="B204" s="352" t="s">
        <v>131</v>
      </c>
      <c r="C204" s="353"/>
      <c r="E204" s="356"/>
      <c r="G204" s="335"/>
      <c r="H204" s="335"/>
      <c r="I204" s="335"/>
      <c r="J204" s="335"/>
      <c r="K204" s="335"/>
      <c r="L204" s="335"/>
      <c r="M204" s="335"/>
      <c r="N204" s="335"/>
      <c r="O204" s="335"/>
      <c r="P204" s="335"/>
      <c r="Q204" s="335"/>
      <c r="R204" s="335"/>
      <c r="S204" s="349"/>
      <c r="T204" s="346"/>
      <c r="U204" s="440">
        <v>193.48286633332941</v>
      </c>
      <c r="V204" s="440"/>
      <c r="W204" s="440"/>
      <c r="X204" s="440"/>
      <c r="Y204" s="440">
        <v>-16.138059999999996</v>
      </c>
      <c r="Z204" s="440">
        <v>0</v>
      </c>
      <c r="AA204" s="440">
        <v>0</v>
      </c>
      <c r="AB204" s="440"/>
      <c r="AC204" s="440"/>
      <c r="AD204" s="440">
        <v>0</v>
      </c>
      <c r="AE204" s="440">
        <v>0</v>
      </c>
      <c r="AF204" s="355"/>
      <c r="AI204" s="334"/>
    </row>
    <row r="205" spans="1:35" ht="13.5" thickBot="1" x14ac:dyDescent="0.25">
      <c r="A205" s="320" t="str">
        <f>IFERROR(VLOOKUP(B205,mapping_one_neo!A:B,2,FALSE),"")</f>
        <v/>
      </c>
      <c r="S205" s="349"/>
      <c r="T205" s="416"/>
      <c r="U205" s="440"/>
      <c r="V205" s="440"/>
      <c r="W205" s="440"/>
      <c r="X205" s="440"/>
      <c r="Y205" s="440"/>
      <c r="Z205" s="440"/>
      <c r="AA205" s="440"/>
      <c r="AB205" s="440"/>
      <c r="AC205" s="440"/>
      <c r="AD205" s="440"/>
      <c r="AE205" s="440"/>
      <c r="AF205" s="417"/>
      <c r="AI205" s="352" t="s">
        <v>130</v>
      </c>
    </row>
    <row r="206" spans="1:35" x14ac:dyDescent="0.2">
      <c r="A206" s="320" t="str">
        <f>IFERROR(VLOOKUP(B206,mapping_one_neo!A:B,2,FALSE),"")</f>
        <v/>
      </c>
    </row>
    <row r="207" spans="1:35" s="352" customFormat="1" x14ac:dyDescent="0.2">
      <c r="A207" s="320">
        <f>IFERROR(VLOOKUP(B207,mapping_one_neo!A:B,2,FALSE),"")</f>
        <v>0</v>
      </c>
      <c r="B207" s="352" t="s">
        <v>132</v>
      </c>
      <c r="C207" s="353"/>
      <c r="E207" s="356"/>
      <c r="G207" s="356"/>
      <c r="H207" s="356"/>
      <c r="I207" s="356"/>
      <c r="J207" s="356"/>
      <c r="K207" s="356"/>
      <c r="L207" s="356"/>
      <c r="M207" s="356"/>
      <c r="N207" s="356"/>
      <c r="O207" s="356"/>
      <c r="P207" s="356"/>
      <c r="Q207" s="356"/>
      <c r="R207" s="356"/>
      <c r="U207" s="356"/>
      <c r="V207" s="356"/>
      <c r="W207" s="356"/>
      <c r="X207" s="356"/>
      <c r="Y207" s="356"/>
      <c r="Z207" s="437"/>
      <c r="AA207" s="437"/>
      <c r="AB207" s="437"/>
      <c r="AC207" s="437"/>
      <c r="AD207" s="437"/>
      <c r="AE207" s="437">
        <f>AE6+AE49+AE59+AE85+AE106+AE141+AE172+AE185+U189+U194+U198-AE169</f>
        <v>797.94381398346957</v>
      </c>
      <c r="AG207" s="352" t="s">
        <v>136</v>
      </c>
      <c r="AI207" s="352" t="s">
        <v>131</v>
      </c>
    </row>
    <row r="208" spans="1:35" x14ac:dyDescent="0.2">
      <c r="A208" s="320" t="str">
        <f>IFERROR(VLOOKUP(B208,mapping_one_neo!A:B,2,FALSE),"")</f>
        <v/>
      </c>
    </row>
    <row r="209" spans="1:35" s="352" customFormat="1" x14ac:dyDescent="0.2">
      <c r="A209" s="320">
        <f>IFERROR(VLOOKUP(B209,mapping_one_neo!A:B,2,FALSE),"")</f>
        <v>0</v>
      </c>
      <c r="B209" s="352" t="s">
        <v>133</v>
      </c>
      <c r="C209" s="353"/>
      <c r="E209" s="356"/>
      <c r="G209" s="356"/>
      <c r="H209" s="356"/>
      <c r="I209" s="356"/>
      <c r="J209" s="356"/>
      <c r="K209" s="356"/>
      <c r="L209" s="356"/>
      <c r="M209" s="356"/>
      <c r="N209" s="356"/>
      <c r="O209" s="356"/>
      <c r="P209" s="356"/>
      <c r="Q209" s="356"/>
      <c r="R209" s="356"/>
      <c r="U209" s="335"/>
      <c r="V209" s="335"/>
      <c r="W209" s="335"/>
      <c r="X209" s="356"/>
      <c r="Y209" s="356"/>
      <c r="Z209" s="437"/>
      <c r="AA209" s="437"/>
      <c r="AB209" s="437"/>
      <c r="AC209" s="437"/>
      <c r="AD209" s="437"/>
      <c r="AE209" s="437"/>
      <c r="AI209" s="334"/>
    </row>
    <row r="210" spans="1:35" x14ac:dyDescent="0.2">
      <c r="A210" s="320" t="str">
        <f>IFERROR(VLOOKUP(B210,mapping_one_neo!A:B,2,FALSE),"")</f>
        <v/>
      </c>
    </row>
    <row r="211" spans="1:35" x14ac:dyDescent="0.2">
      <c r="A211" s="320" t="str">
        <f>IFERROR(VLOOKUP(B211,mapping_one_neo!A:B,2,FALSE),"")</f>
        <v/>
      </c>
    </row>
    <row r="212" spans="1:35" x14ac:dyDescent="0.2">
      <c r="B212" s="334" t="s">
        <v>794</v>
      </c>
    </row>
    <row r="215" spans="1:35" x14ac:dyDescent="0.2">
      <c r="AI215" s="335"/>
    </row>
    <row r="216" spans="1:35" x14ac:dyDescent="0.2">
      <c r="AI216" s="335"/>
    </row>
    <row r="217" spans="1:35" s="335" customFormat="1" x14ac:dyDescent="0.2">
      <c r="A217" s="320"/>
      <c r="C217" s="337"/>
      <c r="D217" s="334"/>
      <c r="F217" s="334"/>
      <c r="S217" s="334"/>
      <c r="T217" s="334"/>
      <c r="Z217" s="420"/>
      <c r="AA217" s="420"/>
      <c r="AB217" s="420"/>
      <c r="AC217" s="420"/>
      <c r="AD217" s="420"/>
      <c r="AE217" s="420"/>
      <c r="AF217" s="334"/>
      <c r="AG217" s="334"/>
    </row>
    <row r="218" spans="1:35" s="335" customFormat="1" x14ac:dyDescent="0.2">
      <c r="A218" s="320"/>
      <c r="C218" s="337"/>
      <c r="D218" s="334"/>
      <c r="F218" s="334"/>
      <c r="S218" s="334"/>
      <c r="T218" s="334"/>
      <c r="Z218" s="420"/>
      <c r="AA218" s="420"/>
      <c r="AB218" s="420"/>
      <c r="AC218" s="420"/>
      <c r="AD218" s="420"/>
      <c r="AE218" s="420"/>
      <c r="AF218" s="334"/>
      <c r="AG218" s="334"/>
    </row>
    <row r="219" spans="1:35" s="335" customFormat="1" x14ac:dyDescent="0.2">
      <c r="A219" s="320"/>
      <c r="C219" s="337"/>
      <c r="D219" s="334"/>
      <c r="F219" s="334"/>
      <c r="S219" s="334"/>
      <c r="T219" s="334"/>
      <c r="Z219" s="420"/>
      <c r="AA219" s="420"/>
      <c r="AB219" s="420"/>
      <c r="AC219" s="420"/>
      <c r="AD219" s="420"/>
      <c r="AE219" s="420"/>
      <c r="AF219" s="334"/>
      <c r="AG219" s="334"/>
    </row>
    <row r="220" spans="1:35" s="335" customFormat="1" x14ac:dyDescent="0.2">
      <c r="A220" s="320"/>
      <c r="C220" s="337"/>
      <c r="D220" s="334"/>
      <c r="F220" s="334"/>
      <c r="S220" s="334"/>
      <c r="T220" s="334"/>
      <c r="Z220" s="420"/>
      <c r="AA220" s="420"/>
      <c r="AB220" s="420"/>
      <c r="AC220" s="420"/>
      <c r="AD220" s="420"/>
      <c r="AE220" s="420"/>
      <c r="AF220" s="334"/>
      <c r="AG220" s="334"/>
      <c r="AI220" s="334"/>
    </row>
    <row r="221" spans="1:35" s="335" customFormat="1" x14ac:dyDescent="0.2">
      <c r="A221" s="320"/>
      <c r="C221" s="337"/>
      <c r="D221" s="334"/>
      <c r="F221" s="334"/>
      <c r="S221" s="334"/>
      <c r="T221" s="334"/>
      <c r="Z221" s="420"/>
      <c r="AA221" s="420"/>
      <c r="AB221" s="420"/>
      <c r="AC221" s="420"/>
      <c r="AD221" s="420"/>
      <c r="AE221" s="420"/>
      <c r="AF221" s="334"/>
      <c r="AG221" s="334"/>
      <c r="AI221" s="334"/>
    </row>
  </sheetData>
  <autoFilter ref="A1:AH221"/>
  <mergeCells count="1">
    <mergeCell ref="AG9:AG10"/>
  </mergeCells>
  <pageMargins left="0.7" right="0.7" top="0.75" bottom="0.75" header="0.3" footer="0.3"/>
  <pageSetup paperSize="121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92D050"/>
    <pageSetUpPr fitToPage="1"/>
  </sheetPr>
  <dimension ref="A1:N76"/>
  <sheetViews>
    <sheetView showGridLines="0" topLeftCell="A52" workbookViewId="0">
      <selection activeCell="E73" sqref="E73"/>
    </sheetView>
  </sheetViews>
  <sheetFormatPr baseColWidth="10" defaultColWidth="9.140625" defaultRowHeight="15" outlineLevelRow="1" outlineLevelCol="1" x14ac:dyDescent="0.25"/>
  <cols>
    <col min="1" max="2" width="10.85546875" customWidth="1" outlineLevel="1"/>
    <col min="3" max="3" width="12.7109375" customWidth="1" outlineLevel="1"/>
    <col min="4" max="4" width="51" customWidth="1"/>
    <col min="5" max="5" width="13.85546875" style="289" customWidth="1"/>
    <col min="6" max="6" width="13.85546875" style="288" customWidth="1"/>
    <col min="7" max="8" width="14.85546875" customWidth="1"/>
  </cols>
  <sheetData>
    <row r="1" spans="1:8" hidden="1" outlineLevel="1" x14ac:dyDescent="0.25">
      <c r="D1" s="71" t="s">
        <v>176</v>
      </c>
    </row>
    <row r="2" spans="1:8" hidden="1" outlineLevel="1" x14ac:dyDescent="0.25">
      <c r="D2" s="80">
        <v>2015</v>
      </c>
    </row>
    <row r="3" spans="1:8" hidden="1" outlineLevel="1" x14ac:dyDescent="0.25">
      <c r="C3" t="s">
        <v>707</v>
      </c>
      <c r="D3" s="81" t="s">
        <v>179</v>
      </c>
    </row>
    <row r="4" spans="1:8" hidden="1" outlineLevel="1" x14ac:dyDescent="0.25">
      <c r="C4" t="s">
        <v>708</v>
      </c>
      <c r="D4" s="83" t="e">
        <f>RIGHT(D3-0.01,3)</f>
        <v>#VALUE!</v>
      </c>
      <c r="G4" s="292" t="s">
        <v>184</v>
      </c>
      <c r="H4" s="292" t="s">
        <v>184</v>
      </c>
    </row>
    <row r="5" spans="1:8" hidden="1" outlineLevel="1" x14ac:dyDescent="0.25">
      <c r="G5" s="292" t="s">
        <v>704</v>
      </c>
      <c r="H5" s="292" t="s">
        <v>704</v>
      </c>
    </row>
    <row r="6" spans="1:8" hidden="1" outlineLevel="1" x14ac:dyDescent="0.25">
      <c r="G6" s="292" t="s">
        <v>190</v>
      </c>
      <c r="H6" s="292" t="s">
        <v>190</v>
      </c>
    </row>
    <row r="7" spans="1:8" hidden="1" outlineLevel="1" x14ac:dyDescent="0.25">
      <c r="G7" s="292" t="s">
        <v>194</v>
      </c>
      <c r="H7" s="292" t="s">
        <v>171</v>
      </c>
    </row>
    <row r="8" spans="1:8" hidden="1" outlineLevel="1" x14ac:dyDescent="0.25">
      <c r="G8" s="292"/>
      <c r="H8" s="292"/>
    </row>
    <row r="9" spans="1:8" hidden="1" outlineLevel="1" x14ac:dyDescent="0.25">
      <c r="G9" s="292"/>
      <c r="H9" s="292"/>
    </row>
    <row r="10" spans="1:8" hidden="1" outlineLevel="1" x14ac:dyDescent="0.25">
      <c r="G10" s="292" t="s">
        <v>705</v>
      </c>
      <c r="H10" s="292" t="s">
        <v>705</v>
      </c>
    </row>
    <row r="11" spans="1:8" hidden="1" outlineLevel="1" x14ac:dyDescent="0.25">
      <c r="G11" s="292" t="s">
        <v>706</v>
      </c>
      <c r="H11" s="292" t="s">
        <v>706</v>
      </c>
    </row>
    <row r="12" spans="1:8" collapsed="1" x14ac:dyDescent="0.25"/>
    <row r="13" spans="1:8" x14ac:dyDescent="0.25">
      <c r="D13" s="439">
        <v>43009</v>
      </c>
      <c r="E13" s="324" t="e">
        <f ca="1">juilletNTENANT()</f>
        <v>#NAME?</v>
      </c>
      <c r="F13" s="477"/>
      <c r="G13" s="322"/>
      <c r="H13" s="322"/>
    </row>
    <row r="14" spans="1:8" x14ac:dyDescent="0.25">
      <c r="A14" t="s">
        <v>534</v>
      </c>
      <c r="B14" t="s">
        <v>699</v>
      </c>
      <c r="C14" t="s">
        <v>703</v>
      </c>
      <c r="D14" s="285" t="s">
        <v>531</v>
      </c>
      <c r="E14" s="287" t="s">
        <v>137</v>
      </c>
      <c r="F14" s="478" t="s">
        <v>533</v>
      </c>
      <c r="G14" s="285" t="s">
        <v>710</v>
      </c>
      <c r="H14" s="285" t="s">
        <v>709</v>
      </c>
    </row>
    <row r="15" spans="1:8" x14ac:dyDescent="0.25">
      <c r="D15" s="285"/>
      <c r="E15" s="287"/>
      <c r="F15" s="478"/>
    </row>
    <row r="16" spans="1:8" x14ac:dyDescent="0.25">
      <c r="A16" t="s">
        <v>245</v>
      </c>
      <c r="B16" t="s">
        <v>172</v>
      </c>
      <c r="C16">
        <v>0</v>
      </c>
      <c r="D16" t="s">
        <v>498</v>
      </c>
      <c r="E16" s="327">
        <f>SUMIF(Novembre!$A:$A,'p&amp;l Novembre'!D16,Novembre!$AE:$AE)</f>
        <v>4477.7997863333303</v>
      </c>
      <c r="F16" s="288">
        <f>SUMIF(Novembre!$A:$A,'p&amp;l Novembre'!D16,Novembre!$Y:$Y)</f>
        <v>4477.7997863333303</v>
      </c>
      <c r="G16" s="293" t="e">
        <f ca="1">PutCtData("PKAMOUNT","AMOUNT",G$4:G$7,$A16:$C16,G$10:G$11,$E16)</f>
        <v>#NAME?</v>
      </c>
      <c r="H16" s="293" t="e">
        <f ca="1">PutCtData("PKAMOUNT","AMOUNT",H$4:H$7,$A16:$C16,H$10:H$11,$E16)</f>
        <v>#NAME?</v>
      </c>
    </row>
    <row r="17" spans="1:14" x14ac:dyDescent="0.25">
      <c r="A17" t="s">
        <v>269</v>
      </c>
      <c r="B17" t="s">
        <v>250</v>
      </c>
      <c r="C17">
        <v>0</v>
      </c>
      <c r="D17" s="147" t="s">
        <v>722</v>
      </c>
      <c r="E17" s="326"/>
      <c r="F17" s="294"/>
      <c r="G17" s="294"/>
      <c r="H17" s="294"/>
      <c r="N17" s="325"/>
    </row>
    <row r="18" spans="1:14" s="284" customFormat="1" x14ac:dyDescent="0.25">
      <c r="A18" t="s">
        <v>776</v>
      </c>
      <c r="B18" t="s">
        <v>776</v>
      </c>
      <c r="C18" t="s">
        <v>776</v>
      </c>
      <c r="D18" s="127"/>
      <c r="E18" s="328"/>
      <c r="F18" s="479"/>
      <c r="G18" s="295"/>
      <c r="H18" s="295"/>
    </row>
    <row r="19" spans="1:14" x14ac:dyDescent="0.25">
      <c r="A19" t="s">
        <v>271</v>
      </c>
      <c r="B19" t="s">
        <v>172</v>
      </c>
      <c r="C19">
        <v>0</v>
      </c>
      <c r="D19" t="s">
        <v>499</v>
      </c>
      <c r="E19" s="327">
        <f>SUMIF(Novembre!$A:$A,'p&amp;l Novembre'!D19,Novembre!$AE:$AE)</f>
        <v>-2088.206275</v>
      </c>
      <c r="F19" s="288">
        <f>SUMIF(Novembre!$A:$A,'p&amp;l Novembre'!D19,Novembre!$Y:$Y)</f>
        <v>8.057500000000001</v>
      </c>
      <c r="G19" s="293" t="e">
        <f t="shared" ref="G19:H28" ca="1" si="0">PutCtData("PKAMOUNT","AMOUNT",G$4:G$7,$A19:$C19,G$10:G$11,$E19)</f>
        <v>#NAME?</v>
      </c>
      <c r="H19" s="293" t="e">
        <f t="shared" ca="1" si="0"/>
        <v>#NAME?</v>
      </c>
    </row>
    <row r="20" spans="1:14" x14ac:dyDescent="0.25">
      <c r="A20" t="s">
        <v>272</v>
      </c>
      <c r="B20" t="s">
        <v>172</v>
      </c>
      <c r="C20">
        <v>0</v>
      </c>
      <c r="D20" t="s">
        <v>500</v>
      </c>
      <c r="E20" s="328">
        <f>SUMIF(Novembre!$A:$A,'p&amp;l Novembre'!D20,Novembre!$AE:$AE)</f>
        <v>-914.28789225000003</v>
      </c>
      <c r="F20" s="288">
        <f>SUMIF(Novembre!$A:$A,'p&amp;l Novembre'!D20,Novembre!$Y:$Y)</f>
        <v>-0.84599999999999997</v>
      </c>
      <c r="G20" s="293" t="e">
        <f t="shared" ca="1" si="0"/>
        <v>#NAME?</v>
      </c>
      <c r="H20" s="293" t="e">
        <f t="shared" ca="1" si="0"/>
        <v>#NAME?</v>
      </c>
      <c r="K20" s="475"/>
    </row>
    <row r="21" spans="1:14" x14ac:dyDescent="0.25">
      <c r="A21" t="s">
        <v>294</v>
      </c>
      <c r="B21" t="s">
        <v>172</v>
      </c>
      <c r="C21" t="s">
        <v>295</v>
      </c>
      <c r="D21" t="s">
        <v>501</v>
      </c>
      <c r="E21" s="327">
        <f>SUMIF(Novembre!$A:$A,'p&amp;l Novembre'!D21,Novembre!$AE:$AE)</f>
        <v>-200.77274999999997</v>
      </c>
      <c r="F21" s="288">
        <f>SUMIF(Novembre!$A:$A,'p&amp;l Novembre'!D21,Novembre!$Y:$Y)</f>
        <v>19.624500000000001</v>
      </c>
      <c r="G21" s="293" t="e">
        <f t="shared" ca="1" si="0"/>
        <v>#NAME?</v>
      </c>
      <c r="H21" s="293" t="e">
        <f t="shared" ca="1" si="0"/>
        <v>#NAME?</v>
      </c>
    </row>
    <row r="22" spans="1:14" x14ac:dyDescent="0.25">
      <c r="A22" t="s">
        <v>277</v>
      </c>
      <c r="B22" t="s">
        <v>172</v>
      </c>
      <c r="C22">
        <v>0</v>
      </c>
      <c r="D22" t="s">
        <v>502</v>
      </c>
      <c r="E22" s="327">
        <f>SUMIF(Novembre!$A:$A,'p&amp;l Novembre'!D22,Novembre!$AE:$AE)</f>
        <v>0</v>
      </c>
      <c r="F22" s="288">
        <f>SUMIF(Novembre!$A:$A,'p&amp;l Novembre'!D22,Novembre!$Y:$Y)</f>
        <v>0</v>
      </c>
      <c r="G22" s="293" t="e">
        <f t="shared" ca="1" si="0"/>
        <v>#NAME?</v>
      </c>
      <c r="H22" s="293" t="e">
        <f t="shared" ca="1" si="0"/>
        <v>#NAME?</v>
      </c>
    </row>
    <row r="23" spans="1:14" x14ac:dyDescent="0.25">
      <c r="A23" t="s">
        <v>274</v>
      </c>
      <c r="B23" t="s">
        <v>172</v>
      </c>
      <c r="C23">
        <v>0</v>
      </c>
      <c r="D23" t="s">
        <v>503</v>
      </c>
      <c r="E23" s="327">
        <f>SUMIF(Novembre!$A:$A,'p&amp;l Novembre'!D23,Novembre!$AE:$AE)</f>
        <v>0</v>
      </c>
      <c r="F23" s="288">
        <f>SUMIF(Novembre!$A:$A,'p&amp;l Novembre'!D23,Novembre!$Y:$Y)</f>
        <v>0</v>
      </c>
      <c r="G23" s="293" t="e">
        <f t="shared" ca="1" si="0"/>
        <v>#NAME?</v>
      </c>
      <c r="H23" s="293" t="e">
        <f t="shared" ca="1" si="0"/>
        <v>#NAME?</v>
      </c>
    </row>
    <row r="24" spans="1:14" x14ac:dyDescent="0.25">
      <c r="A24" t="s">
        <v>280</v>
      </c>
      <c r="B24" t="s">
        <v>172</v>
      </c>
      <c r="C24">
        <v>0</v>
      </c>
      <c r="D24" t="s">
        <v>504</v>
      </c>
      <c r="E24" s="327">
        <f>SUMIF(Novembre!$A:$A,'p&amp;l Novembre'!D24,Novembre!$AE:$AE)</f>
        <v>0</v>
      </c>
      <c r="F24" s="288">
        <f>SUMIF(Novembre!$A:$A,'p&amp;l Novembre'!D24,Novembre!$Y:$Y)</f>
        <v>0</v>
      </c>
      <c r="G24" s="293" t="e">
        <f t="shared" ca="1" si="0"/>
        <v>#NAME?</v>
      </c>
      <c r="H24" s="293" t="e">
        <f t="shared" ca="1" si="0"/>
        <v>#NAME?</v>
      </c>
    </row>
    <row r="25" spans="1:14" x14ac:dyDescent="0.25">
      <c r="A25" t="s">
        <v>304</v>
      </c>
      <c r="B25" t="s">
        <v>172</v>
      </c>
      <c r="C25">
        <v>0</v>
      </c>
      <c r="D25" t="s">
        <v>505</v>
      </c>
      <c r="E25" s="327">
        <f>SUMIF(Novembre!$A:$A,'p&amp;l Novembre'!D25,Novembre!$AE:$AE)</f>
        <v>505.01633736741422</v>
      </c>
      <c r="F25" s="288">
        <f>SUMIF(Novembre!$A:$A,'p&amp;l Novembre'!D25,Novembre!$Y:$Y)</f>
        <v>0</v>
      </c>
      <c r="G25" s="293" t="e">
        <f t="shared" ca="1" si="0"/>
        <v>#NAME?</v>
      </c>
      <c r="H25" s="293" t="e">
        <f t="shared" ca="1" si="0"/>
        <v>#NAME?</v>
      </c>
    </row>
    <row r="26" spans="1:14" x14ac:dyDescent="0.25">
      <c r="A26" t="s">
        <v>291</v>
      </c>
      <c r="B26" t="s">
        <v>172</v>
      </c>
      <c r="C26">
        <v>0</v>
      </c>
      <c r="D26" t="s">
        <v>506</v>
      </c>
      <c r="E26" s="327">
        <f>SUMIF(Novembre!$A:$A,'p&amp;l Novembre'!D26,Novembre!$AE:$AE)</f>
        <v>-42.200469999999996</v>
      </c>
      <c r="F26" s="288">
        <f>SUMIF(Novembre!$A:$A,'p&amp;l Novembre'!D26,Novembre!$Y:$Y)</f>
        <v>0</v>
      </c>
      <c r="G26" s="293" t="e">
        <f t="shared" ca="1" si="0"/>
        <v>#NAME?</v>
      </c>
      <c r="H26" s="293" t="e">
        <f t="shared" ca="1" si="0"/>
        <v>#NAME?</v>
      </c>
    </row>
    <row r="27" spans="1:14" x14ac:dyDescent="0.25">
      <c r="A27" t="s">
        <v>275</v>
      </c>
      <c r="B27" t="s">
        <v>172</v>
      </c>
      <c r="C27">
        <v>0</v>
      </c>
      <c r="D27" t="s">
        <v>507</v>
      </c>
      <c r="E27" s="327">
        <f>SUMIF(Novembre!$A:$A,'p&amp;l Novembre'!D27,Novembre!$AE:$AE)</f>
        <v>-11.22</v>
      </c>
      <c r="F27" s="288">
        <f>SUMIF(Novembre!$A:$A,'p&amp;l Novembre'!D27,Novembre!$Y:$Y)</f>
        <v>0</v>
      </c>
      <c r="G27" s="293" t="e">
        <f t="shared" ca="1" si="0"/>
        <v>#NAME?</v>
      </c>
      <c r="H27" s="293" t="e">
        <f t="shared" ca="1" si="0"/>
        <v>#NAME?</v>
      </c>
    </row>
    <row r="28" spans="1:14" x14ac:dyDescent="0.25">
      <c r="A28" t="s">
        <v>303</v>
      </c>
      <c r="B28" t="s">
        <v>172</v>
      </c>
      <c r="C28">
        <v>0</v>
      </c>
      <c r="D28" t="s">
        <v>32</v>
      </c>
      <c r="E28" s="327">
        <f>SUMIF(Novembre!$A:$A,'p&amp;l Novembre'!D28,Novembre!$AE:$AE)</f>
        <v>26.103000000000002</v>
      </c>
      <c r="F28" s="288">
        <f>SUMIF(Novembre!$A:$A,'p&amp;l Novembre'!D28,Novembre!$Y:$Y)</f>
        <v>0</v>
      </c>
      <c r="G28" s="293" t="e">
        <f t="shared" ca="1" si="0"/>
        <v>#NAME?</v>
      </c>
      <c r="H28" s="293" t="e">
        <f t="shared" ca="1" si="0"/>
        <v>#NAME?</v>
      </c>
    </row>
    <row r="29" spans="1:14" x14ac:dyDescent="0.25">
      <c r="A29" t="s">
        <v>776</v>
      </c>
      <c r="B29" t="s">
        <v>776</v>
      </c>
      <c r="C29" t="s">
        <v>776</v>
      </c>
      <c r="D29" s="147" t="s">
        <v>723</v>
      </c>
      <c r="E29" s="326">
        <f>SUM(E19:E28)</f>
        <v>-2725.5680498825855</v>
      </c>
      <c r="F29" s="294">
        <f>SUMIF(Novembre!$A:$A,'p&amp;l Novembre'!D29,Novembre!$Y:$Y)</f>
        <v>0</v>
      </c>
      <c r="G29" s="294"/>
      <c r="H29" s="294"/>
    </row>
    <row r="30" spans="1:14" s="284" customFormat="1" x14ac:dyDescent="0.25">
      <c r="A30" t="s">
        <v>776</v>
      </c>
      <c r="B30" t="s">
        <v>776</v>
      </c>
      <c r="C30" t="s">
        <v>776</v>
      </c>
      <c r="D30" s="127"/>
      <c r="E30" s="328"/>
      <c r="F30" s="479"/>
      <c r="G30" s="295"/>
      <c r="H30" s="295"/>
    </row>
    <row r="31" spans="1:14" x14ac:dyDescent="0.25">
      <c r="A31" t="s">
        <v>316</v>
      </c>
      <c r="B31" t="s">
        <v>172</v>
      </c>
      <c r="C31" t="s">
        <v>201</v>
      </c>
      <c r="D31" t="s">
        <v>508</v>
      </c>
      <c r="E31" s="327">
        <f>SUMIF(Novembre!$A:$A,'p&amp;l Novembre'!D31,Novembre!$AE:$AE)</f>
        <v>-244.53455284552845</v>
      </c>
      <c r="F31" s="288">
        <f>SUMIF(Novembre!$A:$A,'p&amp;l Novembre'!D31,Novembre!$Y:$Y)</f>
        <v>-19.5</v>
      </c>
      <c r="G31" s="293" t="e">
        <f ca="1">PutCtData("PKAMOUNT","AMOUNT",G$4:G$7,$A31:$C31,G$10:G$11,$E31)</f>
        <v>#NAME?</v>
      </c>
      <c r="H31" s="293" t="e">
        <f ca="1">PutCtData("PKAMOUNT","AMOUNT",H$4:H$7,$A31:$C31,H$10:H$11,$E31)</f>
        <v>#NAME?</v>
      </c>
    </row>
    <row r="32" spans="1:14" x14ac:dyDescent="0.25">
      <c r="A32" t="s">
        <v>322</v>
      </c>
      <c r="B32" t="s">
        <v>172</v>
      </c>
      <c r="C32">
        <v>0</v>
      </c>
      <c r="D32" t="s">
        <v>509</v>
      </c>
      <c r="E32" s="327">
        <f>SUMIF(Novembre!$A:$A,'p&amp;l Novembre'!D32,Novembre!$AE:$AE)</f>
        <v>-2.18452</v>
      </c>
      <c r="F32" s="288">
        <f>SUMIF(Novembre!$A:$A,'p&amp;l Novembre'!D32,Novembre!$Y:$Y)</f>
        <v>0</v>
      </c>
      <c r="G32" s="293" t="e">
        <f ca="1">PutCtData("PKAMOUNT","AMOUNT",G$4:G$7,$A32:$C32,G$10:G$11,$E32)</f>
        <v>#NAME?</v>
      </c>
      <c r="H32" s="293" t="e">
        <f ca="1">PutCtData("PKAMOUNT","AMOUNT",H$4:H$7,$A32:$C32,H$10:H$11,$E32)</f>
        <v>#NAME?</v>
      </c>
      <c r="J32" t="s">
        <v>822</v>
      </c>
    </row>
    <row r="33" spans="1:13" x14ac:dyDescent="0.25">
      <c r="A33" t="s">
        <v>776</v>
      </c>
      <c r="B33" t="s">
        <v>776</v>
      </c>
      <c r="C33" t="s">
        <v>776</v>
      </c>
      <c r="D33" s="147" t="s">
        <v>724</v>
      </c>
      <c r="E33" s="326">
        <f>SUM(E31:E32)</f>
        <v>-246.71907284552844</v>
      </c>
      <c r="F33" s="294">
        <f>SUMIF(Fev!$A:$A,'p&amp;l Novembre'!D33,Fev!$X:$X)</f>
        <v>0</v>
      </c>
      <c r="G33" s="294"/>
      <c r="H33" s="294"/>
    </row>
    <row r="34" spans="1:13" x14ac:dyDescent="0.25">
      <c r="A34" t="s">
        <v>329</v>
      </c>
      <c r="B34" t="s">
        <v>172</v>
      </c>
      <c r="C34">
        <v>0</v>
      </c>
      <c r="D34" t="s">
        <v>511</v>
      </c>
      <c r="E34" s="327">
        <f>SUMIF(Novembre!$A:$A,'p&amp;l Novembre'!D34,Novembre!$AE:$AE)</f>
        <v>-33.832000000000001</v>
      </c>
      <c r="F34" s="288">
        <f>SUMIF(Novembre!$A:$A,'p&amp;l Novembre'!D34,Novembre!$Y:$Y)</f>
        <v>-13.70406</v>
      </c>
      <c r="G34" s="293" t="e">
        <f t="shared" ref="G34:H38" ca="1" si="1">PutCtData("PKAMOUNT","AMOUNT",G$4:G$7,$A34:$C34,G$10:G$11,$E34)</f>
        <v>#NAME?</v>
      </c>
      <c r="H34" s="293" t="e">
        <f t="shared" ca="1" si="1"/>
        <v>#NAME?</v>
      </c>
    </row>
    <row r="35" spans="1:13" x14ac:dyDescent="0.25">
      <c r="A35" t="s">
        <v>330</v>
      </c>
      <c r="B35" t="s">
        <v>172</v>
      </c>
      <c r="C35">
        <v>0</v>
      </c>
      <c r="D35" t="s">
        <v>510</v>
      </c>
      <c r="E35" s="327">
        <f>SUMIF(Novembre!$A:$A,'p&amp;l Novembre'!D35,Novembre!$AE:$AE)</f>
        <v>-160.92873</v>
      </c>
      <c r="F35" s="288">
        <f>SUMIF(Novembre!$A:$A,'p&amp;l Novembre'!D35,Novembre!$Y:$Y)</f>
        <v>36.42</v>
      </c>
      <c r="G35" s="293" t="e">
        <f t="shared" ca="1" si="1"/>
        <v>#NAME?</v>
      </c>
      <c r="H35" s="293" t="e">
        <f t="shared" ca="1" si="1"/>
        <v>#NAME?</v>
      </c>
    </row>
    <row r="36" spans="1:13" x14ac:dyDescent="0.25">
      <c r="A36" t="s">
        <v>326</v>
      </c>
      <c r="B36" t="s">
        <v>172</v>
      </c>
      <c r="C36">
        <v>0</v>
      </c>
      <c r="D36" t="s">
        <v>512</v>
      </c>
      <c r="E36" s="327">
        <f>SUMIF(Novembre!$A:$A,'p&amp;l Novembre'!D36,Novembre!$AE:$AE)</f>
        <v>-24.558460000000004</v>
      </c>
      <c r="F36" s="288">
        <f>SUMIF(Novembre!$A:$A,'p&amp;l Novembre'!D36,Novembre!$Y:$Y)</f>
        <v>0</v>
      </c>
      <c r="G36" s="293" t="e">
        <f t="shared" ca="1" si="1"/>
        <v>#NAME?</v>
      </c>
      <c r="H36" s="293" t="e">
        <f t="shared" ca="1" si="1"/>
        <v>#NAME?</v>
      </c>
    </row>
    <row r="37" spans="1:13" x14ac:dyDescent="0.25">
      <c r="A37" t="s">
        <v>324</v>
      </c>
      <c r="B37" t="s">
        <v>172</v>
      </c>
      <c r="C37">
        <v>0</v>
      </c>
      <c r="D37" t="s">
        <v>513</v>
      </c>
      <c r="E37" s="328">
        <f>SUMIF(Novembre!$A:$A,'p&amp;l Novembre'!D37,Novembre!$AE:$AE)</f>
        <v>-18.43994</v>
      </c>
      <c r="F37" s="288">
        <f>SUMIF(Novembre!$A:$A,'p&amp;l Novembre'!D37,Novembre!$Y:$Y)</f>
        <v>0</v>
      </c>
      <c r="G37" s="293" t="e">
        <f t="shared" ca="1" si="1"/>
        <v>#NAME?</v>
      </c>
      <c r="H37" s="293" t="e">
        <f t="shared" ca="1" si="1"/>
        <v>#NAME?</v>
      </c>
    </row>
    <row r="38" spans="1:13" x14ac:dyDescent="0.25">
      <c r="A38" t="s">
        <v>324</v>
      </c>
      <c r="B38" t="s">
        <v>172</v>
      </c>
      <c r="C38">
        <v>0</v>
      </c>
      <c r="D38" t="s">
        <v>816</v>
      </c>
      <c r="E38" s="328">
        <f>SUMIF(Novembre!$A:$A,'p&amp;l Novembre'!D38,Novembre!$AE:$AE)</f>
        <v>0</v>
      </c>
      <c r="F38" s="288">
        <f>SUMIF(Novembre!$A:$A,'p&amp;l Novembre'!D38,Novembre!$Y:$Y)</f>
        <v>0</v>
      </c>
      <c r="G38" s="293" t="e">
        <f t="shared" ca="1" si="1"/>
        <v>#NAME?</v>
      </c>
      <c r="H38" s="293" t="e">
        <f t="shared" ca="1" si="1"/>
        <v>#NAME?</v>
      </c>
    </row>
    <row r="39" spans="1:13" x14ac:dyDescent="0.25">
      <c r="A39" t="s">
        <v>776</v>
      </c>
      <c r="B39" t="s">
        <v>776</v>
      </c>
      <c r="C39" t="s">
        <v>776</v>
      </c>
      <c r="D39" s="147" t="s">
        <v>729</v>
      </c>
      <c r="E39" s="326">
        <f>SUM(E34:E38)</f>
        <v>-237.75913</v>
      </c>
      <c r="F39" s="294">
        <f>SUMIF(Fev!$A:$A,'p&amp;l Novembre'!D39,Fev!$X:$X)</f>
        <v>0</v>
      </c>
      <c r="G39" s="294"/>
      <c r="H39" s="294"/>
    </row>
    <row r="40" spans="1:13" s="284" customFormat="1" x14ac:dyDescent="0.25">
      <c r="A40" t="s">
        <v>776</v>
      </c>
      <c r="B40" t="s">
        <v>776</v>
      </c>
      <c r="C40" t="s">
        <v>776</v>
      </c>
      <c r="D40" s="127"/>
      <c r="E40" s="328"/>
      <c r="F40" s="479"/>
      <c r="G40" s="295"/>
      <c r="H40" s="295"/>
    </row>
    <row r="41" spans="1:13" x14ac:dyDescent="0.25">
      <c r="A41" t="s">
        <v>337</v>
      </c>
      <c r="B41" t="s">
        <v>172</v>
      </c>
      <c r="C41">
        <v>0</v>
      </c>
      <c r="D41" t="s">
        <v>514</v>
      </c>
      <c r="E41" s="327">
        <f>SUMIF(Novembre!$A:$A,'p&amp;l Novembre'!D41,Novembre!$AE:$AE)</f>
        <v>-3.6005099999999999</v>
      </c>
      <c r="F41" s="288">
        <f>SUMIF(Novembre!$A:$A,'p&amp;l Novembre'!D41,Novembre!$Y:$Y)</f>
        <v>0</v>
      </c>
      <c r="G41" s="293" t="e">
        <f t="shared" ref="G41:H44" ca="1" si="2">PutCtData("PKAMOUNT","AMOUNT",G$4:G$7,$A41:$C41,G$10:G$11,$E41)</f>
        <v>#NAME?</v>
      </c>
      <c r="H41" s="293" t="e">
        <f t="shared" ca="1" si="2"/>
        <v>#NAME?</v>
      </c>
    </row>
    <row r="42" spans="1:13" x14ac:dyDescent="0.25">
      <c r="A42" t="s">
        <v>339</v>
      </c>
      <c r="B42" t="s">
        <v>172</v>
      </c>
      <c r="C42">
        <v>0</v>
      </c>
      <c r="D42" t="s">
        <v>515</v>
      </c>
      <c r="E42" s="327">
        <f>SUMIF(Novembre!$A:$A,'p&amp;l Novembre'!D42,Novembre!$AE:$AE)</f>
        <v>-4.66676</v>
      </c>
      <c r="F42" s="288">
        <f>SUMIF(Novembre!$A:$A,'p&amp;l Novembre'!D42,Novembre!$Y:$Y)</f>
        <v>0</v>
      </c>
      <c r="G42" s="293" t="e">
        <f t="shared" ca="1" si="2"/>
        <v>#NAME?</v>
      </c>
      <c r="H42" s="293" t="e">
        <f t="shared" ca="1" si="2"/>
        <v>#NAME?</v>
      </c>
    </row>
    <row r="43" spans="1:13" x14ac:dyDescent="0.25">
      <c r="A43" t="s">
        <v>338</v>
      </c>
      <c r="B43" t="s">
        <v>172</v>
      </c>
      <c r="C43">
        <v>0</v>
      </c>
      <c r="D43" t="s">
        <v>516</v>
      </c>
      <c r="E43" s="327">
        <f>SUMIF(Novembre!$A:$A,'p&amp;l Novembre'!D43,Novembre!$AE:$AE)</f>
        <v>-253.53984</v>
      </c>
      <c r="F43" s="288">
        <f>SUMIF(Novembre!$A:$A,'p&amp;l Novembre'!D43,Novembre!$Y:$Y)</f>
        <v>-29.1</v>
      </c>
      <c r="G43" s="293" t="e">
        <f t="shared" ca="1" si="2"/>
        <v>#NAME?</v>
      </c>
      <c r="H43" s="293" t="e">
        <f t="shared" ca="1" si="2"/>
        <v>#NAME?</v>
      </c>
    </row>
    <row r="44" spans="1:13" x14ac:dyDescent="0.25">
      <c r="A44" t="s">
        <v>357</v>
      </c>
      <c r="B44" t="s">
        <v>172</v>
      </c>
      <c r="C44">
        <v>0</v>
      </c>
      <c r="D44" t="s">
        <v>517</v>
      </c>
      <c r="E44" s="327">
        <f>SUMIF(Novembre!$A:$A,'p&amp;l Novembre'!D44,Novembre!$AE:$AE)</f>
        <v>-65.238</v>
      </c>
      <c r="F44" s="288">
        <f>SUMIF(Novembre!$A:$A,'p&amp;l Novembre'!D44,Novembre!$Y:$Y)</f>
        <v>-9.3149999999999995</v>
      </c>
      <c r="G44" s="293" t="e">
        <f t="shared" ca="1" si="2"/>
        <v>#NAME?</v>
      </c>
      <c r="H44" s="293" t="e">
        <f t="shared" ca="1" si="2"/>
        <v>#NAME?</v>
      </c>
    </row>
    <row r="45" spans="1:13" x14ac:dyDescent="0.25">
      <c r="A45" t="s">
        <v>776</v>
      </c>
      <c r="B45" t="s">
        <v>776</v>
      </c>
      <c r="C45" t="s">
        <v>776</v>
      </c>
      <c r="D45" s="147" t="s">
        <v>725</v>
      </c>
      <c r="E45" s="326">
        <f>SUM(E41:E44)</f>
        <v>-327.04511000000002</v>
      </c>
      <c r="F45" s="294">
        <f>SUMIF(Fev!$A:$A,'p&amp;l Novembre'!D45,Fev!$X:$X)</f>
        <v>0</v>
      </c>
      <c r="G45" s="294"/>
      <c r="H45" s="294"/>
    </row>
    <row r="46" spans="1:13" x14ac:dyDescent="0.25">
      <c r="A46" t="s">
        <v>776</v>
      </c>
      <c r="B46" t="s">
        <v>776</v>
      </c>
      <c r="C46" t="s">
        <v>776</v>
      </c>
      <c r="D46" s="127"/>
      <c r="E46" s="327"/>
      <c r="G46" s="286"/>
      <c r="H46" s="286"/>
    </row>
    <row r="47" spans="1:13" x14ac:dyDescent="0.25">
      <c r="A47" t="s">
        <v>359</v>
      </c>
      <c r="B47" t="s">
        <v>172</v>
      </c>
      <c r="C47">
        <v>0</v>
      </c>
      <c r="D47" t="s">
        <v>518</v>
      </c>
      <c r="E47" s="327">
        <f>SUMIF(Novembre!$A:$A,'p&amp;l Novembre'!D47,Novembre!$AE:$AE)</f>
        <v>-7.7014466495050131</v>
      </c>
      <c r="F47" s="288">
        <f>SUMIF(Novembre!$A:$A,'p&amp;l Novembre'!D47,Novembre!$Y:$Y)</f>
        <v>0</v>
      </c>
      <c r="G47" s="293" t="e">
        <f t="shared" ref="G47:H55" ca="1" si="3">PutCtData("PKAMOUNT","AMOUNT",G$4:G$7,$A47:$C47,G$10:G$11,$E47)</f>
        <v>#NAME?</v>
      </c>
      <c r="H47" s="293" t="e">
        <f t="shared" ca="1" si="3"/>
        <v>#NAME?</v>
      </c>
      <c r="J47" s="284"/>
      <c r="K47" s="284"/>
      <c r="L47" s="284"/>
      <c r="M47" s="284"/>
    </row>
    <row r="48" spans="1:13" x14ac:dyDescent="0.25">
      <c r="A48" t="s">
        <v>364</v>
      </c>
      <c r="B48" t="s">
        <v>172</v>
      </c>
      <c r="C48">
        <v>0</v>
      </c>
      <c r="D48" t="s">
        <v>519</v>
      </c>
      <c r="E48" s="327">
        <f>SUMIF(Novembre!$A:$A,'p&amp;l Novembre'!D48,Novembre!$AE:$AE)</f>
        <v>-0.97389000000000003</v>
      </c>
      <c r="F48" s="288">
        <f>SUMIF(Novembre!$A:$A,'p&amp;l Novembre'!D48,Novembre!$Y:$Y)</f>
        <v>0</v>
      </c>
      <c r="G48" s="293" t="e">
        <f t="shared" ca="1" si="3"/>
        <v>#NAME?</v>
      </c>
      <c r="H48" s="293" t="e">
        <f t="shared" ca="1" si="3"/>
        <v>#NAME?</v>
      </c>
      <c r="J48" s="284"/>
      <c r="K48" s="284"/>
      <c r="L48" s="284"/>
      <c r="M48" s="284"/>
    </row>
    <row r="49" spans="1:13" x14ac:dyDescent="0.25">
      <c r="A49" t="s">
        <v>366</v>
      </c>
      <c r="B49" t="s">
        <v>172</v>
      </c>
      <c r="C49">
        <v>0</v>
      </c>
      <c r="D49" t="s">
        <v>520</v>
      </c>
      <c r="E49" s="327">
        <f>SUMIF(Novembre!$A:$A,'p&amp;l Novembre'!D49,Novembre!$AE:$AE)</f>
        <v>-87.669010448579726</v>
      </c>
      <c r="F49" s="288">
        <f>SUMIF(Novembre!$A:$A,'p&amp;l Novembre'!D49,Novembre!$Y:$Y)</f>
        <v>0</v>
      </c>
      <c r="G49" s="293" t="e">
        <f t="shared" ca="1" si="3"/>
        <v>#NAME?</v>
      </c>
      <c r="H49" s="293" t="e">
        <f t="shared" ca="1" si="3"/>
        <v>#NAME?</v>
      </c>
      <c r="J49" s="284"/>
      <c r="K49" s="284"/>
      <c r="L49" s="284"/>
      <c r="M49" s="284"/>
    </row>
    <row r="50" spans="1:13" x14ac:dyDescent="0.25">
      <c r="A50" t="s">
        <v>372</v>
      </c>
      <c r="B50" t="s">
        <v>196</v>
      </c>
      <c r="C50">
        <v>0</v>
      </c>
      <c r="D50" t="s">
        <v>521</v>
      </c>
      <c r="E50" s="327">
        <f>SUMIF(Novembre!$A:$A,'p&amp;l Novembre'!D50,Novembre!$AE:$AE)</f>
        <v>-10.24224098089493</v>
      </c>
      <c r="F50" s="288">
        <f>SUMIF(Novembre!$A:$A,'p&amp;l Novembre'!D50,Novembre!$Y:$Y)</f>
        <v>-1.4</v>
      </c>
      <c r="G50" s="293" t="e">
        <f t="shared" ca="1" si="3"/>
        <v>#NAME?</v>
      </c>
      <c r="H50" s="293" t="e">
        <f t="shared" ca="1" si="3"/>
        <v>#NAME?</v>
      </c>
    </row>
    <row r="51" spans="1:13" x14ac:dyDescent="0.25">
      <c r="A51" t="s">
        <v>373</v>
      </c>
      <c r="B51" t="s">
        <v>196</v>
      </c>
      <c r="C51">
        <v>0</v>
      </c>
      <c r="D51" t="s">
        <v>524</v>
      </c>
      <c r="E51" s="327">
        <f>SUMIF(Novembre!$A:$A,'p&amp;l Novembre'!D51,Novembre!$AE:$AE)</f>
        <v>0</v>
      </c>
      <c r="F51" s="288">
        <f>SUMIF(Novembre!$A:$A,'p&amp;l Novembre'!D51,Novembre!$Y:$Y)</f>
        <v>0</v>
      </c>
      <c r="G51" s="293" t="e">
        <f t="shared" ca="1" si="3"/>
        <v>#NAME?</v>
      </c>
      <c r="H51" s="293" t="e">
        <f t="shared" ca="1" si="3"/>
        <v>#NAME?</v>
      </c>
    </row>
    <row r="52" spans="1:13" x14ac:dyDescent="0.25">
      <c r="A52" t="s">
        <v>374</v>
      </c>
      <c r="B52" t="s">
        <v>196</v>
      </c>
      <c r="C52">
        <v>0</v>
      </c>
      <c r="D52" t="s">
        <v>522</v>
      </c>
      <c r="E52" s="327">
        <f>SUMIF(Novembre!$A:$A,'p&amp;l Novembre'!D52,Novembre!$AE:$AE)</f>
        <v>-60.673430000000003</v>
      </c>
      <c r="F52" s="288">
        <f>SUMIF(Novembre!$A:$A,'p&amp;l Novembre'!D52,Novembre!$Y:$Y)</f>
        <v>0</v>
      </c>
      <c r="G52" s="293" t="e">
        <f t="shared" ca="1" si="3"/>
        <v>#NAME?</v>
      </c>
      <c r="H52" s="293" t="e">
        <f t="shared" ca="1" si="3"/>
        <v>#NAME?</v>
      </c>
    </row>
    <row r="53" spans="1:13" x14ac:dyDescent="0.25">
      <c r="A53" t="s">
        <v>371</v>
      </c>
      <c r="B53" t="s">
        <v>196</v>
      </c>
      <c r="C53">
        <v>0</v>
      </c>
      <c r="D53" t="s">
        <v>525</v>
      </c>
      <c r="E53" s="327">
        <f>SUMIF(Novembre!$A:$A,'p&amp;l Novembre'!D53,Novembre!$AE:$AE)</f>
        <v>-0.65</v>
      </c>
      <c r="F53" s="288">
        <f>SUMIF(Novembre!$A:$A,'p&amp;l Novembre'!D53,Novembre!$Y:$Y)</f>
        <v>0</v>
      </c>
      <c r="G53" s="293" t="e">
        <f t="shared" ca="1" si="3"/>
        <v>#NAME?</v>
      </c>
      <c r="H53" s="293" t="e">
        <f t="shared" ca="1" si="3"/>
        <v>#NAME?</v>
      </c>
    </row>
    <row r="54" spans="1:13" x14ac:dyDescent="0.25">
      <c r="A54" t="s">
        <v>367</v>
      </c>
      <c r="B54" t="s">
        <v>196</v>
      </c>
      <c r="C54">
        <v>0</v>
      </c>
      <c r="D54" t="s">
        <v>523</v>
      </c>
      <c r="E54" s="327">
        <f>SUMIF(Novembre!$A:$A,'p&amp;l Novembre'!D54,Novembre!$AE:$AE)</f>
        <v>-1.843</v>
      </c>
      <c r="F54" s="288">
        <f>SUMIF(Novembre!$A:$A,'p&amp;l Novembre'!D54,Novembre!$Y:$Y)</f>
        <v>-1.5</v>
      </c>
      <c r="G54" s="293" t="e">
        <f t="shared" ca="1" si="3"/>
        <v>#NAME?</v>
      </c>
      <c r="H54" s="293" t="e">
        <f t="shared" ca="1" si="3"/>
        <v>#NAME?</v>
      </c>
    </row>
    <row r="55" spans="1:13" x14ac:dyDescent="0.25">
      <c r="A55" t="s">
        <v>378</v>
      </c>
      <c r="B55" t="s">
        <v>296</v>
      </c>
      <c r="D55" t="s">
        <v>645</v>
      </c>
      <c r="E55" s="327">
        <f>SUMIF(Novembre!$A:$A,'p&amp;l Novembre'!D55,Novembre!$AE:$AE)</f>
        <v>-27.242416666666706</v>
      </c>
      <c r="F55" s="288">
        <f>SUMIF(Novembre!$A:$A,'p&amp;l Novembre'!D55,Novembre!$Y:$Y)</f>
        <v>0</v>
      </c>
      <c r="G55" s="293" t="e">
        <f t="shared" ca="1" si="3"/>
        <v>#NAME?</v>
      </c>
      <c r="H55" s="293" t="e">
        <f t="shared" ca="1" si="3"/>
        <v>#NAME?</v>
      </c>
    </row>
    <row r="56" spans="1:13" x14ac:dyDescent="0.25">
      <c r="A56" t="s">
        <v>776</v>
      </c>
      <c r="B56" t="s">
        <v>776</v>
      </c>
      <c r="C56" t="s">
        <v>776</v>
      </c>
      <c r="D56" s="147" t="s">
        <v>726</v>
      </c>
      <c r="E56" s="326">
        <f>SUM(E47:E55)</f>
        <v>-196.99543474564638</v>
      </c>
      <c r="F56" s="294">
        <f>SUMIF(Fev!$A:$A,'p&amp;l Novembre'!D56,Fev!$X:$X)</f>
        <v>0</v>
      </c>
      <c r="G56" s="294"/>
      <c r="H56" s="294"/>
    </row>
    <row r="57" spans="1:13" x14ac:dyDescent="0.25">
      <c r="A57" t="s">
        <v>776</v>
      </c>
      <c r="B57" t="s">
        <v>776</v>
      </c>
      <c r="C57" t="s">
        <v>776</v>
      </c>
      <c r="D57" s="127"/>
      <c r="E57" s="327"/>
      <c r="G57" s="286"/>
      <c r="H57" s="286"/>
    </row>
    <row r="58" spans="1:13" x14ac:dyDescent="0.25">
      <c r="A58" t="s">
        <v>393</v>
      </c>
      <c r="B58" t="s">
        <v>172</v>
      </c>
      <c r="C58">
        <v>0</v>
      </c>
      <c r="D58" t="s">
        <v>526</v>
      </c>
      <c r="E58" s="327">
        <f>SUMIF(Novembre!$A:$A,'p&amp;l Novembre'!D58,Novembre!$AE:$AE)</f>
        <v>-4.641</v>
      </c>
      <c r="F58" s="288">
        <f>SUMIF(Novembre!$A:$A,'p&amp;l Novembre'!D58,Novembre!$Y:$Y)</f>
        <v>-4.375</v>
      </c>
      <c r="G58" s="293" t="e">
        <f t="shared" ref="G58:H62" ca="1" si="4">PutCtData("PKAMOUNT","AMOUNT",G$4:G$7,$A58:$C58,G$10:G$11,$E58)</f>
        <v>#NAME?</v>
      </c>
      <c r="H58" s="293" t="e">
        <f t="shared" ca="1" si="4"/>
        <v>#NAME?</v>
      </c>
    </row>
    <row r="59" spans="1:13" x14ac:dyDescent="0.25">
      <c r="A59" t="s">
        <v>385</v>
      </c>
      <c r="B59" t="s">
        <v>172</v>
      </c>
      <c r="C59" t="s">
        <v>386</v>
      </c>
      <c r="D59" t="s">
        <v>527</v>
      </c>
      <c r="E59" s="327">
        <f>SUMIF(Novembre!$A:$A,'p&amp;l Novembre'!D59,Novembre!$AE:$AE)</f>
        <v>-4.8145366666666627</v>
      </c>
      <c r="F59" s="288">
        <f>SUMIF(Novembre!$A:$A,'p&amp;l Novembre'!D59,Novembre!$Y:$Y)</f>
        <v>0</v>
      </c>
      <c r="G59" s="293" t="e">
        <f t="shared" ca="1" si="4"/>
        <v>#NAME?</v>
      </c>
      <c r="H59" s="293" t="e">
        <f t="shared" ca="1" si="4"/>
        <v>#NAME?</v>
      </c>
    </row>
    <row r="60" spans="1:13" x14ac:dyDescent="0.25">
      <c r="A60" t="s">
        <v>399</v>
      </c>
      <c r="B60" t="s">
        <v>172</v>
      </c>
      <c r="C60">
        <v>0</v>
      </c>
      <c r="D60" t="s">
        <v>528</v>
      </c>
      <c r="E60" s="327">
        <f>SUMIF(Novembre!$A:$A,'p&amp;l Novembre'!D60,Novembre!$AE:$AE)</f>
        <v>-7.8652599999999993</v>
      </c>
      <c r="F60" s="288">
        <f>SUMIF(Novembre!$A:$A,'p&amp;l Novembre'!D60,Novembre!$Y:$Y)</f>
        <v>-0.5</v>
      </c>
      <c r="G60" s="293" t="e">
        <f t="shared" ca="1" si="4"/>
        <v>#NAME?</v>
      </c>
      <c r="H60" s="293" t="e">
        <f t="shared" ca="1" si="4"/>
        <v>#NAME?</v>
      </c>
    </row>
    <row r="61" spans="1:13" x14ac:dyDescent="0.25">
      <c r="A61" t="s">
        <v>394</v>
      </c>
      <c r="B61" t="s">
        <v>172</v>
      </c>
      <c r="C61">
        <v>0</v>
      </c>
      <c r="D61" t="s">
        <v>529</v>
      </c>
      <c r="E61" s="327">
        <f>SUMIF(Novembre!$A:$A,'p&amp;l Novembre'!D61,Novembre!$AE:$AE)</f>
        <v>-3.4315700000000002</v>
      </c>
      <c r="F61" s="288">
        <f>SUMIF(Novembre!$A:$A,'p&amp;l Novembre'!D61,Novembre!$Y:$Y)</f>
        <v>0</v>
      </c>
      <c r="G61" s="293" t="e">
        <f t="shared" ca="1" si="4"/>
        <v>#NAME?</v>
      </c>
      <c r="H61" s="293" t="e">
        <f t="shared" ca="1" si="4"/>
        <v>#NAME?</v>
      </c>
    </row>
    <row r="62" spans="1:13" x14ac:dyDescent="0.25">
      <c r="A62" t="s">
        <v>774</v>
      </c>
      <c r="B62" t="s">
        <v>172</v>
      </c>
      <c r="D62" t="s">
        <v>772</v>
      </c>
      <c r="E62" s="327">
        <f>SUMIF(Novembre!$A:$A,'p&amp;l Novembre'!D62,Novembre!$AE:$AE)</f>
        <v>0</v>
      </c>
      <c r="F62" s="288">
        <f>SUMIF(Novembre!$A:$A,'p&amp;l Novembre'!D62,Novembre!$Y:$Y)</f>
        <v>0</v>
      </c>
      <c r="G62" s="293" t="e">
        <f t="shared" ca="1" si="4"/>
        <v>#NAME?</v>
      </c>
      <c r="H62" s="293" t="e">
        <f t="shared" ca="1" si="4"/>
        <v>#NAME?</v>
      </c>
    </row>
    <row r="63" spans="1:13" x14ac:dyDescent="0.25">
      <c r="A63" t="s">
        <v>776</v>
      </c>
      <c r="B63" t="s">
        <v>776</v>
      </c>
      <c r="C63" t="s">
        <v>776</v>
      </c>
      <c r="D63" s="147" t="s">
        <v>727</v>
      </c>
      <c r="E63" s="326">
        <f>SUM(E58:E61)</f>
        <v>-20.752366666666664</v>
      </c>
      <c r="F63" s="294">
        <f>SUMIF(Fev!$A:$A,'p&amp;l Novembre'!D63,Fev!$X:$X)</f>
        <v>0</v>
      </c>
      <c r="G63" s="294"/>
      <c r="H63" s="294"/>
    </row>
    <row r="64" spans="1:13" x14ac:dyDescent="0.25">
      <c r="A64" t="s">
        <v>776</v>
      </c>
      <c r="B64" t="s">
        <v>776</v>
      </c>
      <c r="C64" t="s">
        <v>776</v>
      </c>
      <c r="D64" s="127"/>
      <c r="E64" s="327"/>
      <c r="G64" s="286"/>
      <c r="H64" s="286"/>
    </row>
    <row r="65" spans="1:8" x14ac:dyDescent="0.25">
      <c r="A65" t="s">
        <v>404</v>
      </c>
      <c r="B65" t="s">
        <v>172</v>
      </c>
      <c r="C65" t="s">
        <v>201</v>
      </c>
      <c r="D65" t="s">
        <v>530</v>
      </c>
      <c r="E65" s="327">
        <f>SUMIF(Novembre!$A:$A,'p&amp;l Novembre'!D65,Novembre!$U:$U)</f>
        <v>-56.71978</v>
      </c>
      <c r="F65" s="288">
        <f>SUMIF(Novembre!$A:$A,'p&amp;l Novembre'!D65,Novembre!$Y:$Y)</f>
        <v>0</v>
      </c>
      <c r="G65" s="293" t="e">
        <f ca="1">PutCtData("PKAMOUNT","AMOUNT",G$4:G$7,$A65:$C65,G$10:G$11,$E65)</f>
        <v>#NAME?</v>
      </c>
      <c r="H65" s="293" t="e">
        <f ca="1">PutCtData("PKAMOUNT","AMOUNT",H$4:H$7,$A65:$C65,H$10:H$11,$E65)</f>
        <v>#NAME?</v>
      </c>
    </row>
    <row r="66" spans="1:8" x14ac:dyDescent="0.25">
      <c r="A66" t="s">
        <v>776</v>
      </c>
      <c r="B66" t="s">
        <v>776</v>
      </c>
      <c r="C66" t="s">
        <v>776</v>
      </c>
      <c r="D66" s="147" t="s">
        <v>728</v>
      </c>
      <c r="E66" s="326">
        <f>SUM(E64:E65)</f>
        <v>-56.71978</v>
      </c>
      <c r="F66" s="294">
        <f>SUMIF(Fev!$A:$A,'p&amp;l Novembre'!D66,Fev!$X:$X)</f>
        <v>0</v>
      </c>
      <c r="G66" s="294"/>
      <c r="H66" s="294"/>
    </row>
    <row r="67" spans="1:8" x14ac:dyDescent="0.25">
      <c r="E67" s="327"/>
    </row>
    <row r="68" spans="1:8" x14ac:dyDescent="0.25">
      <c r="A68" t="s">
        <v>420</v>
      </c>
      <c r="B68" t="s">
        <v>172</v>
      </c>
      <c r="C68">
        <v>0</v>
      </c>
      <c r="D68" t="s">
        <v>532</v>
      </c>
      <c r="E68" s="327">
        <f>SUMIF(Novembre!$A:$A,'p&amp;l Novembre'!D68,Novembre!$AE:$AE)</f>
        <v>2.7191600000000005</v>
      </c>
      <c r="F68" s="288">
        <f>SUMIF(Novembre!$A:$A,'p&amp;l Novembre'!D68,Novembre!$Y:$Y)</f>
        <v>0</v>
      </c>
      <c r="G68" s="293" t="e">
        <f ca="1">PutCtData("PKAMOUNT","AMOUNT",G$4:G$7,$A68:$C68,G$10:G$11,$E68)</f>
        <v>#NAME?</v>
      </c>
      <c r="H68" s="293" t="e">
        <f ca="1">PutCtData("PKAMOUNT","AMOUNT",H$4:H$7,$A68:$C68,H$10:H$11,$E68)</f>
        <v>#NAME?</v>
      </c>
    </row>
    <row r="69" spans="1:8" x14ac:dyDescent="0.25">
      <c r="A69" t="s">
        <v>776</v>
      </c>
      <c r="B69" t="s">
        <v>776</v>
      </c>
      <c r="C69" t="s">
        <v>776</v>
      </c>
      <c r="D69" s="147" t="s">
        <v>769</v>
      </c>
      <c r="E69" s="326">
        <f>SUM(E68)</f>
        <v>2.7191600000000005</v>
      </c>
      <c r="F69" s="294">
        <f>SUMIF(Fev!$A:$A,'p&amp;l Novembre'!D69,Fev!$X:$X)</f>
        <v>0</v>
      </c>
      <c r="G69" s="294"/>
      <c r="H69" s="294"/>
    </row>
    <row r="70" spans="1:8" x14ac:dyDescent="0.25">
      <c r="E70" s="327"/>
    </row>
    <row r="71" spans="1:8" x14ac:dyDescent="0.25">
      <c r="D71" s="147" t="s">
        <v>761</v>
      </c>
      <c r="E71" s="326">
        <f>SUM(E29+E33+E39+E45+E56+E63+E66+E69)</f>
        <v>-3808.8397841404267</v>
      </c>
    </row>
    <row r="72" spans="1:8" x14ac:dyDescent="0.25">
      <c r="E72" s="327"/>
    </row>
    <row r="73" spans="1:8" x14ac:dyDescent="0.25">
      <c r="E73" s="327"/>
    </row>
    <row r="74" spans="1:8" x14ac:dyDescent="0.25">
      <c r="D74" s="147" t="s">
        <v>764</v>
      </c>
      <c r="E74" s="330">
        <f>E16+E71</f>
        <v>668.96000219290363</v>
      </c>
    </row>
    <row r="75" spans="1:8" x14ac:dyDescent="0.25">
      <c r="D75" t="s">
        <v>762</v>
      </c>
      <c r="E75" s="331">
        <f>+Novembre!AE207</f>
        <v>797.94381398346957</v>
      </c>
    </row>
    <row r="76" spans="1:8" x14ac:dyDescent="0.25">
      <c r="D76" s="315" t="s">
        <v>763</v>
      </c>
      <c r="E76" s="474">
        <f>E74-E75</f>
        <v>-128.98381179056594</v>
      </c>
    </row>
  </sheetData>
  <dataValidations count="2">
    <dataValidation type="list" allowBlank="1" showInputMessage="1" showErrorMessage="1" sqref="D3">
      <formula1>".01,.02,.03,.04,.05,.06,.07,.08,.09,.10,.11,.12"</formula1>
    </dataValidation>
    <dataValidation type="list" allowBlank="1" showInputMessage="1" showErrorMessage="1" sqref="D2">
      <formula1>"2010,2011,2012,2013,2014,2015,2016,2017,2018,2019,2020"</formula1>
    </dataValidation>
  </dataValidations>
  <pageMargins left="0.70866141732283472" right="0.70866141732283472" top="0.74803149606299213" bottom="0.74803149606299213" header="0.31496062992125984" footer="0.31496062992125984"/>
  <pageSetup paperSize="9" scale="9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17</vt:i4>
      </vt:variant>
    </vt:vector>
  </HeadingPairs>
  <TitlesOfParts>
    <vt:vector size="46" baseType="lpstr">
      <vt:lpstr>mapping_one_neo</vt:lpstr>
      <vt:lpstr>mapping_one</vt:lpstr>
      <vt:lpstr>2015 July actuals</vt:lpstr>
      <vt:lpstr>Actuals juin</vt:lpstr>
      <vt:lpstr>Actuals INP</vt:lpstr>
      <vt:lpstr>p&amp;l</vt:lpstr>
      <vt:lpstr>ForecastSept</vt:lpstr>
      <vt:lpstr>Janv</vt:lpstr>
      <vt:lpstr>p&amp;l Janv</vt:lpstr>
      <vt:lpstr>Fev</vt:lpstr>
      <vt:lpstr>p&amp;l Fev</vt:lpstr>
      <vt:lpstr>Mar</vt:lpstr>
      <vt:lpstr>p&amp;l Mar</vt:lpstr>
      <vt:lpstr>Avril</vt:lpstr>
      <vt:lpstr>p&amp;l Avril</vt:lpstr>
      <vt:lpstr>Mai</vt:lpstr>
      <vt:lpstr>p&amp;l Mai</vt:lpstr>
      <vt:lpstr>Juin</vt:lpstr>
      <vt:lpstr>p&amp;l Juin</vt:lpstr>
      <vt:lpstr>Juillet</vt:lpstr>
      <vt:lpstr>p&amp;l Juillet</vt:lpstr>
      <vt:lpstr>Août</vt:lpstr>
      <vt:lpstr>p&amp;l Août</vt:lpstr>
      <vt:lpstr>Sept</vt:lpstr>
      <vt:lpstr>p&amp;l Sept</vt:lpstr>
      <vt:lpstr>Octobre</vt:lpstr>
      <vt:lpstr>p&amp;l Octobre</vt:lpstr>
      <vt:lpstr>Novembre</vt:lpstr>
      <vt:lpstr>p&amp;l Novembre</vt:lpstr>
      <vt:lpstr>'2015 July actuals'!Impression_des_titres</vt:lpstr>
      <vt:lpstr>'2015 July actuals'!month</vt:lpstr>
      <vt:lpstr>'2015 July actuals'!month_previous</vt:lpstr>
      <vt:lpstr>'2015 July actuals'!pack_budg</vt:lpstr>
      <vt:lpstr>'2015 July actuals'!year_act</vt:lpstr>
      <vt:lpstr>'2015 July actuals'!Zone_d_impression</vt:lpstr>
      <vt:lpstr>'p&amp;l Août'!Zone_d_impression</vt:lpstr>
      <vt:lpstr>'p&amp;l Avril'!Zone_d_impression</vt:lpstr>
      <vt:lpstr>'p&amp;l Fev'!Zone_d_impression</vt:lpstr>
      <vt:lpstr>'p&amp;l Janv'!Zone_d_impression</vt:lpstr>
      <vt:lpstr>'p&amp;l Juillet'!Zone_d_impression</vt:lpstr>
      <vt:lpstr>'p&amp;l Juin'!Zone_d_impression</vt:lpstr>
      <vt:lpstr>'p&amp;l Mai'!Zone_d_impression</vt:lpstr>
      <vt:lpstr>'p&amp;l Mar'!Zone_d_impression</vt:lpstr>
      <vt:lpstr>'p&amp;l Novembre'!Zone_d_impression</vt:lpstr>
      <vt:lpstr>'p&amp;l Octobre'!Zone_d_impression</vt:lpstr>
      <vt:lpstr>'p&amp;l Sept'!Zone_d_impression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Rondot</dc:creator>
  <cp:lastModifiedBy>Mickael Souami</cp:lastModifiedBy>
  <cp:lastPrinted>2016-06-01T17:18:22Z</cp:lastPrinted>
  <dcterms:created xsi:type="dcterms:W3CDTF">2015-07-02T15:40:16Z</dcterms:created>
  <dcterms:modified xsi:type="dcterms:W3CDTF">2017-12-06T11:21:13Z</dcterms:modified>
</cp:coreProperties>
</file>