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3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drawings/drawing4.xml" ContentType="application/vnd.openxmlformats-officedocument.drawing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drawings/drawing5.xml" ContentType="application/vnd.openxmlformats-officedocument.drawing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drawings/drawing6.xml" ContentType="application/vnd.openxmlformats-officedocument.drawing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drawings/drawing7.xml" ContentType="application/vnd.openxmlformats-officedocument.drawing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drawings/drawing8.xml" ContentType="application/vnd.openxmlformats-officedocument.drawing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9.xml" ContentType="application/vnd.openxmlformats-officedocument.drawing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drawings/drawing10.xml" ContentType="application/vnd.openxmlformats-officedocument.drawing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boombaap/Desktop/STAGE MADA/"/>
    </mc:Choice>
  </mc:AlternateContent>
  <bookViews>
    <workbookView xWindow="1360" yWindow="460" windowWidth="24160" windowHeight="15940" tabRatio="500" firstSheet="9" activeTab="9"/>
  </bookViews>
  <sheets>
    <sheet name="Feuil1" sheetId="1" r:id="rId1"/>
    <sheet name="Feuil2" sheetId="2" r:id="rId2"/>
    <sheet name="Feuil3" sheetId="3" r:id="rId3"/>
    <sheet name="typo des EA finale" sheetId="4" r:id="rId4"/>
    <sheet name="calendriers culturaux" sheetId="9" r:id="rId5"/>
    <sheet name="perf éco" sheetId="14" r:id="rId6"/>
    <sheet name="perf éco typo ecart type" sheetId="16" r:id="rId7"/>
    <sheet name="perf agro typo" sheetId="10" r:id="rId8"/>
    <sheet name="perf agro typo ecart type" sheetId="15" r:id="rId9"/>
    <sheet name="perf sociales typo" sheetId="11" r:id="rId10"/>
    <sheet name="perf sociales ecart type" sheetId="18" r:id="rId11"/>
    <sheet name="perf sociales P10_P90" sheetId="21" r:id="rId12"/>
    <sheet name="perf sociales Q1_Q3" sheetId="20" r:id="rId13"/>
    <sheet name="perf env typo" sheetId="12" r:id="rId14"/>
    <sheet name="calculs applications" sheetId="19" r:id="rId15"/>
    <sheet name="perf env typo ecart type " sheetId="17" r:id="rId16"/>
    <sheet name="Feuil5" sheetId="5" r:id="rId17"/>
    <sheet name="typo avec SAU modifiées" sheetId="8" r:id="rId18"/>
    <sheet name="% BF" sheetId="6" r:id="rId19"/>
  </sheets>
  <externalReferences>
    <externalReference r:id="rId20"/>
  </externalReferences>
  <definedNames>
    <definedName name="OLE_LINK1" localSheetId="8">'perf agro typo ecart type'!$H$1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8" i="11" l="1"/>
  <c r="D28" i="11"/>
  <c r="E28" i="11"/>
  <c r="F28" i="11"/>
  <c r="G28" i="11"/>
  <c r="H28" i="11"/>
  <c r="B28" i="11"/>
  <c r="C27" i="11"/>
  <c r="D27" i="11"/>
  <c r="E27" i="11"/>
  <c r="F27" i="11"/>
  <c r="H27" i="11"/>
  <c r="B27" i="11"/>
  <c r="C26" i="11"/>
  <c r="D26" i="11"/>
  <c r="E26" i="11"/>
  <c r="F26" i="11"/>
  <c r="H26" i="11"/>
  <c r="B26" i="11"/>
  <c r="H5" i="21"/>
  <c r="G5" i="21"/>
  <c r="F5" i="21"/>
  <c r="E5" i="21"/>
  <c r="D5" i="21"/>
  <c r="C5" i="21"/>
  <c r="G4" i="21"/>
  <c r="F4" i="21"/>
  <c r="E4" i="21"/>
  <c r="D4" i="21"/>
  <c r="C4" i="21"/>
  <c r="B4" i="21"/>
  <c r="H3" i="21"/>
  <c r="G3" i="21"/>
  <c r="F3" i="21"/>
  <c r="E3" i="21"/>
  <c r="D3" i="21"/>
  <c r="C3" i="21"/>
  <c r="H2" i="21"/>
  <c r="G2" i="21"/>
  <c r="F2" i="21"/>
  <c r="E2" i="21"/>
  <c r="D2" i="21"/>
  <c r="C2" i="21"/>
  <c r="C25" i="11"/>
  <c r="D25" i="11"/>
  <c r="E25" i="11"/>
  <c r="F25" i="11"/>
  <c r="H25" i="11"/>
  <c r="B25" i="11"/>
  <c r="C24" i="11"/>
  <c r="D24" i="11"/>
  <c r="E24" i="11"/>
  <c r="F24" i="11"/>
  <c r="H24" i="11"/>
  <c r="B24" i="11"/>
  <c r="H5" i="20"/>
  <c r="G5" i="20"/>
  <c r="F5" i="20"/>
  <c r="E5" i="20"/>
  <c r="D5" i="20"/>
  <c r="C5" i="20"/>
  <c r="G4" i="20"/>
  <c r="F4" i="20"/>
  <c r="E4" i="20"/>
  <c r="D4" i="20"/>
  <c r="C4" i="20"/>
  <c r="B4" i="20"/>
  <c r="H3" i="20"/>
  <c r="G3" i="20"/>
  <c r="F3" i="20"/>
  <c r="E3" i="20"/>
  <c r="D3" i="20"/>
  <c r="C3" i="20"/>
  <c r="H2" i="20"/>
  <c r="G2" i="20"/>
  <c r="F2" i="20"/>
  <c r="E2" i="20"/>
  <c r="D2" i="20"/>
  <c r="C2" i="20"/>
  <c r="D57" i="14"/>
  <c r="C57" i="14"/>
  <c r="B57" i="14"/>
  <c r="M6" i="19"/>
  <c r="M4" i="19"/>
  <c r="M2" i="19"/>
  <c r="C30" i="19"/>
  <c r="C29" i="19"/>
  <c r="C27" i="19"/>
  <c r="C26" i="19"/>
  <c r="C25" i="19"/>
  <c r="C23" i="19"/>
  <c r="C6" i="19"/>
  <c r="C5" i="19"/>
  <c r="C4" i="19"/>
  <c r="C3" i="19"/>
  <c r="C2" i="19"/>
  <c r="G8" i="19"/>
  <c r="B35" i="19"/>
  <c r="G5" i="19"/>
  <c r="B6" i="19"/>
  <c r="B25" i="19"/>
  <c r="B41" i="19"/>
  <c r="G2" i="19"/>
  <c r="B30" i="19"/>
  <c r="B29" i="19"/>
  <c r="B26" i="19"/>
  <c r="B23" i="19"/>
  <c r="D24" i="12"/>
  <c r="C24" i="12"/>
  <c r="R35" i="14"/>
  <c r="Y29" i="14"/>
  <c r="J36" i="14"/>
  <c r="X28" i="14"/>
  <c r="C20" i="16"/>
  <c r="C23" i="16"/>
  <c r="C22" i="16"/>
  <c r="C21" i="16"/>
  <c r="C56" i="14"/>
  <c r="W28" i="14"/>
  <c r="B56" i="14"/>
  <c r="B21" i="16"/>
  <c r="I36" i="14"/>
  <c r="B20" i="16"/>
  <c r="X29" i="14"/>
  <c r="W29" i="14"/>
  <c r="Y28" i="14"/>
  <c r="Y6" i="14"/>
  <c r="W6" i="14"/>
  <c r="D56" i="14"/>
  <c r="L15" i="14"/>
  <c r="P10" i="14"/>
  <c r="R10" i="14"/>
  <c r="D38" i="14"/>
  <c r="I12" i="14"/>
  <c r="K12" i="14"/>
  <c r="B38" i="14"/>
  <c r="C38" i="14"/>
  <c r="J12" i="14"/>
  <c r="Q10" i="14"/>
  <c r="X6" i="14"/>
  <c r="B23" i="16"/>
  <c r="D21" i="16"/>
  <c r="D20" i="16"/>
  <c r="C6" i="15"/>
  <c r="D6" i="15"/>
  <c r="E6" i="15"/>
  <c r="B6" i="15"/>
  <c r="C5" i="15"/>
  <c r="D5" i="15"/>
  <c r="E5" i="15"/>
  <c r="B5" i="15"/>
  <c r="C4" i="15"/>
  <c r="D4" i="15"/>
  <c r="E4" i="15"/>
  <c r="B4" i="15"/>
  <c r="E3" i="15"/>
  <c r="D3" i="15"/>
  <c r="C3" i="15"/>
  <c r="B3" i="15"/>
  <c r="R24" i="11"/>
  <c r="G5" i="18"/>
  <c r="C2" i="18"/>
  <c r="D2" i="18"/>
  <c r="E2" i="18"/>
  <c r="F2" i="18"/>
  <c r="G2" i="18"/>
  <c r="H2" i="18"/>
  <c r="B2" i="18"/>
  <c r="C3" i="18"/>
  <c r="D3" i="18"/>
  <c r="E3" i="18"/>
  <c r="F3" i="18"/>
  <c r="G3" i="18"/>
  <c r="H3" i="18"/>
  <c r="B3" i="18"/>
  <c r="C5" i="18"/>
  <c r="D5" i="18"/>
  <c r="E5" i="18"/>
  <c r="F5" i="18"/>
  <c r="H5" i="18"/>
  <c r="B5" i="18"/>
  <c r="G4" i="18"/>
  <c r="F4" i="18"/>
  <c r="E4" i="18"/>
  <c r="D4" i="18"/>
  <c r="C4" i="18"/>
  <c r="B4" i="18"/>
  <c r="AJ17" i="11"/>
  <c r="AK17" i="11"/>
  <c r="AL17" i="11"/>
  <c r="AM17" i="11"/>
  <c r="AN17" i="11"/>
  <c r="AO17" i="11"/>
  <c r="AI17" i="11"/>
  <c r="Y20" i="11"/>
  <c r="Z20" i="11"/>
  <c r="AA20" i="11"/>
  <c r="AD20" i="11"/>
  <c r="X20" i="11"/>
  <c r="N26" i="11"/>
  <c r="O26" i="11"/>
  <c r="P26" i="11"/>
  <c r="Q26" i="11"/>
  <c r="R26" i="11"/>
  <c r="S26" i="11"/>
  <c r="M26" i="11"/>
  <c r="C23" i="11"/>
  <c r="D23" i="11"/>
  <c r="E23" i="11"/>
  <c r="F23" i="11"/>
  <c r="G23" i="11"/>
  <c r="H23" i="11"/>
  <c r="B23" i="11"/>
  <c r="E6" i="17"/>
  <c r="D6" i="17"/>
  <c r="C6" i="17"/>
  <c r="B6" i="17"/>
  <c r="E5" i="17"/>
  <c r="D5" i="17"/>
  <c r="C5" i="17"/>
  <c r="B5" i="17"/>
  <c r="E3" i="17"/>
  <c r="D3" i="17"/>
  <c r="C3" i="17"/>
  <c r="B3" i="17"/>
  <c r="E4" i="17"/>
  <c r="D4" i="17"/>
  <c r="C4" i="17"/>
  <c r="B19" i="12"/>
  <c r="B4" i="17"/>
  <c r="X16" i="12"/>
  <c r="Y16" i="12"/>
  <c r="Q19" i="12"/>
  <c r="J24" i="12"/>
  <c r="K24" i="12"/>
  <c r="L24" i="12"/>
  <c r="C21" i="12"/>
  <c r="D21" i="12"/>
  <c r="E21" i="12"/>
  <c r="Q36" i="14"/>
  <c r="R36" i="14"/>
  <c r="P36" i="14"/>
  <c r="J37" i="14"/>
  <c r="K37" i="14"/>
  <c r="I37" i="14"/>
  <c r="X15" i="10"/>
  <c r="Y15" i="10"/>
  <c r="Z15" i="10"/>
  <c r="AA15" i="10"/>
  <c r="W15" i="10"/>
  <c r="Q20" i="10"/>
  <c r="R20" i="10"/>
  <c r="S20" i="10"/>
  <c r="T20" i="10"/>
  <c r="P20" i="10"/>
  <c r="J26" i="10"/>
  <c r="K26" i="10"/>
  <c r="L26" i="10"/>
  <c r="M26" i="10"/>
  <c r="I26" i="10"/>
  <c r="C23" i="10"/>
  <c r="D23" i="10"/>
  <c r="E23" i="10"/>
  <c r="F23" i="10"/>
  <c r="B23" i="10"/>
  <c r="BE10" i="11"/>
  <c r="J21" i="11"/>
  <c r="U24" i="11"/>
  <c r="AF18" i="11"/>
  <c r="AN14" i="11"/>
  <c r="AQ14" i="11"/>
  <c r="P35" i="14"/>
  <c r="J100" i="4"/>
  <c r="S12" i="4"/>
  <c r="S21" i="4"/>
  <c r="S30" i="4"/>
  <c r="S49" i="4"/>
  <c r="P61" i="4"/>
  <c r="X13" i="12"/>
  <c r="Y13" i="12"/>
  <c r="Z13" i="12"/>
  <c r="W13" i="12"/>
  <c r="Q17" i="12"/>
  <c r="R17" i="12"/>
  <c r="S17" i="12"/>
  <c r="P17" i="12"/>
  <c r="J21" i="12"/>
  <c r="K21" i="12"/>
  <c r="L21" i="12"/>
  <c r="I21" i="12"/>
  <c r="M24" i="11"/>
  <c r="X18" i="11"/>
  <c r="AI14" i="11"/>
  <c r="C19" i="12"/>
  <c r="D19" i="12"/>
  <c r="E19" i="12"/>
  <c r="AJ14" i="11"/>
  <c r="AK14" i="11"/>
  <c r="AL14" i="11"/>
  <c r="AM14" i="11"/>
  <c r="AO14" i="11"/>
  <c r="Y18" i="11"/>
  <c r="Z18" i="11"/>
  <c r="AA18" i="11"/>
  <c r="AB18" i="11"/>
  <c r="AC18" i="11"/>
  <c r="AD18" i="11"/>
  <c r="N24" i="11"/>
  <c r="O24" i="11"/>
  <c r="P24" i="11"/>
  <c r="Q24" i="11"/>
  <c r="S24" i="11"/>
  <c r="C21" i="11"/>
  <c r="D21" i="11"/>
  <c r="E21" i="11"/>
  <c r="F21" i="11"/>
  <c r="G21" i="11"/>
  <c r="H21" i="11"/>
  <c r="B21" i="11"/>
  <c r="X13" i="10"/>
  <c r="Y13" i="10"/>
  <c r="Z13" i="10"/>
  <c r="AA13" i="10"/>
  <c r="W13" i="10"/>
  <c r="Q17" i="10"/>
  <c r="R17" i="10"/>
  <c r="S17" i="10"/>
  <c r="T17" i="10"/>
  <c r="P17" i="10"/>
  <c r="J23" i="10"/>
  <c r="K23" i="10"/>
  <c r="L23" i="10"/>
  <c r="M23" i="10"/>
  <c r="I23" i="10"/>
  <c r="C20" i="10"/>
  <c r="D20" i="10"/>
  <c r="E20" i="10"/>
  <c r="F20" i="10"/>
  <c r="B20" i="10"/>
  <c r="C53" i="9"/>
  <c r="D53" i="9"/>
  <c r="E53" i="9"/>
  <c r="F53" i="9"/>
  <c r="G53" i="9"/>
  <c r="H53" i="9"/>
  <c r="I53" i="9"/>
  <c r="J53" i="9"/>
  <c r="K53" i="9"/>
  <c r="L53" i="9"/>
  <c r="M53" i="9"/>
  <c r="N53" i="9"/>
  <c r="O53" i="9"/>
  <c r="P53" i="9"/>
  <c r="Q53" i="9"/>
  <c r="R53" i="9"/>
  <c r="S53" i="9"/>
  <c r="T53" i="9"/>
  <c r="U53" i="9"/>
  <c r="V53" i="9"/>
  <c r="W53" i="9"/>
  <c r="X53" i="9"/>
  <c r="Y53" i="9"/>
  <c r="Z53" i="9"/>
  <c r="AA53" i="9"/>
  <c r="AB53" i="9"/>
  <c r="AC53" i="9"/>
  <c r="AD53" i="9"/>
  <c r="AE53" i="9"/>
  <c r="AF53" i="9"/>
  <c r="B53" i="9"/>
  <c r="C45" i="9"/>
  <c r="D45" i="9"/>
  <c r="E45" i="9"/>
  <c r="F45" i="9"/>
  <c r="G45" i="9"/>
  <c r="H45" i="9"/>
  <c r="I45" i="9"/>
  <c r="J45" i="9"/>
  <c r="K45" i="9"/>
  <c r="L45" i="9"/>
  <c r="M45" i="9"/>
  <c r="N45" i="9"/>
  <c r="O45" i="9"/>
  <c r="P45" i="9"/>
  <c r="Q45" i="9"/>
  <c r="R45" i="9"/>
  <c r="S45" i="9"/>
  <c r="T45" i="9"/>
  <c r="U45" i="9"/>
  <c r="V45" i="9"/>
  <c r="W45" i="9"/>
  <c r="X45" i="9"/>
  <c r="Y45" i="9"/>
  <c r="Z45" i="9"/>
  <c r="AA45" i="9"/>
  <c r="AB45" i="9"/>
  <c r="B45" i="9"/>
  <c r="C33" i="9"/>
  <c r="D33" i="9"/>
  <c r="E33" i="9"/>
  <c r="F33" i="9"/>
  <c r="G33" i="9"/>
  <c r="H33" i="9"/>
  <c r="I33" i="9"/>
  <c r="J33" i="9"/>
  <c r="K33" i="9"/>
  <c r="L33" i="9"/>
  <c r="M33" i="9"/>
  <c r="N33" i="9"/>
  <c r="O33" i="9"/>
  <c r="P33" i="9"/>
  <c r="Q33" i="9"/>
  <c r="R33" i="9"/>
  <c r="S33" i="9"/>
  <c r="T33" i="9"/>
  <c r="U33" i="9"/>
  <c r="V33" i="9"/>
  <c r="W33" i="9"/>
  <c r="X33" i="9"/>
  <c r="Y33" i="9"/>
  <c r="Z33" i="9"/>
  <c r="AA33" i="9"/>
  <c r="AB33" i="9"/>
  <c r="AF33" i="9"/>
  <c r="B33" i="9"/>
  <c r="B15" i="9"/>
  <c r="C15" i="9"/>
  <c r="D15" i="9"/>
  <c r="E15" i="9"/>
  <c r="F15" i="9"/>
  <c r="G15" i="9"/>
  <c r="H15" i="9"/>
  <c r="I15" i="9"/>
  <c r="J15" i="9"/>
  <c r="K15" i="9"/>
  <c r="M15" i="9"/>
  <c r="O15" i="9"/>
  <c r="AD15" i="9"/>
  <c r="AF15" i="9"/>
  <c r="W15" i="9"/>
  <c r="X15" i="9"/>
  <c r="Y15" i="9"/>
  <c r="Z15" i="9"/>
  <c r="AA15" i="9"/>
  <c r="AB15" i="9"/>
  <c r="Q15" i="9"/>
  <c r="R15" i="9"/>
  <c r="S15" i="9"/>
  <c r="T15" i="9"/>
  <c r="U15" i="9"/>
  <c r="V15" i="9"/>
  <c r="P15" i="9"/>
  <c r="I72" i="4"/>
  <c r="G2" i="6"/>
  <c r="G1" i="6"/>
  <c r="B43" i="4"/>
  <c r="D72" i="4"/>
  <c r="M72" i="4"/>
  <c r="J72" i="4"/>
  <c r="C72" i="4"/>
  <c r="B72" i="4"/>
  <c r="M43" i="4"/>
  <c r="E43" i="4"/>
  <c r="D43" i="4"/>
  <c r="C43" i="4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  <c r="J2" i="5"/>
  <c r="C57" i="4"/>
  <c r="J57" i="4"/>
  <c r="M57" i="4"/>
  <c r="F57" i="4"/>
  <c r="K22" i="4"/>
  <c r="K41" i="3"/>
  <c r="K39" i="3"/>
  <c r="K38" i="3"/>
  <c r="K36" i="3"/>
  <c r="K30" i="3"/>
  <c r="K24" i="3"/>
  <c r="K23" i="3"/>
  <c r="K19" i="3"/>
  <c r="K21" i="3"/>
  <c r="K16" i="3"/>
  <c r="K12" i="3"/>
  <c r="K10" i="3"/>
  <c r="K7" i="3"/>
  <c r="K5" i="3"/>
  <c r="K40" i="3"/>
  <c r="K37" i="3"/>
  <c r="K35" i="3"/>
  <c r="K34" i="3"/>
  <c r="K33" i="3"/>
  <c r="K32" i="3"/>
  <c r="K31" i="3"/>
  <c r="K29" i="3"/>
  <c r="K28" i="3"/>
  <c r="K27" i="3"/>
  <c r="K26" i="3"/>
  <c r="K25" i="3"/>
  <c r="K22" i="3"/>
  <c r="K20" i="3"/>
  <c r="K18" i="3"/>
  <c r="K17" i="3"/>
  <c r="K15" i="3"/>
  <c r="K14" i="3"/>
  <c r="K13" i="3"/>
  <c r="K11" i="3"/>
  <c r="K9" i="3"/>
  <c r="K8" i="3"/>
  <c r="K6" i="3"/>
  <c r="K4" i="3"/>
  <c r="K3" i="3"/>
  <c r="K2" i="3"/>
</calcChain>
</file>

<file path=xl/sharedStrings.xml><?xml version="1.0" encoding="utf-8"?>
<sst xmlns="http://schemas.openxmlformats.org/spreadsheetml/2006/main" count="4647" uniqueCount="391">
  <si>
    <t xml:space="preserve">équipement </t>
  </si>
  <si>
    <t xml:space="preserve">autosuffisance </t>
  </si>
  <si>
    <t xml:space="preserve">zébus </t>
  </si>
  <si>
    <t xml:space="preserve">MOF </t>
  </si>
  <si>
    <t xml:space="preserve">MOS </t>
  </si>
  <si>
    <t xml:space="preserve">migrant </t>
  </si>
  <si>
    <t xml:space="preserve">Propriétaire </t>
  </si>
  <si>
    <t>Projet futur</t>
  </si>
  <si>
    <t xml:space="preserve">surfaces BF </t>
  </si>
  <si>
    <t>Poids revenu exté sur revenu total</t>
  </si>
  <si>
    <t>commerci</t>
  </si>
  <si>
    <t>P1</t>
  </si>
  <si>
    <t>C2</t>
  </si>
  <si>
    <t>Pr 2</t>
  </si>
  <si>
    <t>Pr 1</t>
  </si>
  <si>
    <t>C1</t>
  </si>
  <si>
    <t>Pr 4</t>
  </si>
  <si>
    <t>C3</t>
  </si>
  <si>
    <t>P3</t>
  </si>
  <si>
    <t>Pr1</t>
  </si>
  <si>
    <t>Pr 3</t>
  </si>
  <si>
    <t>P2</t>
  </si>
  <si>
    <t>SAU/actif</t>
  </si>
  <si>
    <t xml:space="preserve">non </t>
  </si>
  <si>
    <t>oui</t>
  </si>
  <si>
    <t>S1</t>
  </si>
  <si>
    <t>S2</t>
  </si>
  <si>
    <t>S3</t>
  </si>
  <si>
    <t>B1</t>
  </si>
  <si>
    <t>B2</t>
  </si>
  <si>
    <t>B3</t>
  </si>
  <si>
    <t>MF1</t>
  </si>
  <si>
    <t>MF2</t>
  </si>
  <si>
    <t>MF3</t>
  </si>
  <si>
    <t>non</t>
  </si>
  <si>
    <t>Pr 0</t>
  </si>
  <si>
    <t>MS0</t>
  </si>
  <si>
    <t>MS1</t>
  </si>
  <si>
    <t>MS2</t>
  </si>
  <si>
    <t>B0</t>
  </si>
  <si>
    <t>Z0</t>
  </si>
  <si>
    <t>Z1</t>
  </si>
  <si>
    <t>Z2</t>
  </si>
  <si>
    <t>E1</t>
  </si>
  <si>
    <t>E2</t>
  </si>
  <si>
    <t>E3</t>
  </si>
  <si>
    <t>RE0</t>
  </si>
  <si>
    <t>RE1</t>
  </si>
  <si>
    <t>RE2</t>
  </si>
  <si>
    <t>RE3</t>
  </si>
  <si>
    <t>RE4</t>
  </si>
  <si>
    <t xml:space="preserve">peu de zébus </t>
  </si>
  <si>
    <t>faible main d œuvre familiale</t>
  </si>
  <si>
    <t>faible ou quasi pas de main d'œuvre salar. Perm</t>
  </si>
  <si>
    <t xml:space="preserve">revenus </t>
  </si>
  <si>
    <t>groupe avec les plus forts revenus extra</t>
  </si>
  <si>
    <t>surfaces de BF quasi nulles</t>
  </si>
  <si>
    <t>ont tous entre 1 et 3 MF</t>
  </si>
  <si>
    <t>ont peu de salariés</t>
  </si>
  <si>
    <t>1 seul a revenu extra</t>
  </si>
  <si>
    <t>SAU/ACTIF entre 0,5 et 2</t>
  </si>
  <si>
    <t>moyennement équipés</t>
  </si>
  <si>
    <t xml:space="preserve">surfaces de BF variable entre 0,1 et 0,5 ha </t>
  </si>
  <si>
    <t>très bien équipés</t>
  </si>
  <si>
    <t xml:space="preserve">majorité à max 2 zébus sinon </t>
  </si>
  <si>
    <t>ont tous 2 zébus</t>
  </si>
  <si>
    <t>MF quasi égale à MS</t>
  </si>
  <si>
    <t>MS quasi égale à MF</t>
  </si>
  <si>
    <t>revenus extra max de 52 %</t>
  </si>
  <si>
    <t>quasi 0 BF</t>
  </si>
  <si>
    <t xml:space="preserve">SAU/ACTif rien à dire </t>
  </si>
  <si>
    <t xml:space="preserve">tous très bien équipés </t>
  </si>
  <si>
    <t>projet vers les améliorations tk culturales</t>
  </si>
  <si>
    <t>projet vers TK et augmenter les surfaces cultivées</t>
  </si>
  <si>
    <t>projets technique et BF surtout s'ils n'ont pas de BF</t>
  </si>
  <si>
    <t>peu autosuffisants</t>
  </si>
  <si>
    <t>autosuffisants</t>
  </si>
  <si>
    <t>pas de zébu</t>
  </si>
  <si>
    <t xml:space="preserve">entre 1 et 3 mf </t>
  </si>
  <si>
    <t>entre 1 et 3 salarié</t>
  </si>
  <si>
    <t>revenus agris les + importants</t>
  </si>
  <si>
    <t xml:space="preserve">BF entre 0?5 et 1 ha </t>
  </si>
  <si>
    <t>SAU/ACTif entre 0,5 et 2</t>
  </si>
  <si>
    <t>mal équipé</t>
  </si>
  <si>
    <t>augmenter les bas fonds</t>
  </si>
  <si>
    <t xml:space="preserve">max 2 zébus </t>
  </si>
  <si>
    <t xml:space="preserve">plus de 3 actifs familiaux </t>
  </si>
  <si>
    <t xml:space="preserve">pas de salariés </t>
  </si>
  <si>
    <t>BF variables</t>
  </si>
  <si>
    <t>SAU/ACTif variables</t>
  </si>
  <si>
    <t>bien équipé</t>
  </si>
  <si>
    <t>tanety</t>
  </si>
  <si>
    <t>pas autosuffisants</t>
  </si>
  <si>
    <t xml:space="preserve">zébus variables </t>
  </si>
  <si>
    <t xml:space="preserve">entre 1 et 3 </t>
  </si>
  <si>
    <t>salariés variables</t>
  </si>
  <si>
    <t>revenus variables</t>
  </si>
  <si>
    <t>BF élevés</t>
  </si>
  <si>
    <t>SAU/ACTif grande</t>
  </si>
  <si>
    <t>équipement variable</t>
  </si>
  <si>
    <t>tanety et bas fonds</t>
  </si>
  <si>
    <t>SAU/actifs</t>
  </si>
  <si>
    <t>vendent moins de 50%</t>
  </si>
  <si>
    <t>petits élévages</t>
  </si>
  <si>
    <t xml:space="preserve">Petits élevages </t>
  </si>
  <si>
    <t>NA</t>
  </si>
  <si>
    <t xml:space="preserve">ok </t>
  </si>
  <si>
    <t>ok</t>
  </si>
  <si>
    <t>Pr4</t>
  </si>
  <si>
    <t>Qui a des BF ?</t>
  </si>
  <si>
    <t>16 personnes</t>
  </si>
  <si>
    <t xml:space="preserve">Qui est autochtone et a des BF ? </t>
  </si>
  <si>
    <t>10 personnes</t>
  </si>
  <si>
    <t xml:space="preserve">Donc en rège générale, les autochtones ont des BF </t>
  </si>
  <si>
    <t>R4</t>
  </si>
  <si>
    <t>H</t>
  </si>
  <si>
    <t>radio</t>
  </si>
  <si>
    <t>formateurs</t>
  </si>
  <si>
    <t>élevée</t>
  </si>
  <si>
    <t xml:space="preserve">oui </t>
  </si>
  <si>
    <t>nouvelles responsabilités</t>
  </si>
  <si>
    <t xml:space="preserve">adaptatif </t>
  </si>
  <si>
    <t>lombricompost</t>
  </si>
  <si>
    <t>R8</t>
  </si>
  <si>
    <t>formation en salle</t>
  </si>
  <si>
    <t>nouvelles compétences</t>
  </si>
  <si>
    <t>nul</t>
  </si>
  <si>
    <t>R15</t>
  </si>
  <si>
    <t>non concerné</t>
  </si>
  <si>
    <t>R17</t>
  </si>
  <si>
    <t>G2</t>
  </si>
  <si>
    <t>F</t>
  </si>
  <si>
    <t>G3</t>
  </si>
  <si>
    <t xml:space="preserve">nul </t>
  </si>
  <si>
    <t>G5</t>
  </si>
  <si>
    <t>formation au champ</t>
  </si>
  <si>
    <t>G7</t>
  </si>
  <si>
    <t>G8</t>
  </si>
  <si>
    <t>guide technique</t>
  </si>
  <si>
    <t>moyenne</t>
  </si>
  <si>
    <t>simple</t>
  </si>
  <si>
    <t>labour parcelles stylo car trop d'adventices</t>
  </si>
  <si>
    <t>G9</t>
  </si>
  <si>
    <t xml:space="preserve">nouvelles idées </t>
  </si>
  <si>
    <t>G10</t>
  </si>
  <si>
    <t>Surfaces riz (a)</t>
  </si>
  <si>
    <t>Surfaces maïs (a)</t>
  </si>
  <si>
    <t>Surfaces manioc (a)</t>
  </si>
  <si>
    <t>Surface pois de terre (a)</t>
  </si>
  <si>
    <t>Surfaces arachide (a)</t>
  </si>
  <si>
    <t>Surfaces soja (a)</t>
  </si>
  <si>
    <t>Surfaces haricot</t>
  </si>
  <si>
    <t>Surfaces stylo (a)</t>
  </si>
  <si>
    <t>Surfaces niébé (a)</t>
  </si>
  <si>
    <t>Surfaces mucuna (a)</t>
  </si>
  <si>
    <t>Surfaces tanety (a)</t>
  </si>
  <si>
    <t>Temps de jachère améliorée de stylo (mois)</t>
  </si>
  <si>
    <t>Temps de jachère naturelle de stylo compris dans la jachère améliorée  (mois)</t>
  </si>
  <si>
    <t>SAU</t>
  </si>
  <si>
    <t>VAB</t>
  </si>
  <si>
    <t>Revenu agricole familial</t>
  </si>
  <si>
    <t>RA/actif</t>
  </si>
  <si>
    <t>RA/ha</t>
  </si>
  <si>
    <t xml:space="preserve">Revenu total </t>
  </si>
  <si>
    <t>Usage des produits phytosanitaires</t>
  </si>
  <si>
    <t>Quantité fumier (t/ha)</t>
  </si>
  <si>
    <t>Quantité NPK (kg/ha)</t>
  </si>
  <si>
    <t>Quantités urée (kg/ha)</t>
  </si>
  <si>
    <t>Humidité du sol</t>
  </si>
  <si>
    <t>évolution de la présence</t>
  </si>
  <si>
    <t xml:space="preserve">maladies </t>
  </si>
  <si>
    <t>Intégration AE</t>
  </si>
  <si>
    <t>Gestion des résidus (exportation ou non)</t>
  </si>
  <si>
    <t>Âge</t>
  </si>
  <si>
    <t>Sexe</t>
  </si>
  <si>
    <t>participation projets</t>
  </si>
  <si>
    <t xml:space="preserve">différentes sources </t>
  </si>
  <si>
    <t>interlocuteurs privillégiés</t>
  </si>
  <si>
    <t>bilan campagne</t>
  </si>
  <si>
    <t>importance apprentissage</t>
  </si>
  <si>
    <t xml:space="preserve">Plusieurs avis pour 1 sujet </t>
  </si>
  <si>
    <t>appartennce réseaux</t>
  </si>
  <si>
    <t xml:space="preserve">motivation apprendre </t>
  </si>
  <si>
    <t xml:space="preserve">changements opérés pour en arriver jusqu'à maintenant </t>
  </si>
  <si>
    <t>ANNÉE DÉBUT scv</t>
  </si>
  <si>
    <t>R1</t>
  </si>
  <si>
    <t xml:space="preserve">mucuna </t>
  </si>
  <si>
    <t>R5</t>
  </si>
  <si>
    <t>R13</t>
  </si>
  <si>
    <t>R16</t>
  </si>
  <si>
    <t>manioc+stylo</t>
  </si>
  <si>
    <t>R19</t>
  </si>
  <si>
    <t>G4</t>
  </si>
  <si>
    <t>G11</t>
  </si>
  <si>
    <t>chgt variétés RP</t>
  </si>
  <si>
    <t>G12</t>
  </si>
  <si>
    <t>G14</t>
  </si>
  <si>
    <t>agriculteurs expé</t>
  </si>
  <si>
    <t>G16</t>
  </si>
  <si>
    <t>G17</t>
  </si>
  <si>
    <t>G18</t>
  </si>
  <si>
    <t>nouvelles variétés RP</t>
  </si>
  <si>
    <t>G19</t>
  </si>
  <si>
    <t xml:space="preserve">porcherie </t>
  </si>
  <si>
    <t>G20</t>
  </si>
  <si>
    <t>R2</t>
  </si>
  <si>
    <t>R7</t>
  </si>
  <si>
    <t>R10</t>
  </si>
  <si>
    <t>R12</t>
  </si>
  <si>
    <t>R14</t>
  </si>
  <si>
    <t>R20</t>
  </si>
  <si>
    <t>G1</t>
  </si>
  <si>
    <t>R3</t>
  </si>
  <si>
    <t>R9</t>
  </si>
  <si>
    <t>variété mucuna</t>
  </si>
  <si>
    <t>R18</t>
  </si>
  <si>
    <t>agri</t>
  </si>
  <si>
    <t xml:space="preserve">se différencier des autres </t>
  </si>
  <si>
    <t xml:space="preserve">triple association </t>
  </si>
  <si>
    <t>G6</t>
  </si>
  <si>
    <t>hulidité</t>
  </si>
  <si>
    <t>0 = très sec ou très humide</t>
  </si>
  <si>
    <t>évo advent</t>
  </si>
  <si>
    <t xml:space="preserve">0 = aucune diminuton ou augmentation </t>
  </si>
  <si>
    <t>évolution maladies</t>
  </si>
  <si>
    <t xml:space="preserve">Intégration </t>
  </si>
  <si>
    <t>0 = nulle</t>
  </si>
  <si>
    <t>0 = je ne sais pas</t>
  </si>
  <si>
    <t>1 = peu drainé</t>
  </si>
  <si>
    <t>1 = diminution faible</t>
  </si>
  <si>
    <t>1 = faible</t>
  </si>
  <si>
    <t xml:space="preserve">1 = sommets de tanety </t>
  </si>
  <si>
    <t xml:space="preserve">2 = moyennement drainé </t>
  </si>
  <si>
    <t>2 = diminution moyenne</t>
  </si>
  <si>
    <t>2 = moyenne</t>
  </si>
  <si>
    <t xml:space="preserve">2 = pentes de tanety </t>
  </si>
  <si>
    <t>3 = bien drainé</t>
  </si>
  <si>
    <t>3 = forte diminution</t>
  </si>
  <si>
    <t>3 = élevée</t>
  </si>
  <si>
    <t>3 = bas de tanety ou baiboho</t>
  </si>
  <si>
    <t xml:space="preserve">4 = bas-fonds </t>
  </si>
  <si>
    <t>Position topo</t>
  </si>
  <si>
    <t xml:space="preserve">évolution des adventices </t>
  </si>
  <si>
    <t>G13</t>
  </si>
  <si>
    <t>évolution de maladies</t>
  </si>
  <si>
    <t>la pénibilité (pics et charge de travail supplémentaires due à l’introduction des légumineuses</t>
  </si>
  <si>
    <t>0 = élevée</t>
  </si>
  <si>
    <t xml:space="preserve">sollicitation </t>
  </si>
  <si>
    <t>MO familiale (femmes et enfants moins de 15 ans) (stat)</t>
  </si>
  <si>
    <t xml:space="preserve">0 =je ne sais pas  </t>
  </si>
  <si>
    <t>MO familiale (femmes et enfants moins de 15 ans) (dyn)</t>
  </si>
  <si>
    <t>Coexistence (pression des voisins, jalousies…)</t>
  </si>
  <si>
    <t>0 = « ostracisé »</t>
  </si>
  <si>
    <t>Appartenance</t>
  </si>
  <si>
    <t xml:space="preserve">Importance des échanges </t>
  </si>
  <si>
    <t>1 = moyenne</t>
  </si>
  <si>
    <t xml:space="preserve">1 = élevée </t>
  </si>
  <si>
    <t>1 = problèmes fréquents</t>
  </si>
  <si>
    <t>2 = faible</t>
  </si>
  <si>
    <t xml:space="preserve">2 = faible </t>
  </si>
  <si>
    <t>2 = quelques problèmes</t>
  </si>
  <si>
    <t>3 = très faible ou nulle</t>
  </si>
  <si>
    <t>3 = peu élevée</t>
  </si>
  <si>
    <t>3 = nulle</t>
  </si>
  <si>
    <t xml:space="preserve">3 = aucun problème </t>
  </si>
  <si>
    <t>4 = nulle</t>
  </si>
  <si>
    <t xml:space="preserve">Qualité de vie </t>
  </si>
  <si>
    <t>Charge de travail</t>
  </si>
  <si>
    <t>Travail en entraide et mutualisation de matériels</t>
  </si>
  <si>
    <t>Insertion dans réseaux socio-techniques</t>
  </si>
  <si>
    <t xml:space="preserve">nulle =0 </t>
  </si>
  <si>
    <t>faible  = 1</t>
  </si>
  <si>
    <t>moyenne = 2</t>
  </si>
  <si>
    <t>importante = 3</t>
  </si>
  <si>
    <t xml:space="preserve">1 = faible </t>
  </si>
  <si>
    <t>3 = plus de 2 groupes</t>
  </si>
  <si>
    <t>2 = 2 groupes</t>
  </si>
  <si>
    <t>1 = 1 groupe</t>
  </si>
  <si>
    <t>0 = 0 groupe</t>
  </si>
  <si>
    <t xml:space="preserve">Participation aux sujets </t>
  </si>
  <si>
    <t>gestion des résidus</t>
  </si>
  <si>
    <t xml:space="preserve">non concerné </t>
  </si>
  <si>
    <t>produit phyto</t>
  </si>
  <si>
    <t>0 = élevé</t>
  </si>
  <si>
    <t xml:space="preserve">produits NPK </t>
  </si>
  <si>
    <t>&gt; 80</t>
  </si>
  <si>
    <t xml:space="preserve">ferti. Urée </t>
  </si>
  <si>
    <t>&gt; 40</t>
  </si>
  <si>
    <t>3 = non exportés</t>
  </si>
  <si>
    <t>fertilisant orga</t>
  </si>
  <si>
    <t>1 = moyen</t>
  </si>
  <si>
    <t>OK</t>
  </si>
  <si>
    <t>40 ≤ X ≤ 80</t>
  </si>
  <si>
    <t>20 ≤ X ≤ 40</t>
  </si>
  <si>
    <t>(couv. Du sol)</t>
  </si>
  <si>
    <t>0 = exportés</t>
  </si>
  <si>
    <t>&lt; 40</t>
  </si>
  <si>
    <t>&lt; 20</t>
  </si>
  <si>
    <t>3 = nul</t>
  </si>
  <si>
    <t>usage d'intrants chimiques</t>
  </si>
  <si>
    <t xml:space="preserve">moins de 3 </t>
  </si>
  <si>
    <t>entre 3 et 5</t>
  </si>
  <si>
    <t xml:space="preserve">3 = normale </t>
  </si>
  <si>
    <t xml:space="preserve">2 = moyene </t>
  </si>
  <si>
    <t>1 = très faible</t>
  </si>
  <si>
    <t xml:space="preserve">0 = nulle ou élevée </t>
  </si>
  <si>
    <t xml:space="preserve">0 ou sup à 5 </t>
  </si>
  <si>
    <t>moyenne des revenus</t>
  </si>
  <si>
    <t>légu</t>
  </si>
  <si>
    <t>pas légu</t>
  </si>
  <si>
    <t xml:space="preserve">GROUPE 1 </t>
  </si>
  <si>
    <t>GROUPE 6</t>
  </si>
  <si>
    <t>GROUPE 2</t>
  </si>
  <si>
    <t>GROUEPE 3</t>
  </si>
  <si>
    <t>GROUPE 4</t>
  </si>
  <si>
    <t>GROUPE 5</t>
  </si>
  <si>
    <t>Gestion des résidus</t>
  </si>
  <si>
    <t>Sollicitation</t>
  </si>
  <si>
    <t>Coexistence</t>
  </si>
  <si>
    <t xml:space="preserve">Pénibilité </t>
  </si>
  <si>
    <t xml:space="preserve">Évolution perception MO familiale </t>
  </si>
  <si>
    <t xml:space="preserve">Participation </t>
  </si>
  <si>
    <t>VAB/ha</t>
  </si>
  <si>
    <t>VAB/hj</t>
  </si>
  <si>
    <t>revenu total/actif</t>
  </si>
  <si>
    <t xml:space="preserve">type 3 </t>
  </si>
  <si>
    <t>type 1</t>
  </si>
  <si>
    <t>type 4</t>
  </si>
  <si>
    <t xml:space="preserve">type 5 </t>
  </si>
  <si>
    <t xml:space="preserve">type 6 </t>
  </si>
  <si>
    <t xml:space="preserve">inf à 700 000 = 0 </t>
  </si>
  <si>
    <t xml:space="preserve">très faible </t>
  </si>
  <si>
    <t>VAB/Hj</t>
  </si>
  <si>
    <t>moins de 500 0 =0</t>
  </si>
  <si>
    <t>faible</t>
  </si>
  <si>
    <t>Revenu total/actif</t>
  </si>
  <si>
    <t>moins de 1 m</t>
  </si>
  <si>
    <t>entre 700 000 et 1 000 000 = 1</t>
  </si>
  <si>
    <t xml:space="preserve">faible </t>
  </si>
  <si>
    <t xml:space="preserve">entre 5 et 10 000 = 1 </t>
  </si>
  <si>
    <t xml:space="preserve">moyenne </t>
  </si>
  <si>
    <t>entre 1 et 1,3 m</t>
  </si>
  <si>
    <t xml:space="preserve">moyen </t>
  </si>
  <si>
    <t>entre 1 000 000 et 2 million = 2</t>
  </si>
  <si>
    <t xml:space="preserve">entre 10 et 30 000 = 2 </t>
  </si>
  <si>
    <t xml:space="preserve">élevée </t>
  </si>
  <si>
    <t>entre 1,3 et 1,6 mil</t>
  </si>
  <si>
    <t xml:space="preserve">élevé </t>
  </si>
  <si>
    <t>sup à 2 millions =3</t>
  </si>
  <si>
    <t>plus de 30 000 =3</t>
  </si>
  <si>
    <t>très élevée</t>
  </si>
  <si>
    <t>plus de 1,6 mi</t>
  </si>
  <si>
    <t>très élevé</t>
  </si>
  <si>
    <t>moyennne</t>
  </si>
  <si>
    <t xml:space="preserve">moyennes </t>
  </si>
  <si>
    <t>type 3</t>
  </si>
  <si>
    <t>type 5</t>
  </si>
  <si>
    <t>type 6</t>
  </si>
  <si>
    <t>Productivité de la terre</t>
  </si>
  <si>
    <t>Productivité du travail</t>
  </si>
  <si>
    <t>ecart type</t>
  </si>
  <si>
    <t>Consommation de produits phytosanitaires</t>
  </si>
  <si>
    <t xml:space="preserve">Consommation de produits NPK </t>
  </si>
  <si>
    <t>Consommation d'urée</t>
  </si>
  <si>
    <t xml:space="preserve">écart type </t>
  </si>
  <si>
    <t>humidité sol</t>
  </si>
  <si>
    <t>écart type</t>
  </si>
  <si>
    <t xml:space="preserve">ecart type </t>
  </si>
  <si>
    <t>écarts type</t>
  </si>
  <si>
    <t>Évolution des phytopathogènes et ravageurs</t>
  </si>
  <si>
    <t xml:space="preserve">Évolution des adventices </t>
  </si>
  <si>
    <t>moyene</t>
  </si>
  <si>
    <t xml:space="preserve">moyenne selon les moyennes des valeurs </t>
  </si>
  <si>
    <t xml:space="preserve">moyenne des valeurs calculées plus haut </t>
  </si>
  <si>
    <t>R6</t>
  </si>
  <si>
    <t>R11</t>
  </si>
  <si>
    <t>G15</t>
  </si>
  <si>
    <t xml:space="preserve">NPK </t>
  </si>
  <si>
    <t xml:space="preserve">urée </t>
  </si>
  <si>
    <t xml:space="preserve">type 4 </t>
  </si>
  <si>
    <t xml:space="preserve">Évolution MO familiale </t>
  </si>
  <si>
    <t>TYPE 4</t>
  </si>
  <si>
    <t>TYPE 3</t>
  </si>
  <si>
    <t>TYPE 5</t>
  </si>
  <si>
    <t xml:space="preserve">TYPE 6 </t>
  </si>
  <si>
    <t>P90</t>
  </si>
  <si>
    <t>Q1</t>
  </si>
  <si>
    <t>Q3</t>
  </si>
  <si>
    <t xml:space="preserve">P10 </t>
  </si>
  <si>
    <t>coeff varia</t>
  </si>
  <si>
    <t>écart type relatif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</si>
</sst>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)\ _€_ ;_ * \(#,##0.00\)\ _€_ ;_ * &quot;-&quot;??_)\ _€_ ;_ @_ "/>
    <numFmt numFmtId="164" formatCode="_ * #,##0_)\ _€_ ;_ * \(#,##0\)\ _€_ ;_ * &quot;-&quot;??_)\ _€_ ;_ @_ "/>
    <numFmt numFmtId="165" formatCode="0.0"/>
    <numFmt numFmtId="166" formatCode="0.0000"/>
    <numFmt numFmtId="167" formatCode="_ * #,##0.000_)\ _€_ ;_ * \(#,##0.000\)\ _€_ ;_ * &quot;-&quot;??_)\ _€_ ;_ @_ "/>
    <numFmt numFmtId="168" formatCode="0.00000"/>
  </numFmts>
  <fonts count="2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theme="6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name val="Calibri (Corps)"/>
    </font>
    <font>
      <sz val="12"/>
      <color rgb="FFFF0000"/>
      <name val="Calibri (Corps)"/>
    </font>
    <font>
      <sz val="11"/>
      <color rgb="FF00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Calibri"/>
      <scheme val="minor"/>
    </font>
    <font>
      <sz val="16"/>
      <color rgb="FF000000"/>
      <name val="Calibri"/>
      <scheme val="minor"/>
    </font>
    <font>
      <b/>
      <i/>
      <u/>
      <sz val="12"/>
      <color theme="1"/>
      <name val="Calibri"/>
      <scheme val="minor"/>
    </font>
    <font>
      <sz val="15"/>
      <color rgb="FF000000"/>
      <name val="Calibri"/>
    </font>
    <font>
      <b/>
      <sz val="15"/>
      <color rgb="FF000000"/>
      <name val="Calibri"/>
    </font>
    <font>
      <sz val="15"/>
      <color rgb="FF000000"/>
      <name val="Calibri"/>
      <scheme val="minor"/>
    </font>
    <font>
      <sz val="9"/>
      <color theme="1"/>
      <name val="Calibri"/>
      <family val="2"/>
      <scheme val="minor"/>
    </font>
    <font>
      <sz val="12"/>
      <color theme="1"/>
      <name val="Times New Roman"/>
    </font>
  </fonts>
  <fills count="1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ED7D31"/>
        <bgColor rgb="FF000000"/>
      </patternFill>
    </fill>
    <fill>
      <patternFill patternType="solid">
        <fgColor rgb="FFFFD966"/>
        <bgColor rgb="FF000000"/>
      </patternFill>
    </fill>
    <fill>
      <patternFill patternType="solid">
        <fgColor rgb="FF70AD47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rgb="FF000000"/>
      </patternFill>
    </fill>
    <fill>
      <patternFill patternType="solid">
        <fgColor rgb="FF4472C4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/>
      <top/>
      <bottom/>
      <diagonal/>
    </border>
    <border>
      <left style="medium">
        <color rgb="FFFFFFFF"/>
      </left>
      <right/>
      <top/>
      <bottom style="thick">
        <color rgb="FFFFFFFF"/>
      </bottom>
      <diagonal/>
    </border>
  </borders>
  <cellStyleXfs count="7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3">
    <xf numFmtId="0" fontId="0" fillId="0" borderId="0" xfId="0"/>
    <xf numFmtId="0" fontId="0" fillId="0" borderId="0" xfId="0" applyFill="1"/>
    <xf numFmtId="0" fontId="0" fillId="0" borderId="0" xfId="0" applyNumberFormat="1"/>
    <xf numFmtId="0" fontId="6" fillId="0" borderId="0" xfId="0" applyFont="1"/>
    <xf numFmtId="0" fontId="4" fillId="0" borderId="0" xfId="7"/>
    <xf numFmtId="0" fontId="7" fillId="0" borderId="0" xfId="0" applyFont="1"/>
    <xf numFmtId="0" fontId="3" fillId="0" borderId="0" xfId="0" applyFont="1"/>
    <xf numFmtId="0" fontId="8" fillId="0" borderId="0" xfId="0" applyFont="1" applyFill="1"/>
    <xf numFmtId="0" fontId="8" fillId="0" borderId="0" xfId="0" applyFont="1"/>
    <xf numFmtId="0" fontId="8" fillId="0" borderId="0" xfId="0" applyNumberFormat="1" applyFont="1"/>
    <xf numFmtId="0" fontId="2" fillId="0" borderId="0" xfId="0" applyFont="1" applyFill="1"/>
    <xf numFmtId="0" fontId="2" fillId="0" borderId="0" xfId="0" applyFont="1"/>
    <xf numFmtId="0" fontId="6" fillId="2" borderId="0" xfId="0" applyFont="1" applyFill="1"/>
    <xf numFmtId="0" fontId="0" fillId="2" borderId="0" xfId="0" applyFill="1"/>
    <xf numFmtId="0" fontId="6" fillId="2" borderId="0" xfId="0" applyNumberFormat="1" applyFont="1" applyFill="1"/>
    <xf numFmtId="0" fontId="0" fillId="3" borderId="0" xfId="0" applyFill="1"/>
    <xf numFmtId="0" fontId="6" fillId="3" borderId="0" xfId="0" applyFont="1" applyFill="1"/>
    <xf numFmtId="0" fontId="6" fillId="3" borderId="0" xfId="0" applyNumberFormat="1" applyFont="1" applyFill="1"/>
    <xf numFmtId="0" fontId="0" fillId="4" borderId="0" xfId="0" applyFill="1"/>
    <xf numFmtId="0" fontId="0" fillId="4" borderId="0" xfId="0" applyFont="1" applyFill="1"/>
    <xf numFmtId="0" fontId="6" fillId="4" borderId="0" xfId="0" applyFont="1" applyFill="1"/>
    <xf numFmtId="0" fontId="6" fillId="4" borderId="0" xfId="0" applyNumberFormat="1" applyFont="1" applyFill="1"/>
    <xf numFmtId="0" fontId="0" fillId="4" borderId="0" xfId="0" applyNumberFormat="1" applyFill="1"/>
    <xf numFmtId="0" fontId="0" fillId="5" borderId="0" xfId="0" applyFill="1"/>
    <xf numFmtId="0" fontId="0" fillId="5" borderId="0" xfId="0" applyNumberFormat="1" applyFill="1"/>
    <xf numFmtId="0" fontId="6" fillId="5" borderId="0" xfId="0" applyFont="1" applyFill="1"/>
    <xf numFmtId="0" fontId="6" fillId="5" borderId="0" xfId="0" applyNumberFormat="1" applyFont="1" applyFill="1"/>
    <xf numFmtId="0" fontId="0" fillId="0" borderId="0" xfId="0" applyNumberFormat="1" applyFill="1"/>
    <xf numFmtId="0" fontId="6" fillId="0" borderId="0" xfId="0" applyFont="1" applyFill="1"/>
    <xf numFmtId="0" fontId="6" fillId="0" borderId="0" xfId="0" applyNumberFormat="1" applyFont="1" applyFill="1"/>
    <xf numFmtId="0" fontId="9" fillId="0" borderId="0" xfId="0" applyFont="1" applyFill="1"/>
    <xf numFmtId="0" fontId="9" fillId="0" borderId="0" xfId="0" applyNumberFormat="1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2" xfId="0" applyNumberFormat="1" applyBorder="1"/>
    <xf numFmtId="0" fontId="0" fillId="0" borderId="1" xfId="0" applyFont="1" applyBorder="1"/>
    <xf numFmtId="0" fontId="0" fillId="0" borderId="2" xfId="0" applyFont="1" applyBorder="1"/>
    <xf numFmtId="0" fontId="6" fillId="0" borderId="2" xfId="0" applyFont="1" applyBorder="1"/>
    <xf numFmtId="0" fontId="6" fillId="0" borderId="3" xfId="0" applyFont="1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2" fillId="0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2" fillId="0" borderId="2" xfId="0" applyFont="1" applyFill="1" applyBorder="1"/>
    <xf numFmtId="0" fontId="2" fillId="0" borderId="1" xfId="0" applyFont="1" applyBorder="1"/>
    <xf numFmtId="0" fontId="2" fillId="0" borderId="3" xfId="0" applyFont="1" applyFill="1" applyBorder="1"/>
    <xf numFmtId="0" fontId="2" fillId="0" borderId="1" xfId="0" applyNumberFormat="1" applyFont="1" applyBorder="1"/>
    <xf numFmtId="0" fontId="6" fillId="0" borderId="1" xfId="0" applyNumberFormat="1" applyFont="1" applyBorder="1"/>
    <xf numFmtId="0" fontId="6" fillId="0" borderId="2" xfId="0" applyNumberFormat="1" applyFont="1" applyBorder="1"/>
    <xf numFmtId="0" fontId="6" fillId="0" borderId="3" xfId="0" applyNumberFormat="1" applyFont="1" applyBorder="1"/>
    <xf numFmtId="0" fontId="0" fillId="0" borderId="0" xfId="0" applyFont="1" applyFill="1"/>
    <xf numFmtId="0" fontId="10" fillId="0" borderId="0" xfId="0" applyFont="1" applyFill="1"/>
    <xf numFmtId="0" fontId="11" fillId="0" borderId="0" xfId="0" applyFont="1"/>
    <xf numFmtId="0" fontId="11" fillId="0" borderId="0" xfId="0" applyFont="1" applyFill="1"/>
    <xf numFmtId="0" fontId="11" fillId="0" borderId="0" xfId="0" applyNumberFormat="1" applyFont="1" applyFill="1"/>
    <xf numFmtId="0" fontId="12" fillId="0" borderId="0" xfId="0" applyFont="1" applyFill="1"/>
    <xf numFmtId="0" fontId="12" fillId="0" borderId="0" xfId="0" applyNumberFormat="1" applyFont="1" applyFill="1"/>
    <xf numFmtId="0" fontId="2" fillId="0" borderId="0" xfId="0" applyNumberFormat="1" applyFont="1" applyFill="1"/>
    <xf numFmtId="0" fontId="8" fillId="0" borderId="0" xfId="0" applyNumberFormat="1" applyFont="1" applyFill="1"/>
    <xf numFmtId="0" fontId="10" fillId="0" borderId="3" xfId="0" applyFont="1" applyFill="1" applyBorder="1"/>
    <xf numFmtId="0" fontId="10" fillId="0" borderId="3" xfId="0" applyNumberFormat="1" applyFont="1" applyFill="1" applyBorder="1"/>
    <xf numFmtId="0" fontId="11" fillId="0" borderId="1" xfId="0" applyFont="1" applyFill="1" applyBorder="1"/>
    <xf numFmtId="0" fontId="11" fillId="0" borderId="2" xfId="0" applyFont="1" applyFill="1" applyBorder="1"/>
    <xf numFmtId="0" fontId="11" fillId="0" borderId="3" xfId="0" applyFont="1" applyFill="1" applyBorder="1"/>
    <xf numFmtId="0" fontId="11" fillId="0" borderId="4" xfId="0" applyFont="1" applyFill="1" applyBorder="1"/>
    <xf numFmtId="0" fontId="11" fillId="0" borderId="5" xfId="0" applyFont="1" applyFill="1" applyBorder="1"/>
    <xf numFmtId="0" fontId="11" fillId="0" borderId="6" xfId="0" applyFont="1" applyFill="1" applyBorder="1"/>
    <xf numFmtId="0" fontId="11" fillId="0" borderId="7" xfId="0" applyFont="1" applyFill="1" applyBorder="1"/>
    <xf numFmtId="0" fontId="11" fillId="0" borderId="8" xfId="0" applyFont="1" applyFill="1" applyBorder="1"/>
    <xf numFmtId="0" fontId="11" fillId="0" borderId="9" xfId="0" applyFont="1" applyFill="1" applyBorder="1"/>
    <xf numFmtId="0" fontId="11" fillId="0" borderId="1" xfId="0" applyFont="1" applyBorder="1"/>
    <xf numFmtId="0" fontId="11" fillId="0" borderId="2" xfId="0" applyFont="1" applyBorder="1"/>
    <xf numFmtId="0" fontId="11" fillId="0" borderId="3" xfId="0" applyFont="1" applyBorder="1"/>
    <xf numFmtId="0" fontId="8" fillId="0" borderId="1" xfId="0" applyFont="1" applyFill="1" applyBorder="1"/>
    <xf numFmtId="0" fontId="8" fillId="0" borderId="2" xfId="0" applyFont="1" applyFill="1" applyBorder="1"/>
    <xf numFmtId="0" fontId="8" fillId="0" borderId="3" xfId="0" applyFont="1" applyFill="1" applyBorder="1"/>
    <xf numFmtId="0" fontId="9" fillId="0" borderId="1" xfId="0" applyFont="1" applyFill="1" applyBorder="1"/>
    <xf numFmtId="0" fontId="9" fillId="0" borderId="2" xfId="0" applyFont="1" applyFill="1" applyBorder="1"/>
    <xf numFmtId="0" fontId="9" fillId="0" borderId="3" xfId="0" applyFont="1" applyFill="1" applyBorder="1"/>
    <xf numFmtId="0" fontId="2" fillId="0" borderId="0" xfId="0" applyFont="1" applyFill="1" applyBorder="1"/>
    <xf numFmtId="0" fontId="8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/>
    <xf numFmtId="0" fontId="10" fillId="0" borderId="0" xfId="0" applyFont="1" applyFill="1" applyBorder="1"/>
    <xf numFmtId="0" fontId="9" fillId="0" borderId="0" xfId="0" applyFont="1" applyFill="1" applyBorder="1"/>
    <xf numFmtId="0" fontId="8" fillId="6" borderId="0" xfId="0" applyFont="1" applyFill="1" applyBorder="1"/>
    <xf numFmtId="0" fontId="2" fillId="6" borderId="0" xfId="0" applyFont="1" applyFill="1" applyBorder="1"/>
    <xf numFmtId="0" fontId="2" fillId="6" borderId="2" xfId="0" applyFont="1" applyFill="1" applyBorder="1"/>
    <xf numFmtId="0" fontId="12" fillId="6" borderId="0" xfId="0" applyFont="1" applyFill="1" applyBorder="1"/>
    <xf numFmtId="0" fontId="9" fillId="6" borderId="0" xfId="0" applyFont="1" applyFill="1"/>
    <xf numFmtId="0" fontId="11" fillId="6" borderId="0" xfId="0" applyFont="1" applyFill="1" applyBorder="1"/>
    <xf numFmtId="0" fontId="10" fillId="6" borderId="0" xfId="0" applyFont="1" applyFill="1" applyBorder="1"/>
    <xf numFmtId="0" fontId="10" fillId="2" borderId="0" xfId="0" applyFont="1" applyFill="1" applyBorder="1"/>
    <xf numFmtId="0" fontId="11" fillId="2" borderId="0" xfId="0" applyFont="1" applyFill="1" applyBorder="1"/>
    <xf numFmtId="0" fontId="2" fillId="2" borderId="0" xfId="0" applyFont="1" applyFill="1" applyBorder="1"/>
    <xf numFmtId="0" fontId="9" fillId="2" borderId="0" xfId="0" applyFont="1" applyFill="1"/>
    <xf numFmtId="0" fontId="2" fillId="6" borderId="0" xfId="0" applyFont="1" applyFill="1"/>
    <xf numFmtId="0" fontId="8" fillId="2" borderId="0" xfId="0" applyFont="1" applyFill="1" applyBorder="1"/>
    <xf numFmtId="0" fontId="0" fillId="0" borderId="0" xfId="0" applyFill="1" applyBorder="1"/>
    <xf numFmtId="0" fontId="2" fillId="0" borderId="1" xfId="0" applyNumberFormat="1" applyFont="1" applyFill="1" applyBorder="1"/>
    <xf numFmtId="0" fontId="14" fillId="0" borderId="0" xfId="0" applyFont="1" applyFill="1"/>
    <xf numFmtId="0" fontId="8" fillId="0" borderId="2" xfId="0" applyFont="1" applyBorder="1"/>
    <xf numFmtId="0" fontId="8" fillId="0" borderId="7" xfId="0" applyFont="1" applyBorder="1"/>
    <xf numFmtId="0" fontId="14" fillId="0" borderId="0" xfId="0" applyFont="1" applyFill="1" applyBorder="1"/>
    <xf numFmtId="0" fontId="9" fillId="0" borderId="0" xfId="0" applyNumberFormat="1" applyFont="1" applyFill="1" applyBorder="1"/>
    <xf numFmtId="0" fontId="0" fillId="0" borderId="0" xfId="0" applyBorder="1"/>
    <xf numFmtId="0" fontId="0" fillId="7" borderId="0" xfId="0" applyFill="1"/>
    <xf numFmtId="0" fontId="0" fillId="7" borderId="0" xfId="0" applyFont="1" applyFill="1"/>
    <xf numFmtId="0" fontId="6" fillId="7" borderId="0" xfId="0" applyFont="1" applyFill="1"/>
    <xf numFmtId="0" fontId="8" fillId="5" borderId="0" xfId="0" applyFont="1" applyFill="1"/>
    <xf numFmtId="0" fontId="15" fillId="0" borderId="0" xfId="0" applyNumberFormat="1" applyFont="1" applyFill="1"/>
    <xf numFmtId="0" fontId="16" fillId="0" borderId="0" xfId="0" applyNumberFormat="1" applyFont="1" applyFill="1"/>
    <xf numFmtId="0" fontId="17" fillId="0" borderId="0" xfId="0" applyFont="1"/>
    <xf numFmtId="0" fontId="17" fillId="8" borderId="0" xfId="0" applyFont="1" applyFill="1"/>
    <xf numFmtId="0" fontId="0" fillId="6" borderId="0" xfId="0" applyFill="1"/>
    <xf numFmtId="0" fontId="18" fillId="0" borderId="0" xfId="0" applyFont="1" applyFill="1"/>
    <xf numFmtId="0" fontId="19" fillId="0" borderId="0" xfId="0" applyFont="1"/>
    <xf numFmtId="0" fontId="16" fillId="0" borderId="0" xfId="0" applyFont="1" applyFill="1"/>
    <xf numFmtId="0" fontId="0" fillId="9" borderId="0" xfId="0" applyFill="1"/>
    <xf numFmtId="0" fontId="17" fillId="9" borderId="0" xfId="0" applyFont="1" applyFill="1"/>
    <xf numFmtId="0" fontId="17" fillId="0" borderId="0" xfId="0" applyFont="1" applyFill="1"/>
    <xf numFmtId="2" fontId="0" fillId="0" borderId="0" xfId="0" applyNumberFormat="1"/>
    <xf numFmtId="0" fontId="20" fillId="0" borderId="0" xfId="0" applyFont="1"/>
    <xf numFmtId="0" fontId="15" fillId="0" borderId="0" xfId="0" applyFont="1"/>
    <xf numFmtId="0" fontId="21" fillId="0" borderId="0" xfId="0" applyFont="1"/>
    <xf numFmtId="0" fontId="20" fillId="9" borderId="0" xfId="0" applyFont="1" applyFill="1"/>
    <xf numFmtId="0" fontId="20" fillId="5" borderId="0" xfId="0" applyFont="1" applyFill="1"/>
    <xf numFmtId="0" fontId="17" fillId="5" borderId="0" xfId="0" applyFont="1" applyFill="1"/>
    <xf numFmtId="0" fontId="16" fillId="0" borderId="0" xfId="0" applyFont="1"/>
    <xf numFmtId="0" fontId="22" fillId="10" borderId="0" xfId="0" applyFont="1" applyFill="1" applyAlignment="1">
      <alignment horizontal="left" vertical="center" readingOrder="1"/>
    </xf>
    <xf numFmtId="0" fontId="22" fillId="0" borderId="0" xfId="0" applyFont="1" applyAlignment="1">
      <alignment horizontal="left" vertical="center" readingOrder="1"/>
    </xf>
    <xf numFmtId="0" fontId="22" fillId="11" borderId="0" xfId="0" applyFont="1" applyFill="1" applyAlignment="1">
      <alignment horizontal="left" vertical="center" readingOrder="1"/>
    </xf>
    <xf numFmtId="0" fontId="22" fillId="12" borderId="0" xfId="0" applyFont="1" applyFill="1" applyAlignment="1">
      <alignment horizontal="left" vertical="center" readingOrder="1"/>
    </xf>
    <xf numFmtId="0" fontId="22" fillId="13" borderId="0" xfId="0" applyFont="1" applyFill="1" applyAlignment="1">
      <alignment horizontal="left" vertical="center" readingOrder="1"/>
    </xf>
    <xf numFmtId="0" fontId="0" fillId="14" borderId="0" xfId="0" applyFill="1"/>
    <xf numFmtId="0" fontId="23" fillId="0" borderId="0" xfId="0" applyFont="1"/>
    <xf numFmtId="0" fontId="22" fillId="15" borderId="0" xfId="0" applyFont="1" applyFill="1" applyAlignment="1">
      <alignment horizontal="left" vertical="center" readingOrder="1"/>
    </xf>
    <xf numFmtId="0" fontId="0" fillId="2" borderId="0" xfId="0" applyFont="1" applyFill="1"/>
    <xf numFmtId="0" fontId="25" fillId="2" borderId="11" xfId="0" applyFont="1" applyFill="1" applyBorder="1" applyAlignment="1">
      <alignment horizontal="left" vertical="center" wrapText="1" readingOrder="1"/>
    </xf>
    <xf numFmtId="0" fontId="0" fillId="2" borderId="11" xfId="0" applyFill="1" applyBorder="1"/>
    <xf numFmtId="0" fontId="24" fillId="16" borderId="10" xfId="0" applyFont="1" applyFill="1" applyBorder="1" applyAlignment="1">
      <alignment horizontal="left" vertical="center" wrapText="1" readingOrder="1"/>
    </xf>
    <xf numFmtId="0" fontId="25" fillId="0" borderId="11" xfId="0" applyFont="1" applyFill="1" applyBorder="1" applyAlignment="1">
      <alignment horizontal="left" vertical="center" wrapText="1" readingOrder="1"/>
    </xf>
    <xf numFmtId="0" fontId="25" fillId="5" borderId="11" xfId="0" applyFont="1" applyFill="1" applyBorder="1" applyAlignment="1">
      <alignment horizontal="left" vertical="center" wrapText="1" readingOrder="1"/>
    </xf>
    <xf numFmtId="0" fontId="25" fillId="14" borderId="11" xfId="0" applyFont="1" applyFill="1" applyBorder="1" applyAlignment="1">
      <alignment horizontal="left" vertical="center" wrapText="1" readingOrder="1"/>
    </xf>
    <xf numFmtId="0" fontId="0" fillId="14" borderId="11" xfId="0" applyFill="1" applyBorder="1"/>
    <xf numFmtId="0" fontId="24" fillId="16" borderId="12" xfId="0" applyFont="1" applyFill="1" applyBorder="1" applyAlignment="1">
      <alignment horizontal="left" vertical="center" wrapText="1" readingOrder="1"/>
    </xf>
    <xf numFmtId="0" fontId="25" fillId="7" borderId="11" xfId="0" applyFont="1" applyFill="1" applyBorder="1" applyAlignment="1">
      <alignment horizontal="left" vertical="center" wrapText="1" readingOrder="1"/>
    </xf>
    <xf numFmtId="0" fontId="0" fillId="7" borderId="11" xfId="0" applyFill="1" applyBorder="1"/>
    <xf numFmtId="0" fontId="0" fillId="5" borderId="11" xfId="0" applyFill="1" applyBorder="1"/>
    <xf numFmtId="0" fontId="24" fillId="16" borderId="13" xfId="0" applyFont="1" applyFill="1" applyBorder="1" applyAlignment="1">
      <alignment horizontal="left" vertical="center" wrapText="1" readingOrder="1"/>
    </xf>
    <xf numFmtId="0" fontId="26" fillId="0" borderId="0" xfId="0" applyFont="1" applyAlignment="1">
      <alignment horizontal="left" vertical="center" readingOrder="1"/>
    </xf>
    <xf numFmtId="0" fontId="6" fillId="14" borderId="0" xfId="0" applyFont="1" applyFill="1"/>
    <xf numFmtId="0" fontId="0" fillId="3" borderId="11" xfId="0" applyFill="1" applyBorder="1"/>
    <xf numFmtId="0" fontId="27" fillId="3" borderId="0" xfId="0" applyFont="1" applyFill="1"/>
    <xf numFmtId="0" fontId="22" fillId="2" borderId="0" xfId="0" applyFont="1" applyFill="1" applyAlignment="1">
      <alignment horizontal="left" vertical="center" readingOrder="1"/>
    </xf>
    <xf numFmtId="0" fontId="22" fillId="0" borderId="0" xfId="0" applyFont="1" applyFill="1" applyAlignment="1">
      <alignment horizontal="left" vertical="center" readingOrder="1"/>
    </xf>
    <xf numFmtId="0" fontId="22" fillId="5" borderId="0" xfId="0" applyFont="1" applyFill="1" applyAlignment="1">
      <alignment horizontal="left" vertical="center" readingOrder="1"/>
    </xf>
    <xf numFmtId="0" fontId="22" fillId="14" borderId="0" xfId="0" applyFont="1" applyFill="1" applyAlignment="1">
      <alignment horizontal="left" vertical="center" readingOrder="1"/>
    </xf>
    <xf numFmtId="0" fontId="22" fillId="7" borderId="0" xfId="0" applyFont="1" applyFill="1" applyAlignment="1">
      <alignment horizontal="left" vertical="center" readingOrder="1"/>
    </xf>
    <xf numFmtId="0" fontId="8" fillId="17" borderId="0" xfId="0" applyFont="1" applyFill="1"/>
    <xf numFmtId="164" fontId="0" fillId="0" borderId="0" xfId="64" applyNumberFormat="1" applyFont="1" applyFill="1" applyBorder="1"/>
    <xf numFmtId="164" fontId="0" fillId="0" borderId="0" xfId="64" applyNumberFormat="1" applyFont="1"/>
    <xf numFmtId="43" fontId="0" fillId="0" borderId="0" xfId="64" applyFont="1" applyFill="1" applyBorder="1"/>
    <xf numFmtId="164" fontId="6" fillId="0" borderId="0" xfId="64" applyNumberFormat="1" applyFont="1" applyFill="1"/>
    <xf numFmtId="43" fontId="0" fillId="0" borderId="0" xfId="64" applyFont="1"/>
    <xf numFmtId="1" fontId="0" fillId="0" borderId="0" xfId="64" applyNumberFormat="1" applyFont="1" applyFill="1" applyBorder="1"/>
    <xf numFmtId="1" fontId="0" fillId="0" borderId="0" xfId="64" applyNumberFormat="1" applyFont="1"/>
    <xf numFmtId="1" fontId="6" fillId="0" borderId="0" xfId="64" applyNumberFormat="1" applyFont="1" applyFill="1"/>
    <xf numFmtId="1" fontId="0" fillId="0" borderId="0" xfId="0" applyNumberFormat="1"/>
    <xf numFmtId="1" fontId="0" fillId="7" borderId="0" xfId="0" applyNumberFormat="1" applyFill="1"/>
    <xf numFmtId="1" fontId="0" fillId="2" borderId="0" xfId="0" applyNumberFormat="1" applyFill="1"/>
    <xf numFmtId="0" fontId="28" fillId="0" borderId="0" xfId="0" applyFont="1" applyBorder="1" applyAlignment="1">
      <alignment vertical="top" wrapText="1"/>
    </xf>
    <xf numFmtId="0" fontId="28" fillId="0" borderId="0" xfId="0" applyFont="1" applyBorder="1" applyAlignment="1">
      <alignment vertical="center" wrapText="1"/>
    </xf>
    <xf numFmtId="165" fontId="6" fillId="0" borderId="0" xfId="0" applyNumberFormat="1" applyFont="1" applyFill="1"/>
    <xf numFmtId="2" fontId="0" fillId="5" borderId="0" xfId="0" applyNumberFormat="1" applyFill="1"/>
    <xf numFmtId="165" fontId="0" fillId="7" borderId="0" xfId="0" applyNumberFormat="1" applyFill="1"/>
    <xf numFmtId="2" fontId="0" fillId="7" borderId="0" xfId="0" applyNumberFormat="1" applyFill="1"/>
    <xf numFmtId="2" fontId="0" fillId="14" borderId="0" xfId="0" applyNumberFormat="1" applyFill="1"/>
    <xf numFmtId="166" fontId="0" fillId="14" borderId="0" xfId="0" applyNumberFormat="1" applyFill="1"/>
    <xf numFmtId="166" fontId="0" fillId="7" borderId="0" xfId="0" applyNumberFormat="1" applyFill="1"/>
    <xf numFmtId="166" fontId="0" fillId="2" borderId="0" xfId="0" applyNumberFormat="1" applyFill="1"/>
    <xf numFmtId="166" fontId="0" fillId="5" borderId="0" xfId="0" applyNumberFormat="1" applyFill="1"/>
    <xf numFmtId="43" fontId="0" fillId="0" borderId="0" xfId="0" applyNumberFormat="1"/>
    <xf numFmtId="167" fontId="0" fillId="0" borderId="0" xfId="0" applyNumberFormat="1"/>
    <xf numFmtId="0" fontId="18" fillId="0" borderId="0" xfId="0" applyFont="1" applyFill="1" applyBorder="1"/>
    <xf numFmtId="0" fontId="17" fillId="0" borderId="0" xfId="0" applyFont="1" applyFill="1" applyBorder="1"/>
    <xf numFmtId="168" fontId="0" fillId="0" borderId="0" xfId="0" applyNumberFormat="1"/>
    <xf numFmtId="0" fontId="24" fillId="16" borderId="10" xfId="0" applyFont="1" applyFill="1" applyBorder="1" applyAlignment="1">
      <alignment horizontal="left" vertical="center" wrapText="1" readingOrder="1"/>
    </xf>
    <xf numFmtId="0" fontId="24" fillId="16" borderId="12" xfId="0" applyFont="1" applyFill="1" applyBorder="1" applyAlignment="1">
      <alignment horizontal="left" vertical="center" wrapText="1" readingOrder="1"/>
    </xf>
    <xf numFmtId="0" fontId="24" fillId="16" borderId="13" xfId="0" applyFont="1" applyFill="1" applyBorder="1" applyAlignment="1">
      <alignment horizontal="left" vertical="center" wrapText="1" readingOrder="1"/>
    </xf>
  </cellXfs>
  <cellStyles count="7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Milliers" xfId="64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externalLink" Target="externalLinks/externalLink1.xml"/><Relationship Id="rId21" Type="http://schemas.openxmlformats.org/officeDocument/2006/relationships/theme" Target="theme/theme1.xml"/><Relationship Id="rId22" Type="http://schemas.openxmlformats.org/officeDocument/2006/relationships/styles" Target="styles.xml"/><Relationship Id="rId23" Type="http://schemas.openxmlformats.org/officeDocument/2006/relationships/sharedStrings" Target="sharedStrings.xml"/><Relationship Id="rId24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_rels/chart4.xml.rels><?xml version="1.0" encoding="UTF-8" standalone="yes"?>
<Relationships xmlns="http://schemas.openxmlformats.org/package/2006/relationships"><Relationship Id="rId1" Type="http://schemas.microsoft.com/office/2011/relationships/chartStyle" Target="style4.xml"/><Relationship Id="rId2" Type="http://schemas.microsoft.com/office/2011/relationships/chartColorStyle" Target="colors4.xml"/></Relationships>
</file>

<file path=xl/charts/_rels/chart5.xml.rels><?xml version="1.0" encoding="UTF-8" standalone="yes"?>
<Relationships xmlns="http://schemas.openxmlformats.org/package/2006/relationships"><Relationship Id="rId1" Type="http://schemas.microsoft.com/office/2011/relationships/chartStyle" Target="style5.xml"/><Relationship Id="rId2" Type="http://schemas.microsoft.com/office/2011/relationships/chartColorStyle" Target="colors5.xml"/></Relationships>
</file>

<file path=xl/charts/_rels/chart6.xml.rels><?xml version="1.0" encoding="UTF-8" standalone="yes"?>
<Relationships xmlns="http://schemas.openxmlformats.org/package/2006/relationships"><Relationship Id="rId1" Type="http://schemas.microsoft.com/office/2011/relationships/chartStyle" Target="style6.xml"/><Relationship Id="rId2" Type="http://schemas.microsoft.com/office/2011/relationships/chartColorStyle" Target="colors6.xml"/></Relationships>
</file>

<file path=xl/charts/_rels/chart7.xml.rels><?xml version="1.0" encoding="UTF-8" standalone="yes"?>
<Relationships xmlns="http://schemas.openxmlformats.org/package/2006/relationships"><Relationship Id="rId1" Type="http://schemas.microsoft.com/office/2011/relationships/chartStyle" Target="style7.xml"/><Relationship Id="rId2" Type="http://schemas.microsoft.com/office/2011/relationships/chartColorStyle" Target="colors7.xml"/></Relationships>
</file>

<file path=xl/charts/_rels/chart8.xml.rels><?xml version="1.0" encoding="UTF-8" standalone="yes"?>
<Relationships xmlns="http://schemas.openxmlformats.org/package/2006/relationships"><Relationship Id="rId1" Type="http://schemas.microsoft.com/office/2011/relationships/chartStyle" Target="style8.xml"/><Relationship Id="rId2" Type="http://schemas.microsoft.com/office/2011/relationships/chartColorStyle" Target="colors8.xml"/></Relationships>
</file>

<file path=xl/charts/_rels/chart9.xml.rels><?xml version="1.0" encoding="UTF-8" standalone="yes"?>
<Relationships xmlns="http://schemas.openxmlformats.org/package/2006/relationships"><Relationship Id="rId1" Type="http://schemas.microsoft.com/office/2011/relationships/chartStyle" Target="style9.xml"/><Relationship Id="rId2" Type="http://schemas.microsoft.com/office/2011/relationships/chartColorStyle" Target="colors9.xml"/></Relationships>
</file>

<file path=xl/charts/_rels/chart10.xml.rels><?xml version="1.0" encoding="UTF-8" standalone="yes"?>
<Relationships xmlns="http://schemas.openxmlformats.org/package/2006/relationships"><Relationship Id="rId1" Type="http://schemas.microsoft.com/office/2011/relationships/chartStyle" Target="style10.xml"/><Relationship Id="rId2" Type="http://schemas.microsoft.com/office/2011/relationships/chartColorStyle" Target="colors10.xml"/></Relationships>
</file>

<file path=xl/charts/_rels/chart11.xml.rels><?xml version="1.0" encoding="UTF-8" standalone="yes"?>
<Relationships xmlns="http://schemas.openxmlformats.org/package/2006/relationships"><Relationship Id="rId1" Type="http://schemas.microsoft.com/office/2011/relationships/chartStyle" Target="style11.xml"/><Relationship Id="rId2" Type="http://schemas.microsoft.com/office/2011/relationships/chartColorStyle" Target="colors11.xml"/></Relationships>
</file>

<file path=xl/charts/_rels/chart12.xml.rels><?xml version="1.0" encoding="UTF-8" standalone="yes"?>
<Relationships xmlns="http://schemas.openxmlformats.org/package/2006/relationships"><Relationship Id="rId1" Type="http://schemas.microsoft.com/office/2011/relationships/chartStyle" Target="style12.xml"/><Relationship Id="rId2" Type="http://schemas.microsoft.com/office/2011/relationships/chartColorStyle" Target="colors12.xml"/></Relationships>
</file>

<file path=xl/charts/_rels/chart13.xml.rels><?xml version="1.0" encoding="UTF-8" standalone="yes"?>
<Relationships xmlns="http://schemas.openxmlformats.org/package/2006/relationships"><Relationship Id="rId1" Type="http://schemas.microsoft.com/office/2011/relationships/chartStyle" Target="style13.xml"/><Relationship Id="rId2" Type="http://schemas.microsoft.com/office/2011/relationships/chartColorStyle" Target="colors13.xml"/></Relationships>
</file>

<file path=xl/charts/_rels/chart14.xml.rels><?xml version="1.0" encoding="UTF-8" standalone="yes"?>
<Relationships xmlns="http://schemas.openxmlformats.org/package/2006/relationships"><Relationship Id="rId1" Type="http://schemas.microsoft.com/office/2011/relationships/chartStyle" Target="style14.xml"/><Relationship Id="rId2" Type="http://schemas.microsoft.com/office/2011/relationships/chartColorStyle" Target="colors14.xml"/></Relationships>
</file>

<file path=xl/charts/_rels/chart15.xml.rels><?xml version="1.0" encoding="UTF-8" standalone="yes"?>
<Relationships xmlns="http://schemas.openxmlformats.org/package/2006/relationships"><Relationship Id="rId1" Type="http://schemas.microsoft.com/office/2011/relationships/chartStyle" Target="style15.xml"/><Relationship Id="rId2" Type="http://schemas.microsoft.com/office/2011/relationships/chartColorStyle" Target="colors15.xml"/></Relationships>
</file>

<file path=xl/charts/_rels/chart16.xml.rels><?xml version="1.0" encoding="UTF-8" standalone="yes"?>
<Relationships xmlns="http://schemas.openxmlformats.org/package/2006/relationships"><Relationship Id="rId1" Type="http://schemas.microsoft.com/office/2011/relationships/chartStyle" Target="style16.xml"/><Relationship Id="rId2" Type="http://schemas.microsoft.com/office/2011/relationships/chartColorStyle" Target="colors16.xml"/></Relationships>
</file>

<file path=xl/charts/_rels/chart17.xml.rels><?xml version="1.0" encoding="UTF-8" standalone="yes"?>
<Relationships xmlns="http://schemas.openxmlformats.org/package/2006/relationships"><Relationship Id="rId1" Type="http://schemas.microsoft.com/office/2011/relationships/chartStyle" Target="style17.xml"/><Relationship Id="rId2" Type="http://schemas.microsoft.com/office/2011/relationships/chartColorStyle" Target="colors17.xml"/></Relationships>
</file>

<file path=xl/charts/_rels/chart18.xml.rels><?xml version="1.0" encoding="UTF-8" standalone="yes"?>
<Relationships xmlns="http://schemas.openxmlformats.org/package/2006/relationships"><Relationship Id="rId1" Type="http://schemas.microsoft.com/office/2011/relationships/chartStyle" Target="style18.xml"/><Relationship Id="rId2" Type="http://schemas.microsoft.com/office/2011/relationships/chartColorStyle" Target="colors18.xml"/></Relationships>
</file>

<file path=xl/charts/_rels/chart19.xml.rels><?xml version="1.0" encoding="UTF-8" standalone="yes"?>
<Relationships xmlns="http://schemas.openxmlformats.org/package/2006/relationships"><Relationship Id="rId1" Type="http://schemas.microsoft.com/office/2011/relationships/chartStyle" Target="style19.xml"/><Relationship Id="rId2" Type="http://schemas.microsoft.com/office/2011/relationships/chartColorStyle" Target="colors19.xml"/></Relationships>
</file>

<file path=xl/charts/_rels/chart20.xml.rels><?xml version="1.0" encoding="UTF-8" standalone="yes"?>
<Relationships xmlns="http://schemas.openxmlformats.org/package/2006/relationships"><Relationship Id="rId1" Type="http://schemas.microsoft.com/office/2011/relationships/chartStyle" Target="style20.xml"/><Relationship Id="rId2" Type="http://schemas.microsoft.com/office/2011/relationships/chartColorStyle" Target="colors20.xml"/></Relationships>
</file>

<file path=xl/charts/_rels/chart21.xml.rels><?xml version="1.0" encoding="UTF-8" standalone="yes"?>
<Relationships xmlns="http://schemas.openxmlformats.org/package/2006/relationships"><Relationship Id="rId1" Type="http://schemas.microsoft.com/office/2011/relationships/chartStyle" Target="style21.xml"/><Relationship Id="rId2" Type="http://schemas.microsoft.com/office/2011/relationships/chartColorStyle" Target="colors21.xml"/></Relationships>
</file>

<file path=xl/charts/_rels/chart22.xml.rels><?xml version="1.0" encoding="UTF-8" standalone="yes"?>
<Relationships xmlns="http://schemas.openxmlformats.org/package/2006/relationships"><Relationship Id="rId1" Type="http://schemas.microsoft.com/office/2011/relationships/chartStyle" Target="style22.xml"/><Relationship Id="rId2" Type="http://schemas.microsoft.com/office/2011/relationships/chartColorStyle" Target="colors22.xml"/></Relationships>
</file>

<file path=xl/charts/_rels/chart23.xml.rels><?xml version="1.0" encoding="UTF-8" standalone="yes"?>
<Relationships xmlns="http://schemas.openxmlformats.org/package/2006/relationships"><Relationship Id="rId1" Type="http://schemas.microsoft.com/office/2011/relationships/chartStyle" Target="style23.xml"/><Relationship Id="rId2" Type="http://schemas.microsoft.com/office/2011/relationships/chartColorStyle" Target="colors23.xml"/></Relationships>
</file>

<file path=xl/charts/_rels/chart24.xml.rels><?xml version="1.0" encoding="UTF-8" standalone="yes"?>
<Relationships xmlns="http://schemas.openxmlformats.org/package/2006/relationships"><Relationship Id="rId1" Type="http://schemas.microsoft.com/office/2011/relationships/chartStyle" Target="style24.xml"/><Relationship Id="rId2" Type="http://schemas.microsoft.com/office/2011/relationships/chartColorStyle" Target="colors24.xml"/></Relationships>
</file>

<file path=xl/charts/_rels/chart25.xml.rels><?xml version="1.0" encoding="UTF-8" standalone="yes"?>
<Relationships xmlns="http://schemas.openxmlformats.org/package/2006/relationships"><Relationship Id="rId1" Type="http://schemas.microsoft.com/office/2011/relationships/chartStyle" Target="style25.xml"/><Relationship Id="rId2" Type="http://schemas.microsoft.com/office/2011/relationships/chartColorStyle" Target="colors25.xml"/></Relationships>
</file>

<file path=xl/charts/_rels/chart26.xml.rels><?xml version="1.0" encoding="UTF-8" standalone="yes"?>
<Relationships xmlns="http://schemas.openxmlformats.org/package/2006/relationships"><Relationship Id="rId1" Type="http://schemas.microsoft.com/office/2011/relationships/chartStyle" Target="style26.xml"/><Relationship Id="rId2" Type="http://schemas.microsoft.com/office/2011/relationships/chartColorStyle" Target="colors26.xml"/></Relationships>
</file>

<file path=xl/charts/_rels/chart27.xml.rels><?xml version="1.0" encoding="UTF-8" standalone="yes"?>
<Relationships xmlns="http://schemas.openxmlformats.org/package/2006/relationships"><Relationship Id="rId1" Type="http://schemas.microsoft.com/office/2011/relationships/chartStyle" Target="style27.xml"/><Relationship Id="rId2" Type="http://schemas.microsoft.com/office/2011/relationships/chartColorStyle" Target="colors27.xml"/></Relationships>
</file>

<file path=xl/charts/_rels/chart28.xml.rels><?xml version="1.0" encoding="UTF-8" standalone="yes"?>
<Relationships xmlns="http://schemas.openxmlformats.org/package/2006/relationships"><Relationship Id="rId1" Type="http://schemas.microsoft.com/office/2011/relationships/chartStyle" Target="style28.xml"/><Relationship Id="rId2" Type="http://schemas.microsoft.com/office/2011/relationships/chartColorStyle" Target="colors28.xml"/></Relationships>
</file>

<file path=xl/charts/_rels/chart29.xml.rels><?xml version="1.0" encoding="UTF-8" standalone="yes"?>
<Relationships xmlns="http://schemas.openxmlformats.org/package/2006/relationships"><Relationship Id="rId1" Type="http://schemas.microsoft.com/office/2011/relationships/chartStyle" Target="style29.xml"/><Relationship Id="rId2" Type="http://schemas.microsoft.com/office/2011/relationships/chartColorStyle" Target="colors29.xml"/></Relationships>
</file>

<file path=xl/charts/_rels/chart30.xml.rels><?xml version="1.0" encoding="UTF-8" standalone="yes"?>
<Relationships xmlns="http://schemas.openxmlformats.org/package/2006/relationships"><Relationship Id="rId1" Type="http://schemas.microsoft.com/office/2011/relationships/chartStyle" Target="style30.xml"/><Relationship Id="rId2" Type="http://schemas.microsoft.com/office/2011/relationships/chartColorStyle" Target="colors30.xml"/></Relationships>
</file>

<file path=xl/charts/_rels/chart31.xml.rels><?xml version="1.0" encoding="UTF-8" standalone="yes"?>
<Relationships xmlns="http://schemas.openxmlformats.org/package/2006/relationships"><Relationship Id="rId1" Type="http://schemas.microsoft.com/office/2011/relationships/chartStyle" Target="style31.xml"/><Relationship Id="rId2" Type="http://schemas.microsoft.com/office/2011/relationships/chartColorStyle" Target="colors31.xml"/></Relationships>
</file>

<file path=xl/charts/_rels/chart32.xml.rels><?xml version="1.0" encoding="UTF-8" standalone="yes"?>
<Relationships xmlns="http://schemas.openxmlformats.org/package/2006/relationships"><Relationship Id="rId1" Type="http://schemas.microsoft.com/office/2011/relationships/chartStyle" Target="style32.xml"/><Relationship Id="rId2" Type="http://schemas.microsoft.com/office/2011/relationships/chartColorStyle" Target="colors32.xml"/></Relationships>
</file>

<file path=xl/charts/_rels/chart33.xml.rels><?xml version="1.0" encoding="UTF-8" standalone="yes"?>
<Relationships xmlns="http://schemas.openxmlformats.org/package/2006/relationships"><Relationship Id="rId1" Type="http://schemas.microsoft.com/office/2011/relationships/chartStyle" Target="style33.xml"/><Relationship Id="rId2" Type="http://schemas.microsoft.com/office/2011/relationships/chartColorStyle" Target="colors33.xml"/></Relationships>
</file>

<file path=xl/charts/_rels/chart34.xml.rels><?xml version="1.0" encoding="UTF-8" standalone="yes"?>
<Relationships xmlns="http://schemas.openxmlformats.org/package/2006/relationships"><Relationship Id="rId1" Type="http://schemas.microsoft.com/office/2011/relationships/chartStyle" Target="style34.xml"/><Relationship Id="rId2" Type="http://schemas.microsoft.com/office/2011/relationships/chartColorStyle" Target="colors34.xml"/></Relationships>
</file>

<file path=xl/charts/_rels/chart35.xml.rels><?xml version="1.0" encoding="UTF-8" standalone="yes"?>
<Relationships xmlns="http://schemas.openxmlformats.org/package/2006/relationships"><Relationship Id="rId1" Type="http://schemas.microsoft.com/office/2011/relationships/chartStyle" Target="style35.xml"/><Relationship Id="rId2" Type="http://schemas.microsoft.com/office/2011/relationships/chartColorStyle" Target="colors35.xml"/></Relationships>
</file>

<file path=xl/charts/_rels/chart36.xml.rels><?xml version="1.0" encoding="UTF-8" standalone="yes"?>
<Relationships xmlns="http://schemas.openxmlformats.org/package/2006/relationships"><Relationship Id="rId1" Type="http://schemas.microsoft.com/office/2011/relationships/chartStyle" Target="style36.xml"/><Relationship Id="rId2" Type="http://schemas.microsoft.com/office/2011/relationships/chartColorStyle" Target="colors36.xml"/></Relationships>
</file>

<file path=xl/charts/_rels/chart37.xml.rels><?xml version="1.0" encoding="UTF-8" standalone="yes"?>
<Relationships xmlns="http://schemas.openxmlformats.org/package/2006/relationships"><Relationship Id="rId1" Type="http://schemas.microsoft.com/office/2011/relationships/chartStyle" Target="style37.xml"/><Relationship Id="rId2" Type="http://schemas.microsoft.com/office/2011/relationships/chartColorStyle" Target="colors3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s-IS"/>
              <a:t>Type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'perf éco'!$A$5</c:f>
              <c:strCache>
                <c:ptCount val="1"/>
                <c:pt idx="0">
                  <c:v>G13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 éco'!$B$4:$D$4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éco'!$B$5:$D$5</c:f>
              <c:numCache>
                <c:formatCode>_ * #,##0_)\ _€_ ;_ * \(#,##0\)\ _€_ ;_ * "-"??_)\ _€_ ;_ @_ </c:formatCode>
                <c:ptCount val="3"/>
                <c:pt idx="0">
                  <c:v>3.0</c:v>
                </c:pt>
                <c:pt idx="1">
                  <c:v>1.0</c:v>
                </c:pt>
                <c:pt idx="2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1121840"/>
        <c:axId val="-1731121312"/>
      </c:radarChart>
      <c:catAx>
        <c:axId val="-1731121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121312"/>
        <c:crosses val="autoZero"/>
        <c:auto val="1"/>
        <c:lblAlgn val="ctr"/>
        <c:lblOffset val="100"/>
        <c:noMultiLvlLbl val="0"/>
      </c:catAx>
      <c:valAx>
        <c:axId val="-173112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121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8018591426072"/>
          <c:y val="0.231165062700496"/>
          <c:w val="0.411740813648294"/>
          <c:h val="0.686234689413823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 éco'!$B$41:$D$41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éco'!$B$56:$D$56</c:f>
              <c:numCache>
                <c:formatCode>0.00</c:formatCode>
                <c:ptCount val="3"/>
                <c:pt idx="0" formatCode="_(* #,##0.00_);_(* \(#,##0.00\);_(* &quot;-&quot;??_);_(@_)">
                  <c:v>2.916666666666666</c:v>
                </c:pt>
                <c:pt idx="1">
                  <c:v>1.666666666666667</c:v>
                </c:pt>
                <c:pt idx="2" formatCode="_(* #,##0.00_);_(* \(#,##0.00\);_(* &quot;-&quot;??_);_(@_)">
                  <c:v>0.723439833333333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1095888"/>
        <c:axId val="-1731093840"/>
      </c:radarChart>
      <c:catAx>
        <c:axId val="-1731095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093840"/>
        <c:crosses val="autoZero"/>
        <c:auto val="1"/>
        <c:lblAlgn val="ctr"/>
        <c:lblOffset val="100"/>
        <c:noMultiLvlLbl val="0"/>
      </c:catAx>
      <c:valAx>
        <c:axId val="-1731093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0958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 éco'!$I$25:$K$25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éco'!$I$36:$K$36</c:f>
              <c:numCache>
                <c:formatCode>_ * #,##0.000_)\ _€_ ;_ * \(#,##0.000\)\ _€_ ;_ * "-"??_)\ _€_ ;_ @_ </c:formatCode>
                <c:ptCount val="3"/>
                <c:pt idx="0" formatCode="_(* #,##0.00_);_(* \(#,##0.00\);_(* &quot;-&quot;??_);_(@_)">
                  <c:v>2.75</c:v>
                </c:pt>
                <c:pt idx="1">
                  <c:v>1.5</c:v>
                </c:pt>
                <c:pt idx="2" formatCode="_(* #,##0.00_);_(* \(#,##0.00\);_(* &quot;-&quot;??_);_(@_)">
                  <c:v>0.78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922780208"/>
        <c:axId val="-1734141184"/>
      </c:radarChart>
      <c:catAx>
        <c:axId val="-1922780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141184"/>
        <c:crosses val="autoZero"/>
        <c:auto val="1"/>
        <c:lblAlgn val="ctr"/>
        <c:lblOffset val="100"/>
        <c:noMultiLvlLbl val="0"/>
      </c:catAx>
      <c:valAx>
        <c:axId val="-1734141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22780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 éco'!$P$25:$R$25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éco'!$P$35:$R$35</c:f>
              <c:numCache>
                <c:formatCode>_ * #,##0.000_)\ _€_ ;_ * \(#,##0.000\)\ _€_ ;_ * "-"??_)\ _€_ ;_ @_ </c:formatCode>
                <c:ptCount val="3"/>
                <c:pt idx="0" formatCode="_(* #,##0.00_);_(* \(#,##0.00\);_(* &quot;-&quot;??_);_(@_)">
                  <c:v>3.0</c:v>
                </c:pt>
                <c:pt idx="1">
                  <c:v>2.0</c:v>
                </c:pt>
                <c:pt idx="2" formatCode="_(* #,##0.00_);_(* \(#,##0.00\);_(* &quot;-&quot;??_);_(@_)">
                  <c:v>0.9947665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921115664"/>
        <c:axId val="-1732140720"/>
      </c:radarChart>
      <c:catAx>
        <c:axId val="-1921115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2140720"/>
        <c:crosses val="autoZero"/>
        <c:auto val="1"/>
        <c:lblAlgn val="ctr"/>
        <c:lblOffset val="100"/>
        <c:noMultiLvlLbl val="0"/>
      </c:catAx>
      <c:valAx>
        <c:axId val="-1732140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21115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</a:t>
            </a:r>
            <a:r>
              <a:rPr lang="fr-FR" baseline="0"/>
              <a:t> 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 éco'!$W$23:$Y$23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éco'!$W$28:$Y$28</c:f>
              <c:numCache>
                <c:formatCode>0.00</c:formatCode>
                <c:ptCount val="3"/>
                <c:pt idx="0">
                  <c:v>2.75</c:v>
                </c:pt>
                <c:pt idx="1">
                  <c:v>1.75</c:v>
                </c:pt>
                <c:pt idx="2">
                  <c:v>0.54791275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4476144"/>
        <c:axId val="-1734474512"/>
      </c:radarChart>
      <c:catAx>
        <c:axId val="-1734476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474512"/>
        <c:crosses val="autoZero"/>
        <c:auto val="1"/>
        <c:lblAlgn val="ctr"/>
        <c:lblOffset val="100"/>
        <c:noMultiLvlLbl val="0"/>
      </c:catAx>
      <c:valAx>
        <c:axId val="-1734474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476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s-IS" sz="900"/>
              <a:t>Type 1</a:t>
            </a:r>
          </a:p>
        </c:rich>
      </c:tx>
      <c:layout>
        <c:manualLayout>
          <c:xMode val="edge"/>
          <c:yMode val="edge"/>
          <c:x val="0.414917523064719"/>
          <c:y val="0.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70159852467421"/>
          <c:y val="0.365306796125051"/>
          <c:w val="0.320396328167957"/>
          <c:h val="0.47302799694477"/>
        </c:manualLayout>
      </c:layout>
      <c:radarChart>
        <c:radarStyle val="marker"/>
        <c:varyColors val="0"/>
        <c:ser>
          <c:idx val="0"/>
          <c:order val="0"/>
          <c:tx>
            <c:strRef>
              <c:f>'perf éco'!$A$5</c:f>
              <c:strCache>
                <c:ptCount val="1"/>
                <c:pt idx="0">
                  <c:v>G13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éco'!$B$4:$D$4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éco'!$B$5:$D$5</c:f>
              <c:numCache>
                <c:formatCode>_ * #,##0_)\ _€_ ;_ * \(#,##0\)\ _€_ ;_ * "-"??_)\ _€_ ;_ @_ </c:formatCode>
                <c:ptCount val="3"/>
                <c:pt idx="0">
                  <c:v>3.0</c:v>
                </c:pt>
                <c:pt idx="1">
                  <c:v>1.0</c:v>
                </c:pt>
                <c:pt idx="2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1178096"/>
        <c:axId val="-1731175776"/>
      </c:radarChart>
      <c:catAx>
        <c:axId val="-1731178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175776"/>
        <c:crosses val="autoZero"/>
        <c:auto val="1"/>
        <c:lblAlgn val="ctr"/>
        <c:lblOffset val="100"/>
        <c:noMultiLvlLbl val="0"/>
      </c:catAx>
      <c:valAx>
        <c:axId val="-1731175776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178096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900"/>
              <a:t>Type 5</a:t>
            </a:r>
          </a:p>
        </c:rich>
      </c:tx>
      <c:layout>
        <c:manualLayout>
          <c:xMode val="edge"/>
          <c:yMode val="edge"/>
          <c:x val="0.404103170563756"/>
          <c:y val="0.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éco'!$P$25:$R$25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éco'!$P$35:$R$35</c:f>
              <c:numCache>
                <c:formatCode>_ * #,##0.000_)\ _€_ ;_ * \(#,##0.000\)\ _€_ ;_ * "-"??_)\ _€_ ;_ @_ </c:formatCode>
                <c:ptCount val="3"/>
                <c:pt idx="0" formatCode="_(* #,##0.00_);_(* \(#,##0.00\);_(* &quot;-&quot;??_);_(@_)">
                  <c:v>3.0</c:v>
                </c:pt>
                <c:pt idx="1">
                  <c:v>2.0</c:v>
                </c:pt>
                <c:pt idx="2" formatCode="_(* #,##0.00_);_(* \(#,##0.00\);_(* &quot;-&quot;??_);_(@_)">
                  <c:v>0.9947665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4628256"/>
        <c:axId val="-1734625936"/>
      </c:radarChart>
      <c:catAx>
        <c:axId val="-1734628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625936"/>
        <c:crosses val="autoZero"/>
        <c:auto val="1"/>
        <c:lblAlgn val="ctr"/>
        <c:lblOffset val="100"/>
        <c:noMultiLvlLbl val="0"/>
      </c:catAx>
      <c:valAx>
        <c:axId val="-1734625936"/>
        <c:scaling>
          <c:orientation val="minMax"/>
          <c:max val="3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628256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900"/>
              <a:t>Type</a:t>
            </a:r>
            <a:r>
              <a:rPr lang="fr-FR" sz="900" baseline="0"/>
              <a:t> 6</a:t>
            </a:r>
          </a:p>
        </c:rich>
      </c:tx>
      <c:layout>
        <c:manualLayout>
          <c:xMode val="edge"/>
          <c:yMode val="edge"/>
          <c:x val="0.394524483066619"/>
          <c:y val="0.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éco'!$W$23:$Y$23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éco'!$W$28:$Y$28</c:f>
              <c:numCache>
                <c:formatCode>0.00</c:formatCode>
                <c:ptCount val="3"/>
                <c:pt idx="0">
                  <c:v>2.75</c:v>
                </c:pt>
                <c:pt idx="1">
                  <c:v>1.75</c:v>
                </c:pt>
                <c:pt idx="2">
                  <c:v>0.54791275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4712480"/>
        <c:axId val="-1734710160"/>
      </c:radarChart>
      <c:catAx>
        <c:axId val="-1734712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710160"/>
        <c:crosses val="autoZero"/>
        <c:auto val="1"/>
        <c:lblAlgn val="ctr"/>
        <c:lblOffset val="100"/>
        <c:noMultiLvlLbl val="0"/>
      </c:catAx>
      <c:valAx>
        <c:axId val="-1734710160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712480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900"/>
              <a:t>Type 3</a:t>
            </a:r>
          </a:p>
        </c:rich>
      </c:tx>
      <c:layout>
        <c:manualLayout>
          <c:xMode val="edge"/>
          <c:yMode val="edge"/>
          <c:x val="0.389146034843348"/>
          <c:y val="0.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8028158967997"/>
          <c:y val="0.217821947773577"/>
          <c:w val="0.280435197945776"/>
          <c:h val="0.562786582923641"/>
        </c:manualLayout>
      </c:layout>
      <c:radarChart>
        <c:radarStyle val="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éco'!$B$41:$D$41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éco'!$B$56:$D$56</c:f>
              <c:numCache>
                <c:formatCode>0.00</c:formatCode>
                <c:ptCount val="3"/>
                <c:pt idx="0" formatCode="_(* #,##0.00_);_(* \(#,##0.00\);_(* &quot;-&quot;??_);_(@_)">
                  <c:v>2.916666666666666</c:v>
                </c:pt>
                <c:pt idx="1">
                  <c:v>1.666666666666667</c:v>
                </c:pt>
                <c:pt idx="2" formatCode="_(* #,##0.00_);_(* \(#,##0.00\);_(* &quot;-&quot;??_);_(@_)">
                  <c:v>0.723439833333333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2035728"/>
        <c:axId val="-1732033408"/>
      </c:radarChart>
      <c:catAx>
        <c:axId val="-1732035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2033408"/>
        <c:crosses val="autoZero"/>
        <c:auto val="1"/>
        <c:lblAlgn val="ctr"/>
        <c:lblOffset val="100"/>
        <c:noMultiLvlLbl val="0"/>
      </c:catAx>
      <c:valAx>
        <c:axId val="-173203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2035728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900"/>
              <a:t>Type 4</a:t>
            </a:r>
          </a:p>
        </c:rich>
      </c:tx>
      <c:layout>
        <c:manualLayout>
          <c:xMode val="edge"/>
          <c:yMode val="edge"/>
          <c:x val="0.413122231901463"/>
          <c:y val="0.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64268020510304"/>
          <c:y val="0.298230217030585"/>
          <c:w val="0.332418920035944"/>
          <c:h val="0.548704902664137"/>
        </c:manualLayout>
      </c:layout>
      <c:radarChart>
        <c:radarStyle val="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éco'!$I$25:$K$25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éco'!$I$36:$K$36</c:f>
              <c:numCache>
                <c:formatCode>_ * #,##0.000_)\ _€_ ;_ * \(#,##0.000\)\ _€_ ;_ * "-"??_)\ _€_ ;_ @_ </c:formatCode>
                <c:ptCount val="3"/>
                <c:pt idx="0" formatCode="_(* #,##0.00_);_(* \(#,##0.00\);_(* &quot;-&quot;??_);_(@_)">
                  <c:v>2.75</c:v>
                </c:pt>
                <c:pt idx="1">
                  <c:v>1.5</c:v>
                </c:pt>
                <c:pt idx="2" formatCode="_(* #,##0.00_);_(* \(#,##0.00\);_(* &quot;-&quot;??_);_(@_)">
                  <c:v>0.78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6008736"/>
        <c:axId val="-1736307840"/>
      </c:radarChart>
      <c:catAx>
        <c:axId val="-1736008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6307840"/>
        <c:crosses val="autoZero"/>
        <c:auto val="1"/>
        <c:lblAlgn val="ctr"/>
        <c:lblOffset val="100"/>
        <c:noMultiLvlLbl val="0"/>
      </c:catAx>
      <c:valAx>
        <c:axId val="-1736307840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6008736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4"/>
          <c:order val="0"/>
          <c:tx>
            <c:strRef>
              <c:f>'perf éco typo ecart type'!$A$24</c:f>
              <c:strCache>
                <c:ptCount val="1"/>
                <c:pt idx="0">
                  <c:v>type 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'perf éco typo ecart type'!$B$19:$D$19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 typo ecart type'!$B$24:$D$24</c:f>
              <c:numCache>
                <c:formatCode>General</c:formatCode>
                <c:ptCount val="3"/>
                <c:pt idx="0" formatCode="0.0">
                  <c:v>3.0</c:v>
                </c:pt>
                <c:pt idx="1">
                  <c:v>1.0</c:v>
                </c:pt>
                <c:pt idx="2">
                  <c:v>3.0</c:v>
                </c:pt>
              </c:numCache>
            </c:numRef>
          </c:val>
        </c:ser>
        <c:ser>
          <c:idx val="0"/>
          <c:order val="1"/>
          <c:tx>
            <c:strRef>
              <c:f>'perf éco typo ecart type'!$A$20</c:f>
              <c:strCache>
                <c:ptCount val="1"/>
                <c:pt idx="0">
                  <c:v>type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1.0</c:v>
                </c:pt>
              </c:numLit>
            </c:plus>
            <c:minus>
              <c:numLit>
                <c:formatCode>General</c:formatCode>
                <c:ptCount val="1"/>
                <c:pt idx="0">
                  <c:v>1.0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éco typo ecart type'!$B$19:$D$19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 typo ecart type'!$B$20:$D$20</c:f>
              <c:numCache>
                <c:formatCode>_(* #,##0.00_);_(* \(#,##0.00\);_(* "-"??_);_(@_)</c:formatCode>
                <c:ptCount val="3"/>
                <c:pt idx="0">
                  <c:v>2.916666666666666</c:v>
                </c:pt>
                <c:pt idx="1">
                  <c:v>1.666666666666667</c:v>
                </c:pt>
                <c:pt idx="2">
                  <c:v>0.583333333333333</c:v>
                </c:pt>
              </c:numCache>
            </c:numRef>
          </c:val>
        </c:ser>
        <c:ser>
          <c:idx val="1"/>
          <c:order val="2"/>
          <c:tx>
            <c:strRef>
              <c:f>'perf éco typo ecart type'!$A$21</c:f>
              <c:strCache>
                <c:ptCount val="1"/>
                <c:pt idx="0">
                  <c:v>type 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éco'!$I$37:$K$37</c:f>
                <c:numCache>
                  <c:formatCode>General</c:formatCode>
                  <c:ptCount val="3"/>
                  <c:pt idx="0">
                    <c:v>0.462910049886276</c:v>
                  </c:pt>
                  <c:pt idx="1">
                    <c:v>0.755928946018454</c:v>
                  </c:pt>
                  <c:pt idx="2">
                    <c:v>0.744023809142845</c:v>
                  </c:pt>
                </c:numCache>
              </c:numRef>
            </c:plus>
            <c:minus>
              <c:numRef>
                <c:f>'perf éco'!$I$37:$K$37</c:f>
                <c:numCache>
                  <c:formatCode>General</c:formatCode>
                  <c:ptCount val="3"/>
                  <c:pt idx="0">
                    <c:v>0.462910049886276</c:v>
                  </c:pt>
                  <c:pt idx="1">
                    <c:v>0.755928946018454</c:v>
                  </c:pt>
                  <c:pt idx="2">
                    <c:v>0.744023809142845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éco typo ecart type'!$B$19:$D$19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 typo ecart type'!$B$21:$D$21</c:f>
              <c:numCache>
                <c:formatCode>_(* #,##0.00_);_(* \(#,##0.00\);_(* "-"??_);_(@_)</c:formatCode>
                <c:ptCount val="3"/>
                <c:pt idx="0">
                  <c:v>2.75</c:v>
                </c:pt>
                <c:pt idx="1">
                  <c:v>1.5</c:v>
                </c:pt>
                <c:pt idx="2">
                  <c:v>0.625</c:v>
                </c:pt>
              </c:numCache>
            </c:numRef>
          </c:val>
        </c:ser>
        <c:ser>
          <c:idx val="2"/>
          <c:order val="3"/>
          <c:tx>
            <c:strRef>
              <c:f>'perf éco typo ecart type'!$A$22</c:f>
              <c:strCache>
                <c:ptCount val="1"/>
                <c:pt idx="0">
                  <c:v>type 5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éco'!$P$36:$R$36</c:f>
                <c:numCache>
                  <c:formatCode>General</c:formatCode>
                  <c:ptCount val="3"/>
                  <c:pt idx="0">
                    <c:v>0.0</c:v>
                  </c:pt>
                  <c:pt idx="1">
                    <c:v>1.0</c:v>
                  </c:pt>
                  <c:pt idx="2">
                    <c:v>1.414213562373095</c:v>
                  </c:pt>
                </c:numCache>
              </c:numRef>
            </c:plus>
            <c:minus>
              <c:numRef>
                <c:f>'perf éco'!$P$36:$R$36</c:f>
                <c:numCache>
                  <c:formatCode>General</c:formatCode>
                  <c:ptCount val="3"/>
                  <c:pt idx="0">
                    <c:v>0.0</c:v>
                  </c:pt>
                  <c:pt idx="1">
                    <c:v>1.0</c:v>
                  </c:pt>
                  <c:pt idx="2">
                    <c:v>1.414213562373095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éco typo ecart type'!$B$19:$D$19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 typo ecart type'!$B$22:$D$22</c:f>
              <c:numCache>
                <c:formatCode>_(* #,##0.00_);_(* \(#,##0.00\);_(* "-"??_);_(@_)</c:formatCode>
                <c:ptCount val="3"/>
                <c:pt idx="0" formatCode="General">
                  <c:v>3.0</c:v>
                </c:pt>
                <c:pt idx="1">
                  <c:v>2.0</c:v>
                </c:pt>
                <c:pt idx="2" formatCode="General">
                  <c:v>1.0</c:v>
                </c:pt>
              </c:numCache>
            </c:numRef>
          </c:val>
        </c:ser>
        <c:ser>
          <c:idx val="3"/>
          <c:order val="4"/>
          <c:tx>
            <c:strRef>
              <c:f>'perf éco typo ecart type'!$A$23</c:f>
              <c:strCache>
                <c:ptCount val="1"/>
                <c:pt idx="0">
                  <c:v>type 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éco'!$W$29:$Y$29</c:f>
                <c:numCache>
                  <c:formatCode>General</c:formatCode>
                  <c:ptCount val="3"/>
                  <c:pt idx="0">
                    <c:v>0.433012701892219</c:v>
                  </c:pt>
                  <c:pt idx="1">
                    <c:v>0.433012701892219</c:v>
                  </c:pt>
                  <c:pt idx="2">
                    <c:v>0.24503403094777</c:v>
                  </c:pt>
                </c:numCache>
              </c:numRef>
            </c:plus>
            <c:minus>
              <c:numRef>
                <c:f>'perf éco'!$W$29:$Y$29</c:f>
                <c:numCache>
                  <c:formatCode>General</c:formatCode>
                  <c:ptCount val="3"/>
                  <c:pt idx="0">
                    <c:v>0.433012701892219</c:v>
                  </c:pt>
                  <c:pt idx="1">
                    <c:v>0.433012701892219</c:v>
                  </c:pt>
                  <c:pt idx="2">
                    <c:v>0.24503403094777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éco typo ecart type'!$B$19:$D$19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 éco typo ecart type'!$B$23:$D$23</c:f>
              <c:numCache>
                <c:formatCode>0.00</c:formatCode>
                <c:ptCount val="3"/>
                <c:pt idx="0">
                  <c:v>2.75</c:v>
                </c:pt>
                <c:pt idx="1">
                  <c:v>1.75</c:v>
                </c:pt>
                <c:pt idx="2">
                  <c:v>0.55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34577488"/>
        <c:axId val="-1734574944"/>
      </c:barChart>
      <c:catAx>
        <c:axId val="-17345774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Indicateurs</a:t>
                </a:r>
                <a:r>
                  <a:rPr lang="fr-FR" baseline="0"/>
                  <a:t> économiques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574944"/>
        <c:crosses val="autoZero"/>
        <c:auto val="1"/>
        <c:lblAlgn val="ctr"/>
        <c:lblOffset val="100"/>
        <c:noMultiLvlLbl val="0"/>
      </c:catAx>
      <c:valAx>
        <c:axId val="-1734574944"/>
        <c:scaling>
          <c:orientation val="minMax"/>
          <c:max val="4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Scores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577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'perf agro typo'!$B$8:$F$8</c:f>
              <c:strCache>
                <c:ptCount val="5"/>
                <c:pt idx="0">
                  <c:v>Position topo</c:v>
                </c:pt>
                <c:pt idx="1">
                  <c:v>Humidité du sol</c:v>
                </c:pt>
                <c:pt idx="2">
                  <c:v>évolution de maladies</c:v>
                </c:pt>
                <c:pt idx="3">
                  <c:v>évolution des adventices </c:v>
                </c:pt>
                <c:pt idx="4">
                  <c:v>Intégration AE</c:v>
                </c:pt>
              </c:strCache>
            </c:strRef>
          </c:cat>
          <c:val>
            <c:numRef>
              <c:f>'perf agro typo'!$B$20:$F$20</c:f>
              <c:numCache>
                <c:formatCode>General</c:formatCode>
                <c:ptCount val="5"/>
                <c:pt idx="0">
                  <c:v>1.222222222222222</c:v>
                </c:pt>
                <c:pt idx="1">
                  <c:v>1.777777777777778</c:v>
                </c:pt>
                <c:pt idx="2">
                  <c:v>2.333333333333333</c:v>
                </c:pt>
                <c:pt idx="3">
                  <c:v>1.444444444444444</c:v>
                </c:pt>
                <c:pt idx="4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4683456"/>
        <c:axId val="-1762306896"/>
      </c:radarChart>
      <c:catAx>
        <c:axId val="-1734683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62306896"/>
        <c:crosses val="autoZero"/>
        <c:auto val="1"/>
        <c:lblAlgn val="ctr"/>
        <c:lblOffset val="100"/>
        <c:noMultiLvlLbl val="0"/>
      </c:catAx>
      <c:valAx>
        <c:axId val="-1762306896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683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agro typo'!$I$8:$M$8</c:f>
              <c:strCache>
                <c:ptCount val="5"/>
                <c:pt idx="0">
                  <c:v>Position topo</c:v>
                </c:pt>
                <c:pt idx="1">
                  <c:v>Humidité du sol</c:v>
                </c:pt>
                <c:pt idx="2">
                  <c:v>évolution de maladies</c:v>
                </c:pt>
                <c:pt idx="3">
                  <c:v>évolution des adventices </c:v>
                </c:pt>
                <c:pt idx="4">
                  <c:v>Intégration AE</c:v>
                </c:pt>
              </c:strCache>
            </c:strRef>
          </c:cat>
          <c:val>
            <c:numRef>
              <c:f>'perf agro typo'!$I$23:$M$23</c:f>
              <c:numCache>
                <c:formatCode>General</c:formatCode>
                <c:ptCount val="5"/>
                <c:pt idx="0">
                  <c:v>1.833333333333333</c:v>
                </c:pt>
                <c:pt idx="1">
                  <c:v>2.0</c:v>
                </c:pt>
                <c:pt idx="2">
                  <c:v>2.0</c:v>
                </c:pt>
                <c:pt idx="3">
                  <c:v>1.25</c:v>
                </c:pt>
                <c:pt idx="4">
                  <c:v>0.166666666666667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0344112"/>
        <c:axId val="-1730341792"/>
      </c:radarChart>
      <c:catAx>
        <c:axId val="-173034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0341792"/>
        <c:crosses val="autoZero"/>
        <c:auto val="1"/>
        <c:lblAlgn val="ctr"/>
        <c:lblOffset val="100"/>
        <c:noMultiLvlLbl val="0"/>
      </c:catAx>
      <c:valAx>
        <c:axId val="-1730341792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0344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'perf agro typo'!$P$8:$T$8</c:f>
              <c:strCache>
                <c:ptCount val="5"/>
                <c:pt idx="0">
                  <c:v>Position topo</c:v>
                </c:pt>
                <c:pt idx="1">
                  <c:v>Humidité du sol</c:v>
                </c:pt>
                <c:pt idx="2">
                  <c:v>évolution de maladies</c:v>
                </c:pt>
                <c:pt idx="3">
                  <c:v>évolution des adventices </c:v>
                </c:pt>
                <c:pt idx="4">
                  <c:v>Intégration AE</c:v>
                </c:pt>
              </c:strCache>
            </c:strRef>
          </c:cat>
          <c:val>
            <c:numRef>
              <c:f>'perf agro typo'!$P$17:$T$17</c:f>
              <c:numCache>
                <c:formatCode>0</c:formatCode>
                <c:ptCount val="5"/>
                <c:pt idx="0">
                  <c:v>1.25</c:v>
                </c:pt>
                <c:pt idx="1">
                  <c:v>1.5</c:v>
                </c:pt>
                <c:pt idx="2">
                  <c:v>1.75</c:v>
                </c:pt>
                <c:pt idx="3">
                  <c:v>2.25</c:v>
                </c:pt>
                <c:pt idx="4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0948448"/>
        <c:axId val="-1730946128"/>
      </c:radarChart>
      <c:catAx>
        <c:axId val="-1730948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0946128"/>
        <c:crosses val="autoZero"/>
        <c:auto val="1"/>
        <c:lblAlgn val="ctr"/>
        <c:lblOffset val="100"/>
        <c:noMultiLvlLbl val="0"/>
      </c:catAx>
      <c:valAx>
        <c:axId val="-1730946128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0948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'perf agro typo'!$W$8:$AA$8</c:f>
              <c:strCache>
                <c:ptCount val="5"/>
                <c:pt idx="0">
                  <c:v>Position topo</c:v>
                </c:pt>
                <c:pt idx="1">
                  <c:v>Humidité du sol</c:v>
                </c:pt>
                <c:pt idx="2">
                  <c:v>évolution de maladies</c:v>
                </c:pt>
                <c:pt idx="3">
                  <c:v>évolution des adventices </c:v>
                </c:pt>
                <c:pt idx="4">
                  <c:v>Intégration AE</c:v>
                </c:pt>
              </c:strCache>
            </c:strRef>
          </c:cat>
          <c:val>
            <c:numRef>
              <c:f>'perf agro typo'!$W$13:$AA$13</c:f>
              <c:numCache>
                <c:formatCode>0.00</c:formatCode>
                <c:ptCount val="5"/>
                <c:pt idx="0" formatCode="General">
                  <c:v>1.0</c:v>
                </c:pt>
                <c:pt idx="1">
                  <c:v>2.0</c:v>
                </c:pt>
                <c:pt idx="2" formatCode="General">
                  <c:v>2.0</c:v>
                </c:pt>
                <c:pt idx="3" formatCode="General">
                  <c:v>1.666666666666667</c:v>
                </c:pt>
                <c:pt idx="4" formatCode="General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6038208"/>
        <c:axId val="-1736264656"/>
      </c:radarChart>
      <c:catAx>
        <c:axId val="-173603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6264656"/>
        <c:crosses val="autoZero"/>
        <c:auto val="1"/>
        <c:lblAlgn val="ctr"/>
        <c:lblOffset val="100"/>
        <c:noMultiLvlLbl val="0"/>
      </c:catAx>
      <c:valAx>
        <c:axId val="-1736264656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6038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'perf agro typo'!$AD$8:$AH$8</c:f>
              <c:strCache>
                <c:ptCount val="5"/>
                <c:pt idx="0">
                  <c:v>Position topo</c:v>
                </c:pt>
                <c:pt idx="1">
                  <c:v>Humidité du sol</c:v>
                </c:pt>
                <c:pt idx="2">
                  <c:v>évolution de maladies</c:v>
                </c:pt>
                <c:pt idx="3">
                  <c:v>évolution des adventices </c:v>
                </c:pt>
                <c:pt idx="4">
                  <c:v>Intégration AE</c:v>
                </c:pt>
              </c:strCache>
            </c:strRef>
          </c:cat>
          <c:val>
            <c:numRef>
              <c:f>'perf agro typo'!$AD$9:$AH$9</c:f>
              <c:numCache>
                <c:formatCode>General</c:formatCode>
                <c:ptCount val="5"/>
                <c:pt idx="0">
                  <c:v>1.0</c:v>
                </c:pt>
                <c:pt idx="1">
                  <c:v>2.0</c:v>
                </c:pt>
                <c:pt idx="2">
                  <c:v>2.0</c:v>
                </c:pt>
                <c:pt idx="3">
                  <c:v>2.0</c:v>
                </c:pt>
                <c:pt idx="4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34582288"/>
        <c:axId val="-1834579968"/>
      </c:radarChart>
      <c:catAx>
        <c:axId val="-1834582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4579968"/>
        <c:crosses val="autoZero"/>
        <c:auto val="1"/>
        <c:lblAlgn val="ctr"/>
        <c:lblOffset val="100"/>
        <c:noMultiLvlLbl val="0"/>
      </c:catAx>
      <c:valAx>
        <c:axId val="-1834579968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4582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'perf agro typo ecart type'!$A$7</c:f>
              <c:strCache>
                <c:ptCount val="1"/>
                <c:pt idx="0">
                  <c:v>type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type'!$B$7:$E$7</c:f>
              <c:numCache>
                <c:formatCode>General</c:formatCode>
                <c:ptCount val="4"/>
                <c:pt idx="0">
                  <c:v>2.0</c:v>
                </c:pt>
                <c:pt idx="1">
                  <c:v>2.0</c:v>
                </c:pt>
                <c:pt idx="2">
                  <c:v>2.0</c:v>
                </c:pt>
                <c:pt idx="3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8194928"/>
        <c:axId val="-1802867824"/>
      </c:radarChart>
      <c:catAx>
        <c:axId val="-1798194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02867824"/>
        <c:crosses val="autoZero"/>
        <c:auto val="1"/>
        <c:lblAlgn val="ctr"/>
        <c:lblOffset val="100"/>
        <c:noMultiLvlLbl val="0"/>
      </c:catAx>
      <c:valAx>
        <c:axId val="-1802867824"/>
        <c:scaling>
          <c:orientation val="minMax"/>
          <c:max val="3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8194928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'perf agro typo ecart type'!$A$5</c:f>
              <c:strCache>
                <c:ptCount val="1"/>
                <c:pt idx="0">
                  <c:v>type 5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type'!$B$5:$E$5</c:f>
              <c:numCache>
                <c:formatCode>0</c:formatCode>
                <c:ptCount val="4"/>
                <c:pt idx="0">
                  <c:v>1.5</c:v>
                </c:pt>
                <c:pt idx="1">
                  <c:v>1.75</c:v>
                </c:pt>
                <c:pt idx="2">
                  <c:v>2.25</c:v>
                </c:pt>
                <c:pt idx="3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9989040"/>
        <c:axId val="-1799986720"/>
      </c:radarChart>
      <c:catAx>
        <c:axId val="-1799989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9986720"/>
        <c:crosses val="autoZero"/>
        <c:auto val="1"/>
        <c:lblAlgn val="ctr"/>
        <c:lblOffset val="100"/>
        <c:noMultiLvlLbl val="0"/>
      </c:catAx>
      <c:valAx>
        <c:axId val="-1799986720"/>
        <c:scaling>
          <c:orientation val="minMax"/>
          <c:max val="3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9989040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52112637535452"/>
          <c:y val="0.367979495058427"/>
          <c:w val="0.330509007666157"/>
          <c:h val="0.44631117873868"/>
        </c:manualLayout>
      </c:layout>
      <c:radarChart>
        <c:radarStyle val="marker"/>
        <c:varyColors val="0"/>
        <c:ser>
          <c:idx val="0"/>
          <c:order val="0"/>
          <c:tx>
            <c:strRef>
              <c:f>'perf agro typo ecart type'!$A$6</c:f>
              <c:strCache>
                <c:ptCount val="1"/>
                <c:pt idx="0">
                  <c:v>type 6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type'!$B$6:$E$6</c:f>
              <c:numCache>
                <c:formatCode>General</c:formatCode>
                <c:ptCount val="4"/>
                <c:pt idx="0">
                  <c:v>2.0</c:v>
                </c:pt>
                <c:pt idx="1">
                  <c:v>2.0</c:v>
                </c:pt>
                <c:pt idx="2">
                  <c:v>1.666666666666667</c:v>
                </c:pt>
                <c:pt idx="3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5091872"/>
        <c:axId val="-1731036848"/>
      </c:radarChart>
      <c:catAx>
        <c:axId val="-1735091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036848"/>
        <c:crosses val="autoZero"/>
        <c:auto val="1"/>
        <c:lblAlgn val="ctr"/>
        <c:lblOffset val="100"/>
        <c:noMultiLvlLbl val="0"/>
      </c:catAx>
      <c:valAx>
        <c:axId val="-1731036848"/>
        <c:scaling>
          <c:orientation val="minMax"/>
          <c:max val="3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5091872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7679443969225"/>
          <c:y val="0.328366929783798"/>
          <c:w val="0.338450590612107"/>
          <c:h val="0.451314014968104"/>
        </c:manualLayout>
      </c:layout>
      <c:radarChart>
        <c:radarStyle val="marker"/>
        <c:varyColors val="0"/>
        <c:ser>
          <c:idx val="0"/>
          <c:order val="0"/>
          <c:tx>
            <c:strRef>
              <c:f>'perf agro typo ecart type'!$A$3</c:f>
              <c:strCache>
                <c:ptCount val="1"/>
                <c:pt idx="0">
                  <c:v>type 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type'!$B$3:$E$3</c:f>
              <c:numCache>
                <c:formatCode>General</c:formatCode>
                <c:ptCount val="4"/>
                <c:pt idx="0">
                  <c:v>1.354166666666667</c:v>
                </c:pt>
                <c:pt idx="1">
                  <c:v>1.138888888888889</c:v>
                </c:pt>
                <c:pt idx="2">
                  <c:v>0.708333333333333</c:v>
                </c:pt>
                <c:pt idx="3">
                  <c:v>0.166666666666667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9722464"/>
        <c:axId val="-1799470224"/>
      </c:radarChart>
      <c:catAx>
        <c:axId val="-1799722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9470224"/>
        <c:crosses val="autoZero"/>
        <c:auto val="1"/>
        <c:lblAlgn val="ctr"/>
        <c:lblOffset val="100"/>
        <c:noMultiLvlLbl val="0"/>
      </c:catAx>
      <c:valAx>
        <c:axId val="-1799470224"/>
        <c:scaling>
          <c:orientation val="minMax"/>
          <c:max val="3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9722464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'perf agro typo ecart type'!$A$4</c:f>
              <c:strCache>
                <c:ptCount val="1"/>
                <c:pt idx="0">
                  <c:v>type 4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type'!$B$4:$E$4</c:f>
              <c:numCache>
                <c:formatCode>General</c:formatCode>
                <c:ptCount val="4"/>
                <c:pt idx="0">
                  <c:v>1.388888888888889</c:v>
                </c:pt>
                <c:pt idx="1">
                  <c:v>1.259259259259259</c:v>
                </c:pt>
                <c:pt idx="2">
                  <c:v>0.722222222222222</c:v>
                </c:pt>
                <c:pt idx="3">
                  <c:v>0.5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00024272"/>
        <c:axId val="-1800021952"/>
      </c:radarChart>
      <c:catAx>
        <c:axId val="-1800024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00021952"/>
        <c:crosses val="autoZero"/>
        <c:auto val="1"/>
        <c:lblAlgn val="ctr"/>
        <c:lblOffset val="100"/>
        <c:noMultiLvlLbl val="0"/>
      </c:catAx>
      <c:valAx>
        <c:axId val="-1800021952"/>
        <c:scaling>
          <c:orientation val="minMax"/>
          <c:max val="3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00024272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4"/>
          <c:order val="0"/>
          <c:tx>
            <c:strRef>
              <c:f>'perf agro typo ecart type'!$A$7</c:f>
              <c:strCache>
                <c:ptCount val="1"/>
                <c:pt idx="0">
                  <c:v>type 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type'!$B$7:$E$7</c:f>
              <c:numCache>
                <c:formatCode>General</c:formatCode>
                <c:ptCount val="4"/>
                <c:pt idx="0">
                  <c:v>2.0</c:v>
                </c:pt>
                <c:pt idx="1">
                  <c:v>2.0</c:v>
                </c:pt>
                <c:pt idx="2">
                  <c:v>2.0</c:v>
                </c:pt>
                <c:pt idx="3">
                  <c:v>0.0</c:v>
                </c:pt>
              </c:numCache>
            </c:numRef>
          </c:val>
        </c:ser>
        <c:ser>
          <c:idx val="0"/>
          <c:order val="1"/>
          <c:tx>
            <c:strRef>
              <c:f>'perf agro typo ecart type'!$A$3</c:f>
              <c:strCache>
                <c:ptCount val="1"/>
                <c:pt idx="0">
                  <c:v>type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0"/>
            <c:plus>
              <c:numRef>
                <c:f>'perf agro typo'!$J$26:$M$26</c:f>
                <c:numCache>
                  <c:formatCode>General</c:formatCode>
                  <c:ptCount val="4"/>
                  <c:pt idx="0">
                    <c:v>1.128152149635532</c:v>
                  </c:pt>
                  <c:pt idx="1">
                    <c:v>0.852802865422442</c:v>
                  </c:pt>
                  <c:pt idx="2">
                    <c:v>1.288057028664069</c:v>
                  </c:pt>
                  <c:pt idx="3">
                    <c:v>0.389249472080761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1.0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type'!$B$3:$E$3</c:f>
              <c:numCache>
                <c:formatCode>General</c:formatCode>
                <c:ptCount val="4"/>
                <c:pt idx="0">
                  <c:v>1.354166666666667</c:v>
                </c:pt>
                <c:pt idx="1">
                  <c:v>1.138888888888889</c:v>
                </c:pt>
                <c:pt idx="2">
                  <c:v>0.708333333333333</c:v>
                </c:pt>
                <c:pt idx="3">
                  <c:v>0.166666666666667</c:v>
                </c:pt>
              </c:numCache>
            </c:numRef>
          </c:val>
        </c:ser>
        <c:ser>
          <c:idx val="1"/>
          <c:order val="2"/>
          <c:tx>
            <c:strRef>
              <c:f>'perf agro typo ecart type'!$A$4</c:f>
              <c:strCache>
                <c:ptCount val="1"/>
                <c:pt idx="0">
                  <c:v>type 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agro typo'!$C$23:$F$23</c:f>
                <c:numCache>
                  <c:formatCode>General</c:formatCode>
                  <c:ptCount val="4"/>
                  <c:pt idx="0">
                    <c:v>0.440958551844099</c:v>
                  </c:pt>
                  <c:pt idx="1">
                    <c:v>0.707106781186548</c:v>
                  </c:pt>
                  <c:pt idx="2">
                    <c:v>1.23603308118261</c:v>
                  </c:pt>
                  <c:pt idx="3">
                    <c:v>0.0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1.0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type'!$B$4:$E$4</c:f>
              <c:numCache>
                <c:formatCode>General</c:formatCode>
                <c:ptCount val="4"/>
                <c:pt idx="0">
                  <c:v>1.388888888888889</c:v>
                </c:pt>
                <c:pt idx="1">
                  <c:v>1.259259259259259</c:v>
                </c:pt>
                <c:pt idx="2">
                  <c:v>0.722222222222222</c:v>
                </c:pt>
                <c:pt idx="3">
                  <c:v>0.5</c:v>
                </c:pt>
              </c:numCache>
            </c:numRef>
          </c:val>
        </c:ser>
        <c:ser>
          <c:idx val="2"/>
          <c:order val="3"/>
          <c:tx>
            <c:strRef>
              <c:f>'perf agro typo ecart type'!$A$5</c:f>
              <c:strCache>
                <c:ptCount val="1"/>
                <c:pt idx="0">
                  <c:v>type 5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agro typo'!$Q$20:$T$20</c:f>
                <c:numCache>
                  <c:formatCode>General</c:formatCode>
                  <c:ptCount val="4"/>
                  <c:pt idx="0">
                    <c:v>1.0</c:v>
                  </c:pt>
                  <c:pt idx="1">
                    <c:v>0.5</c:v>
                  </c:pt>
                  <c:pt idx="2">
                    <c:v>0.957427107756338</c:v>
                  </c:pt>
                  <c:pt idx="3">
                    <c:v>0.0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1.0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type'!$B$5:$E$5</c:f>
              <c:numCache>
                <c:formatCode>0</c:formatCode>
                <c:ptCount val="4"/>
                <c:pt idx="0">
                  <c:v>1.5</c:v>
                </c:pt>
                <c:pt idx="1">
                  <c:v>1.75</c:v>
                </c:pt>
                <c:pt idx="2">
                  <c:v>2.25</c:v>
                </c:pt>
                <c:pt idx="3">
                  <c:v>0.0</c:v>
                </c:pt>
              </c:numCache>
            </c:numRef>
          </c:val>
        </c:ser>
        <c:ser>
          <c:idx val="3"/>
          <c:order val="4"/>
          <c:tx>
            <c:strRef>
              <c:f>'perf agro typo ecart type'!$A$6</c:f>
              <c:strCache>
                <c:ptCount val="1"/>
                <c:pt idx="0">
                  <c:v>type 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agro typo'!$X$15:$AA$15</c:f>
                <c:numCache>
                  <c:formatCode>General</c:formatCode>
                  <c:ptCount val="4"/>
                  <c:pt idx="0">
                    <c:v>1.0</c:v>
                  </c:pt>
                  <c:pt idx="1">
                    <c:v>0.0</c:v>
                  </c:pt>
                  <c:pt idx="2">
                    <c:v>1.527525231651947</c:v>
                  </c:pt>
                  <c:pt idx="3">
                    <c:v>0.0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1.0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agro typo ecart type'!$B$2:$E$2</c:f>
              <c:strCache>
                <c:ptCount val="4"/>
                <c:pt idx="0">
                  <c:v>Humidité du sol</c:v>
                </c:pt>
                <c:pt idx="1">
                  <c:v>Évolution des phytopathogènes et ravageurs</c:v>
                </c:pt>
                <c:pt idx="2">
                  <c:v>Évolution des adventices </c:v>
                </c:pt>
                <c:pt idx="3">
                  <c:v>Intégration AE</c:v>
                </c:pt>
              </c:strCache>
            </c:strRef>
          </c:cat>
          <c:val>
            <c:numRef>
              <c:f>'perf agro typo ecart type'!$B$6:$E$6</c:f>
              <c:numCache>
                <c:formatCode>General</c:formatCode>
                <c:ptCount val="4"/>
                <c:pt idx="0">
                  <c:v>2.0</c:v>
                </c:pt>
                <c:pt idx="1">
                  <c:v>2.0</c:v>
                </c:pt>
                <c:pt idx="2">
                  <c:v>1.666666666666667</c:v>
                </c:pt>
                <c:pt idx="3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31082432"/>
        <c:axId val="-1734751136"/>
      </c:barChart>
      <c:catAx>
        <c:axId val="-17310824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Indicateurs</a:t>
                </a:r>
                <a:r>
                  <a:rPr lang="fr-FR" baseline="0"/>
                  <a:t> agronomiques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4751136"/>
        <c:crosses val="autoZero"/>
        <c:auto val="1"/>
        <c:lblAlgn val="ctr"/>
        <c:lblOffset val="100"/>
        <c:noMultiLvlLbl val="0"/>
      </c:catAx>
      <c:valAx>
        <c:axId val="-1734751136"/>
        <c:scaling>
          <c:orientation val="minMax"/>
          <c:max val="3.5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Scores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1082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</a:t>
            </a:r>
            <a:r>
              <a:rPr lang="fr-FR" baseline="0"/>
              <a:t> 4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typo'!$B$9:$H$9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typo'!$B$21:$H$21</c:f>
              <c:numCache>
                <c:formatCode>General</c:formatCode>
                <c:ptCount val="7"/>
                <c:pt idx="0">
                  <c:v>0.777777777777778</c:v>
                </c:pt>
                <c:pt idx="1">
                  <c:v>2.777777777777777</c:v>
                </c:pt>
                <c:pt idx="2">
                  <c:v>1.222222222222222</c:v>
                </c:pt>
                <c:pt idx="3">
                  <c:v>1.222222222222222</c:v>
                </c:pt>
                <c:pt idx="4">
                  <c:v>0.222222222222222</c:v>
                </c:pt>
                <c:pt idx="5">
                  <c:v>0.111111111111111</c:v>
                </c:pt>
                <c:pt idx="6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5246560"/>
        <c:axId val="-1735244240"/>
      </c:radarChart>
      <c:catAx>
        <c:axId val="-173524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5244240"/>
        <c:crosses val="autoZero"/>
        <c:auto val="1"/>
        <c:lblAlgn val="ctr"/>
        <c:lblOffset val="100"/>
        <c:noMultiLvlLbl val="0"/>
      </c:catAx>
      <c:valAx>
        <c:axId val="-1735244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5246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</a:t>
            </a:r>
            <a:r>
              <a:rPr lang="fr-FR" baseline="0"/>
              <a:t> 3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typo'!$M$9:$S$9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typo'!$M$24:$S$24</c:f>
              <c:numCache>
                <c:formatCode>General</c:formatCode>
                <c:ptCount val="7"/>
                <c:pt idx="0">
                  <c:v>1.166666666666667</c:v>
                </c:pt>
                <c:pt idx="1">
                  <c:v>1.666666666666667</c:v>
                </c:pt>
                <c:pt idx="2">
                  <c:v>1.166666666666667</c:v>
                </c:pt>
                <c:pt idx="3">
                  <c:v>0.916666666666667</c:v>
                </c:pt>
                <c:pt idx="4">
                  <c:v>0.25</c:v>
                </c:pt>
                <c:pt idx="5">
                  <c:v>0.416666666666667</c:v>
                </c:pt>
                <c:pt idx="6">
                  <c:v>1.583333333333333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62506256"/>
        <c:axId val="-1762462736"/>
      </c:radarChart>
      <c:catAx>
        <c:axId val="-1762506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62462736"/>
        <c:crosses val="autoZero"/>
        <c:auto val="1"/>
        <c:lblAlgn val="ctr"/>
        <c:lblOffset val="100"/>
        <c:noMultiLvlLbl val="0"/>
      </c:catAx>
      <c:valAx>
        <c:axId val="-1762462736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62506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5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typo'!$X$9:$AD$9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typo'!$X$18:$AD$18</c:f>
              <c:numCache>
                <c:formatCode>0.0000</c:formatCode>
                <c:ptCount val="7"/>
                <c:pt idx="0">
                  <c:v>1.25</c:v>
                </c:pt>
                <c:pt idx="1">
                  <c:v>2.25</c:v>
                </c:pt>
                <c:pt idx="2">
                  <c:v>1.5</c:v>
                </c:pt>
                <c:pt idx="3">
                  <c:v>0.75</c:v>
                </c:pt>
                <c:pt idx="4">
                  <c:v>0.0</c:v>
                </c:pt>
                <c:pt idx="5">
                  <c:v>0.0</c:v>
                </c:pt>
                <c:pt idx="6">
                  <c:v>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8189728"/>
        <c:axId val="-1719246096"/>
      </c:radarChart>
      <c:catAx>
        <c:axId val="-1798189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246096"/>
        <c:crosses val="autoZero"/>
        <c:auto val="1"/>
        <c:lblAlgn val="ctr"/>
        <c:lblOffset val="100"/>
        <c:noMultiLvlLbl val="0"/>
      </c:catAx>
      <c:valAx>
        <c:axId val="-1719246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8189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6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typo'!$AI$9:$AO$9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typo'!$AI$14:$AO$14</c:f>
              <c:numCache>
                <c:formatCode>General</c:formatCode>
                <c:ptCount val="7"/>
                <c:pt idx="0">
                  <c:v>2.666666666666666</c:v>
                </c:pt>
                <c:pt idx="1">
                  <c:v>2.0</c:v>
                </c:pt>
                <c:pt idx="2">
                  <c:v>1.666666666666667</c:v>
                </c:pt>
                <c:pt idx="3">
                  <c:v>1.333333333333333</c:v>
                </c:pt>
                <c:pt idx="4">
                  <c:v>0.333333333333333</c:v>
                </c:pt>
                <c:pt idx="5">
                  <c:v>0.333333333333333</c:v>
                </c:pt>
                <c:pt idx="6">
                  <c:v>2.666666666666666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7660880"/>
        <c:axId val="-1797659104"/>
      </c:radarChart>
      <c:catAx>
        <c:axId val="-1797660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7659104"/>
        <c:crosses val="autoZero"/>
        <c:auto val="1"/>
        <c:lblAlgn val="ctr"/>
        <c:lblOffset val="100"/>
        <c:noMultiLvlLbl val="0"/>
      </c:catAx>
      <c:valAx>
        <c:axId val="-1797659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76608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1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typo'!$AW$9:$BC$9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typo'!$AW$10:$BC$10</c:f>
              <c:numCache>
                <c:formatCode>General</c:formatCode>
                <c:ptCount val="7"/>
                <c:pt idx="0">
                  <c:v>2.0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36161360"/>
        <c:axId val="-1736292096"/>
      </c:radarChart>
      <c:catAx>
        <c:axId val="-173616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6292096"/>
        <c:crosses val="autoZero"/>
        <c:auto val="1"/>
        <c:lblAlgn val="ctr"/>
        <c:lblOffset val="100"/>
        <c:noMultiLvlLbl val="0"/>
      </c:catAx>
      <c:valAx>
        <c:axId val="-1736292096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6161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4"/>
          <c:order val="0"/>
          <c:tx>
            <c:strRef>
              <c:f>'perf sociales ecart type'!$A$6</c:f>
              <c:strCache>
                <c:ptCount val="1"/>
                <c:pt idx="0">
                  <c:v>type 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'perf sociales ecart type'!$B$1:$H$1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ecart type'!$B$6:$H$6</c:f>
              <c:numCache>
                <c:formatCode>General</c:formatCode>
                <c:ptCount val="7"/>
                <c:pt idx="0">
                  <c:v>2.0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2.0</c:v>
                </c:pt>
              </c:numCache>
            </c:numRef>
          </c:val>
        </c:ser>
        <c:ser>
          <c:idx val="0"/>
          <c:order val="1"/>
          <c:tx>
            <c:strRef>
              <c:f>'perf sociales ecart type'!$A$2</c:f>
              <c:strCache>
                <c:ptCount val="1"/>
                <c:pt idx="0">
                  <c:v>type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sociales typo'!$M$26:$S$26</c:f>
                <c:numCache>
                  <c:formatCode>General</c:formatCode>
                  <c:ptCount val="7"/>
                  <c:pt idx="0">
                    <c:v>1.19341628287971</c:v>
                  </c:pt>
                  <c:pt idx="1">
                    <c:v>1.230914909793327</c:v>
                  </c:pt>
                  <c:pt idx="2">
                    <c:v>0.834847109936722</c:v>
                  </c:pt>
                  <c:pt idx="3">
                    <c:v>0.514928650544437</c:v>
                  </c:pt>
                  <c:pt idx="4">
                    <c:v>0.452267016866645</c:v>
                  </c:pt>
                  <c:pt idx="5">
                    <c:v>0.668557923421521</c:v>
                  </c:pt>
                  <c:pt idx="6">
                    <c:v>1.505042031024886</c:v>
                  </c:pt>
                </c:numCache>
              </c:numRef>
            </c:plus>
            <c:minus>
              <c:numRef>
                <c:f>'perf sociales typo'!$M$26:$S$26</c:f>
                <c:numCache>
                  <c:formatCode>General</c:formatCode>
                  <c:ptCount val="7"/>
                  <c:pt idx="0">
                    <c:v>1.19341628287971</c:v>
                  </c:pt>
                  <c:pt idx="1">
                    <c:v>1.230914909793327</c:v>
                  </c:pt>
                  <c:pt idx="2">
                    <c:v>0.834847109936722</c:v>
                  </c:pt>
                  <c:pt idx="3">
                    <c:v>0.514928650544437</c:v>
                  </c:pt>
                  <c:pt idx="4">
                    <c:v>0.452267016866645</c:v>
                  </c:pt>
                  <c:pt idx="5">
                    <c:v>0.668557923421521</c:v>
                  </c:pt>
                  <c:pt idx="6">
                    <c:v>1.505042031024886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sociales ecart type'!$B$1:$H$1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ecart type'!$B$2:$H$2</c:f>
              <c:numCache>
                <c:formatCode>General</c:formatCode>
                <c:ptCount val="7"/>
                <c:pt idx="0">
                  <c:v>1.166666666666667</c:v>
                </c:pt>
                <c:pt idx="1">
                  <c:v>1.666666666666667</c:v>
                </c:pt>
                <c:pt idx="2">
                  <c:v>1.166666666666667</c:v>
                </c:pt>
                <c:pt idx="3">
                  <c:v>0.916666666666667</c:v>
                </c:pt>
                <c:pt idx="4">
                  <c:v>0.25</c:v>
                </c:pt>
                <c:pt idx="5">
                  <c:v>0.416666666666667</c:v>
                </c:pt>
                <c:pt idx="6">
                  <c:v>1.583333333333333</c:v>
                </c:pt>
              </c:numCache>
            </c:numRef>
          </c:val>
        </c:ser>
        <c:ser>
          <c:idx val="2"/>
          <c:order val="2"/>
          <c:tx>
            <c:strRef>
              <c:f>'perf sociales ecart type'!$A$4</c:f>
              <c:strCache>
                <c:ptCount val="1"/>
                <c:pt idx="0">
                  <c:v>type 4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sociales typo'!$B$25:$H$25</c:f>
                <c:numCache>
                  <c:formatCode>General</c:formatCode>
                  <c:ptCount val="7"/>
                  <c:pt idx="0">
                    <c:v>1.25</c:v>
                  </c:pt>
                  <c:pt idx="1">
                    <c:v>3.0</c:v>
                  </c:pt>
                  <c:pt idx="2">
                    <c:v>1.25</c:v>
                  </c:pt>
                  <c:pt idx="3">
                    <c:v>1.25</c:v>
                  </c:pt>
                  <c:pt idx="4">
                    <c:v>0.25</c:v>
                  </c:pt>
                  <c:pt idx="6">
                    <c:v>3.0</c:v>
                  </c:pt>
                </c:numCache>
              </c:numRef>
            </c:plus>
            <c:minus>
              <c:numRef>
                <c:f>'perf sociales typo'!$B$24:$H$24</c:f>
                <c:numCache>
                  <c:formatCode>General</c:formatCode>
                  <c:ptCount val="7"/>
                  <c:pt idx="0">
                    <c:v>0.0</c:v>
                  </c:pt>
                  <c:pt idx="1">
                    <c:v>3.0</c:v>
                  </c:pt>
                  <c:pt idx="2">
                    <c:v>1.0</c:v>
                  </c:pt>
                  <c:pt idx="3">
                    <c:v>1.0</c:v>
                  </c:pt>
                  <c:pt idx="4">
                    <c:v>0.0</c:v>
                  </c:pt>
                  <c:pt idx="6">
                    <c:v>1.0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sociales ecart type'!$B$1:$H$1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ecart type'!$B$4:$H$4</c:f>
              <c:numCache>
                <c:formatCode>General</c:formatCode>
                <c:ptCount val="7"/>
                <c:pt idx="0">
                  <c:v>0.777777778</c:v>
                </c:pt>
                <c:pt idx="1">
                  <c:v>2.777777778</c:v>
                </c:pt>
                <c:pt idx="2">
                  <c:v>1.222222222</c:v>
                </c:pt>
                <c:pt idx="3">
                  <c:v>1.222222222</c:v>
                </c:pt>
                <c:pt idx="4">
                  <c:v>0.222222222</c:v>
                </c:pt>
                <c:pt idx="5">
                  <c:v>0.111111111</c:v>
                </c:pt>
                <c:pt idx="6">
                  <c:v>2.0</c:v>
                </c:pt>
              </c:numCache>
            </c:numRef>
          </c:val>
        </c:ser>
        <c:ser>
          <c:idx val="1"/>
          <c:order val="3"/>
          <c:tx>
            <c:strRef>
              <c:f>'perf sociales ecart type'!$A$3</c:f>
              <c:strCache>
                <c:ptCount val="1"/>
                <c:pt idx="0">
                  <c:v>type 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sociales typo'!$X$20:$AD$20</c:f>
                <c:numCache>
                  <c:formatCode>General</c:formatCode>
                  <c:ptCount val="7"/>
                  <c:pt idx="0">
                    <c:v>0.957427107756338</c:v>
                  </c:pt>
                  <c:pt idx="1">
                    <c:v>1.5</c:v>
                  </c:pt>
                  <c:pt idx="2">
                    <c:v>1.290994448735806</c:v>
                  </c:pt>
                  <c:pt idx="3">
                    <c:v>0.5</c:v>
                  </c:pt>
                  <c:pt idx="6">
                    <c:v>1.0</c:v>
                  </c:pt>
                </c:numCache>
              </c:numRef>
            </c:plus>
            <c:minus>
              <c:numRef>
                <c:f>'perf sociales typo'!$X$20:$AD$20</c:f>
                <c:numCache>
                  <c:formatCode>General</c:formatCode>
                  <c:ptCount val="7"/>
                  <c:pt idx="0">
                    <c:v>0.957427107756338</c:v>
                  </c:pt>
                  <c:pt idx="1">
                    <c:v>1.5</c:v>
                  </c:pt>
                  <c:pt idx="2">
                    <c:v>1.290994448735806</c:v>
                  </c:pt>
                  <c:pt idx="3">
                    <c:v>0.5</c:v>
                  </c:pt>
                  <c:pt idx="6">
                    <c:v>1.0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sociales ecart type'!$B$1:$H$1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ecart type'!$B$3:$H$3</c:f>
              <c:numCache>
                <c:formatCode>0.00</c:formatCode>
                <c:ptCount val="7"/>
                <c:pt idx="0">
                  <c:v>1.25</c:v>
                </c:pt>
                <c:pt idx="1">
                  <c:v>2.25</c:v>
                </c:pt>
                <c:pt idx="2">
                  <c:v>1.5</c:v>
                </c:pt>
                <c:pt idx="3">
                  <c:v>0.75</c:v>
                </c:pt>
                <c:pt idx="4">
                  <c:v>0.0</c:v>
                </c:pt>
                <c:pt idx="5">
                  <c:v>0.0</c:v>
                </c:pt>
                <c:pt idx="6">
                  <c:v>2.5</c:v>
                </c:pt>
              </c:numCache>
            </c:numRef>
          </c:val>
        </c:ser>
        <c:ser>
          <c:idx val="3"/>
          <c:order val="4"/>
          <c:tx>
            <c:strRef>
              <c:f>'perf sociales ecart type'!$A$5</c:f>
              <c:strCache>
                <c:ptCount val="1"/>
                <c:pt idx="0">
                  <c:v>type 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sociales typo'!$AI$17:$AO$17</c:f>
                <c:numCache>
                  <c:formatCode>General</c:formatCode>
                  <c:ptCount val="7"/>
                  <c:pt idx="0">
                    <c:v>0.577350269189626</c:v>
                  </c:pt>
                  <c:pt idx="1">
                    <c:v>1.0</c:v>
                  </c:pt>
                  <c:pt idx="2">
                    <c:v>1.154700538379251</c:v>
                  </c:pt>
                  <c:pt idx="3">
                    <c:v>0.577350269189626</c:v>
                  </c:pt>
                  <c:pt idx="4">
                    <c:v>0.577350269189626</c:v>
                  </c:pt>
                  <c:pt idx="5">
                    <c:v>0.577350269189626</c:v>
                  </c:pt>
                  <c:pt idx="6">
                    <c:v>0.577350269189626</c:v>
                  </c:pt>
                </c:numCache>
              </c:numRef>
            </c:plus>
            <c:minus>
              <c:numRef>
                <c:f>'perf sociales typo'!$AI$17:$AO$17</c:f>
                <c:numCache>
                  <c:formatCode>General</c:formatCode>
                  <c:ptCount val="7"/>
                  <c:pt idx="0">
                    <c:v>0.577350269189626</c:v>
                  </c:pt>
                  <c:pt idx="1">
                    <c:v>1.0</c:v>
                  </c:pt>
                  <c:pt idx="2">
                    <c:v>1.154700538379251</c:v>
                  </c:pt>
                  <c:pt idx="3">
                    <c:v>0.577350269189626</c:v>
                  </c:pt>
                  <c:pt idx="4">
                    <c:v>0.577350269189626</c:v>
                  </c:pt>
                  <c:pt idx="5">
                    <c:v>0.577350269189626</c:v>
                  </c:pt>
                  <c:pt idx="6">
                    <c:v>0.577350269189626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sociales ecart type'!$B$1:$H$1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ecart type'!$B$5:$H$5</c:f>
              <c:numCache>
                <c:formatCode>General</c:formatCode>
                <c:ptCount val="7"/>
                <c:pt idx="0">
                  <c:v>2.666666666666666</c:v>
                </c:pt>
                <c:pt idx="1">
                  <c:v>2.0</c:v>
                </c:pt>
                <c:pt idx="2">
                  <c:v>1.666666666666667</c:v>
                </c:pt>
                <c:pt idx="3">
                  <c:v>1.333333333333333</c:v>
                </c:pt>
                <c:pt idx="4">
                  <c:v>0.333333333333333</c:v>
                </c:pt>
                <c:pt idx="5">
                  <c:v>0.333333333333333</c:v>
                </c:pt>
                <c:pt idx="6">
                  <c:v>2.666666666666666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829598128"/>
        <c:axId val="-1830622976"/>
      </c:barChart>
      <c:catAx>
        <c:axId val="-182959812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Indicateurs sociaux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622976"/>
        <c:crosses val="autoZero"/>
        <c:auto val="1"/>
        <c:lblAlgn val="ctr"/>
        <c:lblOffset val="100"/>
        <c:noMultiLvlLbl val="0"/>
      </c:catAx>
      <c:valAx>
        <c:axId val="-1830622976"/>
        <c:scaling>
          <c:orientation val="minMax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Scores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29598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1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1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typo'!$B$9:$H$9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typo'!$B$21:$H$21</c:f>
              <c:numCache>
                <c:formatCode>General</c:formatCode>
                <c:ptCount val="7"/>
                <c:pt idx="0">
                  <c:v>0.777777777777778</c:v>
                </c:pt>
                <c:pt idx="1">
                  <c:v>2.777777777777777</c:v>
                </c:pt>
                <c:pt idx="2">
                  <c:v>1.222222222222222</c:v>
                </c:pt>
                <c:pt idx="3">
                  <c:v>1.222222222222222</c:v>
                </c:pt>
                <c:pt idx="4">
                  <c:v>0.222222222222222</c:v>
                </c:pt>
                <c:pt idx="5">
                  <c:v>0.111111111111111</c:v>
                </c:pt>
                <c:pt idx="6">
                  <c:v>2.0</c:v>
                </c:pt>
              </c:numCache>
            </c:numRef>
          </c:val>
        </c:ser>
        <c:ser>
          <c:idx val="2"/>
          <c:order val="1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typo'!$M$9:$S$9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typo'!$M$24:$S$24</c:f>
              <c:numCache>
                <c:formatCode>General</c:formatCode>
                <c:ptCount val="7"/>
                <c:pt idx="0">
                  <c:v>1.166666666666667</c:v>
                </c:pt>
                <c:pt idx="1">
                  <c:v>1.666666666666667</c:v>
                </c:pt>
                <c:pt idx="2">
                  <c:v>1.166666666666667</c:v>
                </c:pt>
                <c:pt idx="3">
                  <c:v>0.916666666666667</c:v>
                </c:pt>
                <c:pt idx="4">
                  <c:v>0.25</c:v>
                </c:pt>
                <c:pt idx="5">
                  <c:v>0.416666666666667</c:v>
                </c:pt>
                <c:pt idx="6">
                  <c:v>1.583333333333333</c:v>
                </c:pt>
              </c:numCache>
            </c:numRef>
          </c:val>
        </c:ser>
        <c:ser>
          <c:idx val="3"/>
          <c:order val="2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typo'!$X$9:$AD$9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typo'!$X$18:$AD$18</c:f>
              <c:numCache>
                <c:formatCode>0.0000</c:formatCode>
                <c:ptCount val="7"/>
                <c:pt idx="0">
                  <c:v>1.25</c:v>
                </c:pt>
                <c:pt idx="1">
                  <c:v>2.25</c:v>
                </c:pt>
                <c:pt idx="2">
                  <c:v>1.5</c:v>
                </c:pt>
                <c:pt idx="3">
                  <c:v>0.75</c:v>
                </c:pt>
                <c:pt idx="4">
                  <c:v>0.0</c:v>
                </c:pt>
                <c:pt idx="5">
                  <c:v>0.0</c:v>
                </c:pt>
                <c:pt idx="6">
                  <c:v>2.5</c:v>
                </c:pt>
              </c:numCache>
            </c:numRef>
          </c:val>
        </c:ser>
        <c:ser>
          <c:idx val="4"/>
          <c:order val="3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typo'!$AI$9:$AO$9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typo'!$AI$14:$AO$14</c:f>
              <c:numCache>
                <c:formatCode>General</c:formatCode>
                <c:ptCount val="7"/>
                <c:pt idx="0">
                  <c:v>2.666666666666666</c:v>
                </c:pt>
                <c:pt idx="1">
                  <c:v>2.0</c:v>
                </c:pt>
                <c:pt idx="2">
                  <c:v>1.666666666666667</c:v>
                </c:pt>
                <c:pt idx="3">
                  <c:v>1.333333333333333</c:v>
                </c:pt>
                <c:pt idx="4">
                  <c:v>0.333333333333333</c:v>
                </c:pt>
                <c:pt idx="5">
                  <c:v>0.333333333333333</c:v>
                </c:pt>
                <c:pt idx="6">
                  <c:v>2.666666666666666</c:v>
                </c:pt>
              </c:numCache>
            </c:numRef>
          </c:val>
        </c:ser>
        <c:ser>
          <c:idx val="0"/>
          <c:order val="4"/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f>'perf sociales typo'!$AW$9:$BC$9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typo'!$AW$10:$BC$10</c:f>
              <c:numCache>
                <c:formatCode>General</c:formatCode>
                <c:ptCount val="7"/>
                <c:pt idx="0">
                  <c:v>2.0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9699552"/>
        <c:axId val="-1799697232"/>
      </c:radarChart>
      <c:catAx>
        <c:axId val="-179969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9697232"/>
        <c:crosses val="autoZero"/>
        <c:auto val="1"/>
        <c:lblAlgn val="ctr"/>
        <c:lblOffset val="100"/>
        <c:noMultiLvlLbl val="0"/>
      </c:catAx>
      <c:valAx>
        <c:axId val="-1799697232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9699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'perf sociales P10_P90'!$A$2</c:f>
              <c:strCache>
                <c:ptCount val="1"/>
                <c:pt idx="0">
                  <c:v>type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'perf sociales P10_P90'!$B$1:$H$1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P10_P90'!$B$2:$H$2</c:f>
              <c:numCache>
                <c:formatCode>General</c:formatCode>
                <c:ptCount val="7"/>
                <c:pt idx="0">
                  <c:v>1.167</c:v>
                </c:pt>
                <c:pt idx="1">
                  <c:v>1.166666666666667</c:v>
                </c:pt>
                <c:pt idx="2">
                  <c:v>1.666666666666667</c:v>
                </c:pt>
                <c:pt idx="3">
                  <c:v>1.166666666666667</c:v>
                </c:pt>
                <c:pt idx="4">
                  <c:v>0.916666666666667</c:v>
                </c:pt>
                <c:pt idx="5">
                  <c:v>0.25</c:v>
                </c:pt>
                <c:pt idx="6">
                  <c:v>0.416666666666667</c:v>
                </c:pt>
              </c:numCache>
            </c:numRef>
          </c:val>
        </c:ser>
        <c:ser>
          <c:idx val="1"/>
          <c:order val="1"/>
          <c:tx>
            <c:strRef>
              <c:f>'perf sociales P10_P90'!$A$3</c:f>
              <c:strCache>
                <c:ptCount val="1"/>
                <c:pt idx="0">
                  <c:v>type 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'perf sociales P10_P90'!$B$1:$H$1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P10_P90'!$B$3:$H$3</c:f>
              <c:numCache>
                <c:formatCode>0.00</c:formatCode>
                <c:ptCount val="7"/>
                <c:pt idx="0">
                  <c:v>1.25</c:v>
                </c:pt>
                <c:pt idx="1">
                  <c:v>1.25</c:v>
                </c:pt>
                <c:pt idx="2">
                  <c:v>2.25</c:v>
                </c:pt>
                <c:pt idx="3">
                  <c:v>1.5</c:v>
                </c:pt>
                <c:pt idx="4">
                  <c:v>0.75</c:v>
                </c:pt>
                <c:pt idx="5">
                  <c:v>0.0</c:v>
                </c:pt>
                <c:pt idx="6">
                  <c:v>0.0</c:v>
                </c:pt>
              </c:numCache>
            </c:numRef>
          </c:val>
        </c:ser>
        <c:ser>
          <c:idx val="2"/>
          <c:order val="2"/>
          <c:tx>
            <c:strRef>
              <c:f>'perf sociales P10_P90'!$A$4</c:f>
              <c:strCache>
                <c:ptCount val="1"/>
                <c:pt idx="0">
                  <c:v>type 4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sociales typo'!$B$27:$H$27</c:f>
                <c:numCache>
                  <c:formatCode>General</c:formatCode>
                  <c:ptCount val="7"/>
                  <c:pt idx="0">
                    <c:v>2.3</c:v>
                  </c:pt>
                  <c:pt idx="1">
                    <c:v>3.0</c:v>
                  </c:pt>
                  <c:pt idx="2">
                    <c:v>2.0</c:v>
                  </c:pt>
                  <c:pt idx="3">
                    <c:v>2.0</c:v>
                  </c:pt>
                  <c:pt idx="4">
                    <c:v>1.0</c:v>
                  </c:pt>
                  <c:pt idx="6">
                    <c:v>3.0</c:v>
                  </c:pt>
                </c:numCache>
              </c:numRef>
            </c:plus>
            <c:minus>
              <c:numRef>
                <c:f>'perf sociales typo'!$B$26:$H$26</c:f>
                <c:numCache>
                  <c:formatCode>General</c:formatCode>
                  <c:ptCount val="7"/>
                  <c:pt idx="0">
                    <c:v>0.0</c:v>
                  </c:pt>
                  <c:pt idx="1">
                    <c:v>2.6</c:v>
                  </c:pt>
                  <c:pt idx="2">
                    <c:v>0.8</c:v>
                  </c:pt>
                  <c:pt idx="3">
                    <c:v>1.0</c:v>
                  </c:pt>
                  <c:pt idx="4">
                    <c:v>0.0</c:v>
                  </c:pt>
                  <c:pt idx="6">
                    <c:v>0.0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sociales P10_P90'!$B$1:$H$1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P10_P90'!$B$4:$H$4</c:f>
              <c:numCache>
                <c:formatCode>General</c:formatCode>
                <c:ptCount val="7"/>
                <c:pt idx="0">
                  <c:v>0.777777778</c:v>
                </c:pt>
                <c:pt idx="1">
                  <c:v>2.777777778</c:v>
                </c:pt>
                <c:pt idx="2">
                  <c:v>1.222222222</c:v>
                </c:pt>
                <c:pt idx="3">
                  <c:v>1.222222222</c:v>
                </c:pt>
                <c:pt idx="4">
                  <c:v>0.222222222</c:v>
                </c:pt>
                <c:pt idx="5">
                  <c:v>0.111111111</c:v>
                </c:pt>
                <c:pt idx="6">
                  <c:v>2.0</c:v>
                </c:pt>
              </c:numCache>
            </c:numRef>
          </c:val>
        </c:ser>
        <c:ser>
          <c:idx val="3"/>
          <c:order val="3"/>
          <c:tx>
            <c:strRef>
              <c:f>'perf sociales P10_P90'!$A$5</c:f>
              <c:strCache>
                <c:ptCount val="1"/>
                <c:pt idx="0">
                  <c:v>type 5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'perf sociales P10_P90'!$B$1:$H$1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P10_P90'!$B$5:$H$5</c:f>
              <c:numCache>
                <c:formatCode>General</c:formatCode>
                <c:ptCount val="7"/>
                <c:pt idx="0">
                  <c:v>2.667</c:v>
                </c:pt>
                <c:pt idx="1">
                  <c:v>2.666666666666666</c:v>
                </c:pt>
                <c:pt idx="2">
                  <c:v>2.0</c:v>
                </c:pt>
                <c:pt idx="3">
                  <c:v>1.666666666666667</c:v>
                </c:pt>
                <c:pt idx="4">
                  <c:v>1.333333333333333</c:v>
                </c:pt>
                <c:pt idx="5">
                  <c:v>0.333333333333333</c:v>
                </c:pt>
                <c:pt idx="6">
                  <c:v>0.333333333333333</c:v>
                </c:pt>
              </c:numCache>
            </c:numRef>
          </c:val>
        </c:ser>
        <c:ser>
          <c:idx val="4"/>
          <c:order val="4"/>
          <c:tx>
            <c:strRef>
              <c:f>'perf sociales P10_P90'!$A$6</c:f>
              <c:strCache>
                <c:ptCount val="1"/>
                <c:pt idx="0">
                  <c:v>type 6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'perf sociales P10_P90'!$B$1:$H$1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P10_P90'!$B$6:$H$6</c:f>
              <c:numCache>
                <c:formatCode>General</c:formatCode>
                <c:ptCount val="7"/>
                <c:pt idx="0">
                  <c:v>2.0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19028832"/>
        <c:axId val="-1732394528"/>
      </c:barChart>
      <c:catAx>
        <c:axId val="-1719028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2394528"/>
        <c:crosses val="autoZero"/>
        <c:auto val="1"/>
        <c:lblAlgn val="ctr"/>
        <c:lblOffset val="100"/>
        <c:noMultiLvlLbl val="0"/>
      </c:catAx>
      <c:valAx>
        <c:axId val="-1732394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028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8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'perf sociales Q1_Q3'!$A$2</c:f>
              <c:strCache>
                <c:ptCount val="1"/>
                <c:pt idx="0">
                  <c:v>type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'perf sociales Q1_Q3'!$B$1:$H$1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Q1_Q3'!$B$2:$H$2</c:f>
              <c:numCache>
                <c:formatCode>General</c:formatCode>
                <c:ptCount val="7"/>
                <c:pt idx="0">
                  <c:v>1.167</c:v>
                </c:pt>
                <c:pt idx="1">
                  <c:v>1.166666666666667</c:v>
                </c:pt>
                <c:pt idx="2">
                  <c:v>1.666666666666667</c:v>
                </c:pt>
                <c:pt idx="3">
                  <c:v>1.166666666666667</c:v>
                </c:pt>
                <c:pt idx="4">
                  <c:v>0.916666666666667</c:v>
                </c:pt>
                <c:pt idx="5">
                  <c:v>0.25</c:v>
                </c:pt>
                <c:pt idx="6">
                  <c:v>0.416666666666667</c:v>
                </c:pt>
              </c:numCache>
            </c:numRef>
          </c:val>
        </c:ser>
        <c:ser>
          <c:idx val="1"/>
          <c:order val="1"/>
          <c:tx>
            <c:strRef>
              <c:f>'perf sociales Q1_Q3'!$A$3</c:f>
              <c:strCache>
                <c:ptCount val="1"/>
                <c:pt idx="0">
                  <c:v>type 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'perf sociales Q1_Q3'!$B$1:$H$1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Q1_Q3'!$B$3:$H$3</c:f>
              <c:numCache>
                <c:formatCode>0.00</c:formatCode>
                <c:ptCount val="7"/>
                <c:pt idx="0">
                  <c:v>1.25</c:v>
                </c:pt>
                <c:pt idx="1">
                  <c:v>1.25</c:v>
                </c:pt>
                <c:pt idx="2">
                  <c:v>2.25</c:v>
                </c:pt>
                <c:pt idx="3">
                  <c:v>1.5</c:v>
                </c:pt>
                <c:pt idx="4">
                  <c:v>0.75</c:v>
                </c:pt>
                <c:pt idx="5">
                  <c:v>0.0</c:v>
                </c:pt>
                <c:pt idx="6">
                  <c:v>0.0</c:v>
                </c:pt>
              </c:numCache>
            </c:numRef>
          </c:val>
        </c:ser>
        <c:ser>
          <c:idx val="2"/>
          <c:order val="2"/>
          <c:tx>
            <c:strRef>
              <c:f>'perf sociales Q1_Q3'!$A$4</c:f>
              <c:strCache>
                <c:ptCount val="1"/>
                <c:pt idx="0">
                  <c:v>type 4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sociales typo'!$B$25:$H$25</c:f>
                <c:numCache>
                  <c:formatCode>General</c:formatCode>
                  <c:ptCount val="7"/>
                  <c:pt idx="0">
                    <c:v>1.25</c:v>
                  </c:pt>
                  <c:pt idx="1">
                    <c:v>3.0</c:v>
                  </c:pt>
                  <c:pt idx="2">
                    <c:v>1.25</c:v>
                  </c:pt>
                  <c:pt idx="3">
                    <c:v>1.25</c:v>
                  </c:pt>
                  <c:pt idx="4">
                    <c:v>0.25</c:v>
                  </c:pt>
                  <c:pt idx="6">
                    <c:v>3.0</c:v>
                  </c:pt>
                </c:numCache>
              </c:numRef>
            </c:plus>
            <c:minus>
              <c:numRef>
                <c:f>'perf sociales typo'!$B$24:$H$24</c:f>
                <c:numCache>
                  <c:formatCode>General</c:formatCode>
                  <c:ptCount val="7"/>
                  <c:pt idx="0">
                    <c:v>0.0</c:v>
                  </c:pt>
                  <c:pt idx="1">
                    <c:v>3.0</c:v>
                  </c:pt>
                  <c:pt idx="2">
                    <c:v>1.0</c:v>
                  </c:pt>
                  <c:pt idx="3">
                    <c:v>1.0</c:v>
                  </c:pt>
                  <c:pt idx="4">
                    <c:v>0.0</c:v>
                  </c:pt>
                  <c:pt idx="6">
                    <c:v>1.0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sociales Q1_Q3'!$B$1:$H$1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Q1_Q3'!$B$4:$H$4</c:f>
              <c:numCache>
                <c:formatCode>General</c:formatCode>
                <c:ptCount val="7"/>
                <c:pt idx="0">
                  <c:v>0.777777778</c:v>
                </c:pt>
                <c:pt idx="1">
                  <c:v>2.777777778</c:v>
                </c:pt>
                <c:pt idx="2">
                  <c:v>1.222222222</c:v>
                </c:pt>
                <c:pt idx="3">
                  <c:v>1.222222222</c:v>
                </c:pt>
                <c:pt idx="4">
                  <c:v>0.222222222</c:v>
                </c:pt>
                <c:pt idx="5">
                  <c:v>0.111111111</c:v>
                </c:pt>
                <c:pt idx="6">
                  <c:v>2.0</c:v>
                </c:pt>
              </c:numCache>
            </c:numRef>
          </c:val>
        </c:ser>
        <c:ser>
          <c:idx val="3"/>
          <c:order val="3"/>
          <c:tx>
            <c:strRef>
              <c:f>'perf sociales Q1_Q3'!$A$5</c:f>
              <c:strCache>
                <c:ptCount val="1"/>
                <c:pt idx="0">
                  <c:v>type 5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'perf sociales Q1_Q3'!$B$1:$H$1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Q1_Q3'!$B$5:$H$5</c:f>
              <c:numCache>
                <c:formatCode>General</c:formatCode>
                <c:ptCount val="7"/>
                <c:pt idx="0">
                  <c:v>2.667</c:v>
                </c:pt>
                <c:pt idx="1">
                  <c:v>2.666666666666666</c:v>
                </c:pt>
                <c:pt idx="2">
                  <c:v>2.0</c:v>
                </c:pt>
                <c:pt idx="3">
                  <c:v>1.666666666666667</c:v>
                </c:pt>
                <c:pt idx="4">
                  <c:v>1.333333333333333</c:v>
                </c:pt>
                <c:pt idx="5">
                  <c:v>0.333333333333333</c:v>
                </c:pt>
                <c:pt idx="6">
                  <c:v>0.333333333333333</c:v>
                </c:pt>
              </c:numCache>
            </c:numRef>
          </c:val>
        </c:ser>
        <c:ser>
          <c:idx val="4"/>
          <c:order val="4"/>
          <c:tx>
            <c:strRef>
              <c:f>'perf sociales Q1_Q3'!$A$6</c:f>
              <c:strCache>
                <c:ptCount val="1"/>
                <c:pt idx="0">
                  <c:v>type 6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'perf sociales Q1_Q3'!$B$1:$H$1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 sociales Q1_Q3'!$B$6:$H$6</c:f>
              <c:numCache>
                <c:formatCode>General</c:formatCode>
                <c:ptCount val="7"/>
                <c:pt idx="0">
                  <c:v>2.0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11567152"/>
        <c:axId val="-1693299664"/>
      </c:barChart>
      <c:catAx>
        <c:axId val="-1711567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93299664"/>
        <c:crosses val="autoZero"/>
        <c:auto val="1"/>
        <c:lblAlgn val="ctr"/>
        <c:lblOffset val="100"/>
        <c:noMultiLvlLbl val="0"/>
      </c:catAx>
      <c:valAx>
        <c:axId val="-1693299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1567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9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env typo'!$B$8:$E$8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typo'!$B$19:$E$19</c:f>
              <c:numCache>
                <c:formatCode>General</c:formatCode>
                <c:ptCount val="4"/>
                <c:pt idx="0">
                  <c:v>3.0</c:v>
                </c:pt>
                <c:pt idx="1">
                  <c:v>1.875</c:v>
                </c:pt>
                <c:pt idx="2">
                  <c:v>2.0</c:v>
                </c:pt>
                <c:pt idx="3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34585856"/>
        <c:axId val="-1834607520"/>
      </c:radarChart>
      <c:catAx>
        <c:axId val="-1834585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4607520"/>
        <c:crosses val="autoZero"/>
        <c:auto val="1"/>
        <c:lblAlgn val="ctr"/>
        <c:lblOffset val="100"/>
        <c:noMultiLvlLbl val="0"/>
      </c:catAx>
      <c:valAx>
        <c:axId val="-1834607520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45858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3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env typo'!$I$8:$L$8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typo'!$I$21:$L$21</c:f>
              <c:numCache>
                <c:formatCode>General</c:formatCode>
                <c:ptCount val="4"/>
                <c:pt idx="0">
                  <c:v>3.0</c:v>
                </c:pt>
                <c:pt idx="1">
                  <c:v>2.545454545454545</c:v>
                </c:pt>
                <c:pt idx="2">
                  <c:v>2.818181818181818</c:v>
                </c:pt>
                <c:pt idx="3">
                  <c:v>2.818181818181818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8223280"/>
        <c:axId val="-1798220960"/>
      </c:radarChart>
      <c:catAx>
        <c:axId val="-1798223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8220960"/>
        <c:crosses val="autoZero"/>
        <c:auto val="1"/>
        <c:lblAlgn val="ctr"/>
        <c:lblOffset val="100"/>
        <c:noMultiLvlLbl val="0"/>
      </c:catAx>
      <c:valAx>
        <c:axId val="-1798220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8223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5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'perf env typo'!$P$8:$S$8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typo'!$P$17:$S$17</c:f>
              <c:numCache>
                <c:formatCode>0.00</c:formatCode>
                <c:ptCount val="4"/>
                <c:pt idx="0">
                  <c:v>3.0</c:v>
                </c:pt>
                <c:pt idx="1">
                  <c:v>2.5</c:v>
                </c:pt>
                <c:pt idx="2">
                  <c:v>3.0</c:v>
                </c:pt>
                <c:pt idx="3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30198656"/>
        <c:axId val="-1829454176"/>
      </c:radarChart>
      <c:catAx>
        <c:axId val="-1830198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29454176"/>
        <c:crosses val="autoZero"/>
        <c:auto val="1"/>
        <c:lblAlgn val="ctr"/>
        <c:lblOffset val="100"/>
        <c:noMultiLvlLbl val="0"/>
      </c:catAx>
      <c:valAx>
        <c:axId val="-1829454176"/>
        <c:scaling>
          <c:orientation val="minMax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198656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</a:t>
            </a:r>
            <a:r>
              <a:rPr lang="fr-FR" baseline="0"/>
              <a:t> 6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env typo'!$W$8:$Z$8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typo'!$W$13:$Z$13</c:f>
              <c:numCache>
                <c:formatCode>General</c:formatCode>
                <c:ptCount val="4"/>
                <c:pt idx="0">
                  <c:v>3.0</c:v>
                </c:pt>
                <c:pt idx="1">
                  <c:v>1.666666666666667</c:v>
                </c:pt>
                <c:pt idx="2">
                  <c:v>2.0</c:v>
                </c:pt>
                <c:pt idx="3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19180368"/>
        <c:axId val="-1829502848"/>
      </c:radarChart>
      <c:catAx>
        <c:axId val="-171918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29502848"/>
        <c:crosses val="autoZero"/>
        <c:auto val="1"/>
        <c:lblAlgn val="ctr"/>
        <c:lblOffset val="100"/>
        <c:noMultiLvlLbl val="0"/>
      </c:catAx>
      <c:valAx>
        <c:axId val="-1829502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180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'perf env typo'!$AD$8:$AG$8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typo'!$AD$9:$AG$9</c:f>
              <c:numCache>
                <c:formatCode>General</c:formatCode>
                <c:ptCount val="4"/>
                <c:pt idx="0">
                  <c:v>3.0</c:v>
                </c:pt>
                <c:pt idx="1">
                  <c:v>3.0</c:v>
                </c:pt>
                <c:pt idx="2">
                  <c:v>3.0</c:v>
                </c:pt>
                <c:pt idx="3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19600176"/>
        <c:axId val="-1719597856"/>
      </c:radarChart>
      <c:catAx>
        <c:axId val="-1719600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597856"/>
        <c:crosses val="autoZero"/>
        <c:auto val="1"/>
        <c:lblAlgn val="ctr"/>
        <c:lblOffset val="100"/>
        <c:noMultiLvlLbl val="0"/>
      </c:catAx>
      <c:valAx>
        <c:axId val="-1719597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600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'perf env typo ecart type '!$A$3</c:f>
              <c:strCache>
                <c:ptCount val="1"/>
                <c:pt idx="0">
                  <c:v>type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env typo'!$I$24:$L$24</c:f>
                <c:numCache>
                  <c:formatCode>General</c:formatCode>
                  <c:ptCount val="4"/>
                  <c:pt idx="1">
                    <c:v>0.687551650952329</c:v>
                  </c:pt>
                  <c:pt idx="2">
                    <c:v>0.404519917477946</c:v>
                  </c:pt>
                  <c:pt idx="3">
                    <c:v>0.404519917477946</c:v>
                  </c:pt>
                </c:numCache>
              </c:numRef>
            </c:plus>
            <c:minus>
              <c:numRef>
                <c:f>'perf env typo'!$I$24:$L$24</c:f>
                <c:numCache>
                  <c:formatCode>General</c:formatCode>
                  <c:ptCount val="4"/>
                  <c:pt idx="1">
                    <c:v>0.687551650952329</c:v>
                  </c:pt>
                  <c:pt idx="2">
                    <c:v>0.404519917477946</c:v>
                  </c:pt>
                  <c:pt idx="3">
                    <c:v>0.404519917477946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env typo ecart type '!$B$1:$E$2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 ecart type '!$B$3:$E$3</c:f>
              <c:numCache>
                <c:formatCode>General</c:formatCode>
                <c:ptCount val="4"/>
                <c:pt idx="0">
                  <c:v>3.0</c:v>
                </c:pt>
                <c:pt idx="1">
                  <c:v>2.545454545</c:v>
                </c:pt>
                <c:pt idx="2" formatCode="0.0">
                  <c:v>2.818181818</c:v>
                </c:pt>
                <c:pt idx="3">
                  <c:v>2.818181818</c:v>
                </c:pt>
              </c:numCache>
            </c:numRef>
          </c:val>
        </c:ser>
        <c:ser>
          <c:idx val="2"/>
          <c:order val="1"/>
          <c:tx>
            <c:strRef>
              <c:f>'perf env typo ecart type '!$A$4</c:f>
              <c:strCache>
                <c:ptCount val="1"/>
                <c:pt idx="0">
                  <c:v>type 4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env typo'!$B$21:$E$21</c:f>
                <c:numCache>
                  <c:formatCode>General</c:formatCode>
                  <c:ptCount val="4"/>
                  <c:pt idx="1">
                    <c:v>1.125991626459603</c:v>
                  </c:pt>
                  <c:pt idx="2">
                    <c:v>1.195228609334394</c:v>
                  </c:pt>
                  <c:pt idx="3">
                    <c:v>1.414213562373095</c:v>
                  </c:pt>
                </c:numCache>
              </c:numRef>
            </c:plus>
            <c:minus>
              <c:numRef>
                <c:f>'perf env typo'!$B$21:$E$21</c:f>
                <c:numCache>
                  <c:formatCode>General</c:formatCode>
                  <c:ptCount val="4"/>
                  <c:pt idx="1">
                    <c:v>1.125991626459603</c:v>
                  </c:pt>
                  <c:pt idx="2">
                    <c:v>1.195228609334394</c:v>
                  </c:pt>
                  <c:pt idx="3">
                    <c:v>1.414213562373095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env typo ecart type '!$B$1:$E$2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 ecart type '!$B$4:$E$4</c:f>
              <c:numCache>
                <c:formatCode>General</c:formatCode>
                <c:ptCount val="4"/>
                <c:pt idx="0">
                  <c:v>3.0</c:v>
                </c:pt>
                <c:pt idx="1">
                  <c:v>1.875</c:v>
                </c:pt>
                <c:pt idx="2">
                  <c:v>2.0</c:v>
                </c:pt>
                <c:pt idx="3">
                  <c:v>2.0</c:v>
                </c:pt>
              </c:numCache>
            </c:numRef>
          </c:val>
        </c:ser>
        <c:ser>
          <c:idx val="1"/>
          <c:order val="2"/>
          <c:tx>
            <c:strRef>
              <c:f>'perf env typo ecart type '!$A$5</c:f>
              <c:strCache>
                <c:ptCount val="1"/>
                <c:pt idx="0">
                  <c:v>type 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env typo'!$P$19:$S$19</c:f>
                <c:numCache>
                  <c:formatCode>General</c:formatCode>
                  <c:ptCount val="4"/>
                  <c:pt idx="1">
                    <c:v>0.577350269189626</c:v>
                  </c:pt>
                </c:numCache>
              </c:numRef>
            </c:plus>
            <c:minus>
              <c:numRef>
                <c:f>'perf env typo'!$P$19:$S$19</c:f>
                <c:numCache>
                  <c:formatCode>General</c:formatCode>
                  <c:ptCount val="4"/>
                  <c:pt idx="1">
                    <c:v>0.577350269189626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env typo ecart type '!$B$1:$E$2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 ecart type '!$B$5:$E$5</c:f>
              <c:numCache>
                <c:formatCode>General</c:formatCode>
                <c:ptCount val="4"/>
                <c:pt idx="0">
                  <c:v>3.0</c:v>
                </c:pt>
                <c:pt idx="1">
                  <c:v>2.5</c:v>
                </c:pt>
                <c:pt idx="2">
                  <c:v>3.0</c:v>
                </c:pt>
                <c:pt idx="3">
                  <c:v>3.0</c:v>
                </c:pt>
              </c:numCache>
            </c:numRef>
          </c:val>
        </c:ser>
        <c:ser>
          <c:idx val="3"/>
          <c:order val="3"/>
          <c:tx>
            <c:strRef>
              <c:f>'perf env typo ecart type '!$A$6</c:f>
              <c:strCache>
                <c:ptCount val="1"/>
                <c:pt idx="0">
                  <c:v>type 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'perf env typo'!$W$16:$Z$16</c:f>
                <c:numCache>
                  <c:formatCode>General</c:formatCode>
                  <c:ptCount val="4"/>
                  <c:pt idx="1">
                    <c:v>1.527525231651947</c:v>
                  </c:pt>
                  <c:pt idx="2">
                    <c:v>1.732050807568877</c:v>
                  </c:pt>
                </c:numCache>
              </c:numRef>
            </c:plus>
            <c:minus>
              <c:numRef>
                <c:f>'perf env typo'!$W$16:$Z$16</c:f>
                <c:numCache>
                  <c:formatCode>General</c:formatCode>
                  <c:ptCount val="4"/>
                  <c:pt idx="1">
                    <c:v>1.527525231651947</c:v>
                  </c:pt>
                  <c:pt idx="2">
                    <c:v>1.732050807568877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'perf env typo ecart type '!$B$1:$E$2</c:f>
              <c:strCache>
                <c:ptCount val="4"/>
                <c:pt idx="0">
                  <c:v>Consommation de produits phytosanitaires</c:v>
                </c:pt>
                <c:pt idx="1">
                  <c:v>Consommation de produits NPK </c:v>
                </c:pt>
                <c:pt idx="2">
                  <c:v>Consommation d'urée</c:v>
                </c:pt>
                <c:pt idx="3">
                  <c:v>Gestion des résidus</c:v>
                </c:pt>
              </c:strCache>
            </c:strRef>
          </c:cat>
          <c:val>
            <c:numRef>
              <c:f>'perf env typo ecart type '!$B$6:$E$6</c:f>
              <c:numCache>
                <c:formatCode>General</c:formatCode>
                <c:ptCount val="4"/>
                <c:pt idx="0">
                  <c:v>3.0</c:v>
                </c:pt>
                <c:pt idx="1">
                  <c:v>1.666666667</c:v>
                </c:pt>
                <c:pt idx="2">
                  <c:v>2.0</c:v>
                </c:pt>
                <c:pt idx="3">
                  <c:v>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19647760"/>
        <c:axId val="-1719644368"/>
      </c:barChart>
      <c:catAx>
        <c:axId val="-1719647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Indicateurs environnementaux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644368"/>
        <c:crosses val="autoZero"/>
        <c:auto val="1"/>
        <c:lblAlgn val="ctr"/>
        <c:lblOffset val="100"/>
        <c:noMultiLvlLbl val="0"/>
      </c:catAx>
      <c:valAx>
        <c:axId val="-1719644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19647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9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5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6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4" Type="http://schemas.openxmlformats.org/officeDocument/2006/relationships/chart" Target="../charts/chart4.xml"/><Relationship Id="rId5" Type="http://schemas.openxmlformats.org/officeDocument/2006/relationships/chart" Target="../charts/chart5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4" Type="http://schemas.openxmlformats.org/officeDocument/2006/relationships/chart" Target="../charts/chart9.xml"/><Relationship Id="rId5" Type="http://schemas.openxmlformats.org/officeDocument/2006/relationships/chart" Target="../charts/chart10.xml"/><Relationship Id="rId6" Type="http://schemas.openxmlformats.org/officeDocument/2006/relationships/chart" Target="../charts/chart11.xml"/><Relationship Id="rId1" Type="http://schemas.openxmlformats.org/officeDocument/2006/relationships/chart" Target="../charts/chart6.xml"/><Relationship Id="rId2" Type="http://schemas.openxmlformats.org/officeDocument/2006/relationships/chart" Target="../charts/chart7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4.xml"/><Relationship Id="rId4" Type="http://schemas.openxmlformats.org/officeDocument/2006/relationships/chart" Target="../charts/chart15.xml"/><Relationship Id="rId5" Type="http://schemas.openxmlformats.org/officeDocument/2006/relationships/chart" Target="../charts/chart16.xml"/><Relationship Id="rId1" Type="http://schemas.openxmlformats.org/officeDocument/2006/relationships/chart" Target="../charts/chart12.xml"/><Relationship Id="rId2" Type="http://schemas.openxmlformats.org/officeDocument/2006/relationships/chart" Target="../charts/chart1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9.xml"/><Relationship Id="rId4" Type="http://schemas.openxmlformats.org/officeDocument/2006/relationships/chart" Target="../charts/chart20.xml"/><Relationship Id="rId5" Type="http://schemas.openxmlformats.org/officeDocument/2006/relationships/chart" Target="../charts/chart21.xml"/><Relationship Id="rId6" Type="http://schemas.openxmlformats.org/officeDocument/2006/relationships/chart" Target="../charts/chart22.xml"/><Relationship Id="rId1" Type="http://schemas.openxmlformats.org/officeDocument/2006/relationships/chart" Target="../charts/chart17.xml"/><Relationship Id="rId2" Type="http://schemas.openxmlformats.org/officeDocument/2006/relationships/chart" Target="../charts/chart18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5.xml"/><Relationship Id="rId4" Type="http://schemas.openxmlformats.org/officeDocument/2006/relationships/chart" Target="../charts/chart26.xml"/><Relationship Id="rId5" Type="http://schemas.openxmlformats.org/officeDocument/2006/relationships/chart" Target="../charts/chart27.xml"/><Relationship Id="rId1" Type="http://schemas.openxmlformats.org/officeDocument/2006/relationships/chart" Target="../charts/chart23.xml"/><Relationship Id="rId2" Type="http://schemas.openxmlformats.org/officeDocument/2006/relationships/chart" Target="../charts/chart2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Relationship Id="rId2" Type="http://schemas.openxmlformats.org/officeDocument/2006/relationships/chart" Target="../charts/chart29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4.xml"/><Relationship Id="rId4" Type="http://schemas.openxmlformats.org/officeDocument/2006/relationships/chart" Target="../charts/chart35.xml"/><Relationship Id="rId5" Type="http://schemas.openxmlformats.org/officeDocument/2006/relationships/chart" Target="../charts/chart36.xml"/><Relationship Id="rId1" Type="http://schemas.openxmlformats.org/officeDocument/2006/relationships/chart" Target="../charts/chart32.xml"/><Relationship Id="rId2" Type="http://schemas.openxmlformats.org/officeDocument/2006/relationships/chart" Target="../charts/chart33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452673</xdr:colOff>
      <xdr:row>8</xdr:row>
      <xdr:rowOff>36717</xdr:rowOff>
    </xdr:from>
    <xdr:to>
      <xdr:col>5</xdr:col>
      <xdr:colOff>20119</xdr:colOff>
      <xdr:row>21</xdr:row>
      <xdr:rowOff>164472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37724</xdr:colOff>
      <xdr:row>65</xdr:row>
      <xdr:rowOff>24141</xdr:rowOff>
    </xdr:from>
    <xdr:to>
      <xdr:col>4</xdr:col>
      <xdr:colOff>686556</xdr:colOff>
      <xdr:row>78</xdr:row>
      <xdr:rowOff>151896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109395</xdr:colOff>
      <xdr:row>39</xdr:row>
      <xdr:rowOff>99589</xdr:rowOff>
    </xdr:from>
    <xdr:to>
      <xdr:col>11</xdr:col>
      <xdr:colOff>481593</xdr:colOff>
      <xdr:row>53</xdr:row>
      <xdr:rowOff>26156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197415</xdr:colOff>
      <xdr:row>37</xdr:row>
      <xdr:rowOff>49292</xdr:rowOff>
    </xdr:from>
    <xdr:to>
      <xdr:col>18</xdr:col>
      <xdr:colOff>355851</xdr:colOff>
      <xdr:row>50</xdr:row>
      <xdr:rowOff>177046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21</xdr:col>
      <xdr:colOff>59100</xdr:colOff>
      <xdr:row>30</xdr:row>
      <xdr:rowOff>99587</xdr:rowOff>
    </xdr:from>
    <xdr:to>
      <xdr:col>25</xdr:col>
      <xdr:colOff>808525</xdr:colOff>
      <xdr:row>44</xdr:row>
      <xdr:rowOff>26154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0</xdr:row>
      <xdr:rowOff>139700</xdr:rowOff>
    </xdr:from>
    <xdr:to>
      <xdr:col>2</xdr:col>
      <xdr:colOff>321945</xdr:colOff>
      <xdr:row>6</xdr:row>
      <xdr:rowOff>145415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355600</xdr:colOff>
      <xdr:row>0</xdr:row>
      <xdr:rowOff>114300</xdr:rowOff>
    </xdr:from>
    <xdr:to>
      <xdr:col>4</xdr:col>
      <xdr:colOff>708660</xdr:colOff>
      <xdr:row>6</xdr:row>
      <xdr:rowOff>109855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787400</xdr:colOff>
      <xdr:row>0</xdr:row>
      <xdr:rowOff>139700</xdr:rowOff>
    </xdr:from>
    <xdr:to>
      <xdr:col>7</xdr:col>
      <xdr:colOff>253365</xdr:colOff>
      <xdr:row>6</xdr:row>
      <xdr:rowOff>135255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76200</xdr:colOff>
      <xdr:row>7</xdr:row>
      <xdr:rowOff>76200</xdr:rowOff>
    </xdr:from>
    <xdr:to>
      <xdr:col>2</xdr:col>
      <xdr:colOff>387985</xdr:colOff>
      <xdr:row>12</xdr:row>
      <xdr:rowOff>196215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482600</xdr:colOff>
      <xdr:row>6</xdr:row>
      <xdr:rowOff>177800</xdr:rowOff>
    </xdr:from>
    <xdr:to>
      <xdr:col>4</xdr:col>
      <xdr:colOff>706755</xdr:colOff>
      <xdr:row>12</xdr:row>
      <xdr:rowOff>94615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501650</xdr:colOff>
      <xdr:row>11</xdr:row>
      <xdr:rowOff>50800</xdr:rowOff>
    </xdr:from>
    <xdr:to>
      <xdr:col>13</xdr:col>
      <xdr:colOff>120650</xdr:colOff>
      <xdr:row>24</xdr:row>
      <xdr:rowOff>152400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508000</xdr:colOff>
      <xdr:row>29</xdr:row>
      <xdr:rowOff>50800</xdr:rowOff>
    </xdr:from>
    <xdr:to>
      <xdr:col>3</xdr:col>
      <xdr:colOff>800100</xdr:colOff>
      <xdr:row>41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317500</xdr:colOff>
      <xdr:row>28</xdr:row>
      <xdr:rowOff>177800</xdr:rowOff>
    </xdr:from>
    <xdr:to>
      <xdr:col>11</xdr:col>
      <xdr:colOff>292100</xdr:colOff>
      <xdr:row>40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50800</xdr:colOff>
      <xdr:row>26</xdr:row>
      <xdr:rowOff>114300</xdr:rowOff>
    </xdr:from>
    <xdr:to>
      <xdr:col>18</xdr:col>
      <xdr:colOff>38100</xdr:colOff>
      <xdr:row>36</xdr:row>
      <xdr:rowOff>76200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24</xdr:col>
      <xdr:colOff>76200</xdr:colOff>
      <xdr:row>19</xdr:row>
      <xdr:rowOff>139700</xdr:rowOff>
    </xdr:from>
    <xdr:to>
      <xdr:col>27</xdr:col>
      <xdr:colOff>266700</xdr:colOff>
      <xdr:row>30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28</xdr:col>
      <xdr:colOff>812800</xdr:colOff>
      <xdr:row>18</xdr:row>
      <xdr:rowOff>165100</xdr:rowOff>
    </xdr:from>
    <xdr:to>
      <xdr:col>32</xdr:col>
      <xdr:colOff>241300</xdr:colOff>
      <xdr:row>29</xdr:row>
      <xdr:rowOff>127000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68384</xdr:colOff>
      <xdr:row>1</xdr:row>
      <xdr:rowOff>175847</xdr:rowOff>
    </xdr:from>
    <xdr:to>
      <xdr:col>9</xdr:col>
      <xdr:colOff>459299</xdr:colOff>
      <xdr:row>8</xdr:row>
      <xdr:rowOff>83821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498231</xdr:colOff>
      <xdr:row>1</xdr:row>
      <xdr:rowOff>195384</xdr:rowOff>
    </xdr:from>
    <xdr:to>
      <xdr:col>12</xdr:col>
      <xdr:colOff>152743</xdr:colOff>
      <xdr:row>8</xdr:row>
      <xdr:rowOff>103358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175847</xdr:colOff>
      <xdr:row>1</xdr:row>
      <xdr:rowOff>166077</xdr:rowOff>
    </xdr:from>
    <xdr:to>
      <xdr:col>14</xdr:col>
      <xdr:colOff>343242</xdr:colOff>
      <xdr:row>8</xdr:row>
      <xdr:rowOff>74051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566615</xdr:colOff>
      <xdr:row>8</xdr:row>
      <xdr:rowOff>117231</xdr:rowOff>
    </xdr:from>
    <xdr:to>
      <xdr:col>12</xdr:col>
      <xdr:colOff>127147</xdr:colOff>
      <xdr:row>16</xdr:row>
      <xdr:rowOff>14605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48846</xdr:colOff>
      <xdr:row>8</xdr:row>
      <xdr:rowOff>136769</xdr:rowOff>
    </xdr:from>
    <xdr:to>
      <xdr:col>9</xdr:col>
      <xdr:colOff>533741</xdr:colOff>
      <xdr:row>16</xdr:row>
      <xdr:rowOff>34143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351692</xdr:colOff>
      <xdr:row>11</xdr:row>
      <xdr:rowOff>5862</xdr:rowOff>
    </xdr:from>
    <xdr:to>
      <xdr:col>10</xdr:col>
      <xdr:colOff>771769</xdr:colOff>
      <xdr:row>24</xdr:row>
      <xdr:rowOff>82062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381513</xdr:colOff>
      <xdr:row>32</xdr:row>
      <xdr:rowOff>25528</xdr:rowOff>
    </xdr:from>
    <xdr:to>
      <xdr:col>7</xdr:col>
      <xdr:colOff>5003</xdr:colOff>
      <xdr:row>45</xdr:row>
      <xdr:rowOff>127129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279400</xdr:colOff>
      <xdr:row>28</xdr:row>
      <xdr:rowOff>88900</xdr:rowOff>
    </xdr:from>
    <xdr:to>
      <xdr:col>17</xdr:col>
      <xdr:colOff>723900</xdr:colOff>
      <xdr:row>45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63500</xdr:colOff>
      <xdr:row>21</xdr:row>
      <xdr:rowOff>38100</xdr:rowOff>
    </xdr:from>
    <xdr:to>
      <xdr:col>28</xdr:col>
      <xdr:colOff>508000</xdr:colOff>
      <xdr:row>34</xdr:row>
      <xdr:rowOff>139700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34</xdr:col>
      <xdr:colOff>330200</xdr:colOff>
      <xdr:row>20</xdr:row>
      <xdr:rowOff>12700</xdr:rowOff>
    </xdr:from>
    <xdr:to>
      <xdr:col>39</xdr:col>
      <xdr:colOff>774700</xdr:colOff>
      <xdr:row>35</xdr:row>
      <xdr:rowOff>114300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48</xdr:col>
      <xdr:colOff>662838</xdr:colOff>
      <xdr:row>13</xdr:row>
      <xdr:rowOff>205124</xdr:rowOff>
    </xdr:from>
    <xdr:to>
      <xdr:col>54</xdr:col>
      <xdr:colOff>281838</xdr:colOff>
      <xdr:row>27</xdr:row>
      <xdr:rowOff>101472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406400</xdr:colOff>
      <xdr:row>6</xdr:row>
      <xdr:rowOff>110067</xdr:rowOff>
    </xdr:from>
    <xdr:to>
      <xdr:col>12</xdr:col>
      <xdr:colOff>50800</xdr:colOff>
      <xdr:row>25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0</xdr:row>
      <xdr:rowOff>0</xdr:rowOff>
    </xdr:from>
    <xdr:to>
      <xdr:col>19</xdr:col>
      <xdr:colOff>330200</xdr:colOff>
      <xdr:row>17</xdr:row>
      <xdr:rowOff>194733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255954</xdr:colOff>
      <xdr:row>7</xdr:row>
      <xdr:rowOff>149469</xdr:rowOff>
    </xdr:from>
    <xdr:to>
      <xdr:col>14</xdr:col>
      <xdr:colOff>344854</xdr:colOff>
      <xdr:row>24</xdr:row>
      <xdr:rowOff>85970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431800</xdr:colOff>
      <xdr:row>6</xdr:row>
      <xdr:rowOff>190500</xdr:rowOff>
    </xdr:from>
    <xdr:to>
      <xdr:col>14</xdr:col>
      <xdr:colOff>431800</xdr:colOff>
      <xdr:row>25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177800</xdr:colOff>
      <xdr:row>31</xdr:row>
      <xdr:rowOff>38100</xdr:rowOff>
    </xdr:from>
    <xdr:to>
      <xdr:col>5</xdr:col>
      <xdr:colOff>508000</xdr:colOff>
      <xdr:row>44</xdr:row>
      <xdr:rowOff>139700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406400</xdr:colOff>
      <xdr:row>29</xdr:row>
      <xdr:rowOff>12700</xdr:rowOff>
    </xdr:from>
    <xdr:to>
      <xdr:col>13</xdr:col>
      <xdr:colOff>25400</xdr:colOff>
      <xdr:row>42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381000</xdr:colOff>
      <xdr:row>21</xdr:row>
      <xdr:rowOff>127000</xdr:rowOff>
    </xdr:from>
    <xdr:to>
      <xdr:col>20</xdr:col>
      <xdr:colOff>0</xdr:colOff>
      <xdr:row>35</xdr:row>
      <xdr:rowOff>25400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21</xdr:col>
      <xdr:colOff>393700</xdr:colOff>
      <xdr:row>17</xdr:row>
      <xdr:rowOff>177800</xdr:rowOff>
    </xdr:from>
    <xdr:to>
      <xdr:col>27</xdr:col>
      <xdr:colOff>12700</xdr:colOff>
      <xdr:row>31</xdr:row>
      <xdr:rowOff>76200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25400</xdr:colOff>
      <xdr:row>14</xdr:row>
      <xdr:rowOff>177800</xdr:rowOff>
    </xdr:from>
    <xdr:to>
      <xdr:col>34</xdr:col>
      <xdr:colOff>469900</xdr:colOff>
      <xdr:row>28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453571</xdr:colOff>
      <xdr:row>9</xdr:row>
      <xdr:rowOff>9071</xdr:rowOff>
    </xdr:from>
    <xdr:to>
      <xdr:col>12</xdr:col>
      <xdr:colOff>50800</xdr:colOff>
      <xdr:row>25</xdr:row>
      <xdr:rowOff>88900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&#769;sultats%20TK%20MADA%20v20nov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orgette R1"/>
      <sheetName val="Ernest R2"/>
      <sheetName val="Guy R3"/>
      <sheetName val="Vonjy R4"/>
      <sheetName val="Roger R5"/>
      <sheetName val="JH Andrianasolo  R6"/>
      <sheetName val="Mongis R7"/>
      <sheetName val="Sandi R8"/>
      <sheetName val="Jean Ba R9"/>
      <sheetName val="Solofo R10"/>
      <sheetName val="Ntsoa R11"/>
      <sheetName val="mahefa Jean 2mile R12"/>
      <sheetName val="Augustin R13"/>
      <sheetName val="Jean de Dieu R14"/>
      <sheetName val="Bertine R15"/>
      <sheetName val="Jean Sylvain R16 "/>
      <sheetName val="Fidelys R17"/>
      <sheetName val="Tiana R18"/>
      <sheetName val="François de Salles R19"/>
      <sheetName val="Jean Aimé R20"/>
      <sheetName val="Joseph Rakotonirina G1"/>
      <sheetName val="Lala Christine G2"/>
      <sheetName val="Marie Lucienne G3"/>
      <sheetName val="Ramorasata G4"/>
      <sheetName val="Martine Nivo G5"/>
      <sheetName val="Modeste SA G6"/>
      <sheetName val="Marie Odette G7"/>
      <sheetName val="Louis Pascal G8"/>
      <sheetName val="Gilbert Rhily G9"/>
      <sheetName val="Rabenandrasana Joseph G10"/>
      <sheetName val="RASOAVOLOLONA eRNESTINE G11"/>
      <sheetName val="Ernestine  G12"/>
      <sheetName val="Jeannot G13"/>
      <sheetName val="Abelline G14"/>
      <sheetName val="Pierre G15"/>
      <sheetName val="Julien G16 "/>
      <sheetName val="Edmond G17"/>
      <sheetName val="Jeannette G18"/>
      <sheetName val="Gilbert RAKOTOMALALA G19"/>
      <sheetName val="Typologies"/>
      <sheetName val="Dépendance légumine et type EA"/>
      <sheetName val="CORRÉLATION"/>
      <sheetName val="Mesures"/>
      <sheetName val="Ralaimboha Fidel  G20"/>
      <sheetName val="S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2">
          <cell r="AM2">
            <v>0</v>
          </cell>
        </row>
        <row r="5">
          <cell r="AN5">
            <v>0</v>
          </cell>
        </row>
        <row r="9">
          <cell r="AN9">
            <v>0</v>
          </cell>
        </row>
        <row r="23">
          <cell r="AN23">
            <v>60</v>
          </cell>
        </row>
        <row r="24">
          <cell r="AN24">
            <v>0</v>
          </cell>
        </row>
        <row r="26">
          <cell r="AN26">
            <v>25</v>
          </cell>
        </row>
        <row r="29">
          <cell r="AN29">
            <v>133.33333333333334</v>
          </cell>
        </row>
        <row r="30">
          <cell r="AN30">
            <v>166.66666666666669</v>
          </cell>
        </row>
        <row r="31">
          <cell r="AN31">
            <v>0</v>
          </cell>
        </row>
      </sheetData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zoomScale="110" zoomScaleNormal="110" zoomScalePageLayoutView="110" workbookViewId="0">
      <selection activeCell="D16" sqref="D16"/>
    </sheetView>
  </sheetViews>
  <sheetFormatPr baseColWidth="10" defaultRowHeight="16" x14ac:dyDescent="0.2"/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1" t="s">
        <v>10</v>
      </c>
      <c r="L1" t="s">
        <v>22</v>
      </c>
    </row>
    <row r="2" spans="1:14" x14ac:dyDescent="0.2">
      <c r="A2" s="23" t="s">
        <v>45</v>
      </c>
      <c r="B2" s="23" t="s">
        <v>24</v>
      </c>
      <c r="C2" s="23" t="s">
        <v>41</v>
      </c>
      <c r="D2" s="23" t="s">
        <v>31</v>
      </c>
      <c r="E2" s="23" t="s">
        <v>37</v>
      </c>
      <c r="F2" s="23" t="s">
        <v>23</v>
      </c>
      <c r="G2" s="23" t="s">
        <v>11</v>
      </c>
      <c r="H2" s="23" t="s">
        <v>35</v>
      </c>
      <c r="I2" s="23" t="s">
        <v>39</v>
      </c>
      <c r="J2" s="23" t="s">
        <v>46</v>
      </c>
      <c r="K2" s="23" t="s">
        <v>12</v>
      </c>
      <c r="L2" s="24" t="s">
        <v>26</v>
      </c>
    </row>
    <row r="3" spans="1:14" x14ac:dyDescent="0.2">
      <c r="A3" s="23" t="s">
        <v>45</v>
      </c>
      <c r="B3" s="23" t="s">
        <v>24</v>
      </c>
      <c r="C3" s="25" t="s">
        <v>41</v>
      </c>
      <c r="D3" s="23" t="s">
        <v>31</v>
      </c>
      <c r="E3" s="23" t="s">
        <v>36</v>
      </c>
      <c r="F3" s="23" t="s">
        <v>23</v>
      </c>
      <c r="G3" s="23" t="s">
        <v>11</v>
      </c>
      <c r="H3" s="23" t="s">
        <v>13</v>
      </c>
      <c r="I3" s="23" t="s">
        <v>29</v>
      </c>
      <c r="J3" s="23" t="s">
        <v>46</v>
      </c>
      <c r="K3" s="23" t="s">
        <v>12</v>
      </c>
      <c r="L3" s="24" t="s">
        <v>26</v>
      </c>
    </row>
    <row r="4" spans="1:14" x14ac:dyDescent="0.2">
      <c r="A4" s="25" t="s">
        <v>45</v>
      </c>
      <c r="B4" s="23" t="s">
        <v>34</v>
      </c>
      <c r="C4" s="25" t="s">
        <v>41</v>
      </c>
      <c r="D4" s="23" t="s">
        <v>31</v>
      </c>
      <c r="E4" s="23" t="s">
        <v>36</v>
      </c>
      <c r="F4" s="23" t="s">
        <v>24</v>
      </c>
      <c r="G4" s="23" t="s">
        <v>11</v>
      </c>
      <c r="H4" s="23" t="s">
        <v>14</v>
      </c>
      <c r="I4" s="23" t="s">
        <v>29</v>
      </c>
      <c r="J4" s="25" t="s">
        <v>46</v>
      </c>
      <c r="K4" s="23" t="s">
        <v>15</v>
      </c>
      <c r="L4" s="26" t="s">
        <v>26</v>
      </c>
    </row>
    <row r="5" spans="1:14" x14ac:dyDescent="0.2">
      <c r="A5" s="23" t="s">
        <v>44</v>
      </c>
      <c r="B5" s="23" t="s">
        <v>34</v>
      </c>
      <c r="C5" s="23" t="s">
        <v>40</v>
      </c>
      <c r="D5" s="25" t="s">
        <v>31</v>
      </c>
      <c r="E5" s="23" t="s">
        <v>37</v>
      </c>
      <c r="F5" s="23" t="s">
        <v>23</v>
      </c>
      <c r="G5" s="23" t="s">
        <v>11</v>
      </c>
      <c r="H5" s="23" t="s">
        <v>16</v>
      </c>
      <c r="I5" s="25" t="s">
        <v>39</v>
      </c>
      <c r="J5" s="23" t="s">
        <v>49</v>
      </c>
      <c r="K5" s="23" t="s">
        <v>17</v>
      </c>
      <c r="L5" s="23" t="s">
        <v>25</v>
      </c>
    </row>
    <row r="6" spans="1:14" x14ac:dyDescent="0.2">
      <c r="A6" s="18" t="s">
        <v>43</v>
      </c>
      <c r="B6" s="18" t="s">
        <v>34</v>
      </c>
      <c r="C6" s="18" t="s">
        <v>40</v>
      </c>
      <c r="D6" s="18" t="s">
        <v>32</v>
      </c>
      <c r="E6" s="18" t="s">
        <v>36</v>
      </c>
      <c r="F6" s="18" t="s">
        <v>23</v>
      </c>
      <c r="G6" s="18" t="s">
        <v>11</v>
      </c>
      <c r="H6" s="18" t="s">
        <v>16</v>
      </c>
      <c r="I6" s="19" t="s">
        <v>30</v>
      </c>
      <c r="J6" s="20" t="s">
        <v>46</v>
      </c>
      <c r="K6" s="18" t="s">
        <v>12</v>
      </c>
      <c r="L6" s="21" t="s">
        <v>26</v>
      </c>
    </row>
    <row r="7" spans="1:14" x14ac:dyDescent="0.2">
      <c r="A7" s="18" t="s">
        <v>43</v>
      </c>
      <c r="B7" s="18" t="s">
        <v>24</v>
      </c>
      <c r="C7" s="18" t="s">
        <v>40</v>
      </c>
      <c r="D7" s="20" t="s">
        <v>31</v>
      </c>
      <c r="E7" s="18" t="s">
        <v>36</v>
      </c>
      <c r="F7" s="18" t="s">
        <v>23</v>
      </c>
      <c r="G7" s="22" t="s">
        <v>11</v>
      </c>
      <c r="H7" s="18" t="s">
        <v>14</v>
      </c>
      <c r="I7" s="19" t="s">
        <v>30</v>
      </c>
      <c r="J7" s="18" t="s">
        <v>49</v>
      </c>
      <c r="K7" s="18" t="s">
        <v>12</v>
      </c>
      <c r="L7" s="18" t="s">
        <v>27</v>
      </c>
    </row>
    <row r="8" spans="1:14" x14ac:dyDescent="0.2">
      <c r="A8" s="23" t="s">
        <v>45</v>
      </c>
      <c r="B8" s="23" t="s">
        <v>34</v>
      </c>
      <c r="C8" s="25" t="s">
        <v>41</v>
      </c>
      <c r="D8" s="25" t="s">
        <v>31</v>
      </c>
      <c r="E8" s="23" t="s">
        <v>36</v>
      </c>
      <c r="F8" s="23" t="s">
        <v>23</v>
      </c>
      <c r="G8" s="23" t="s">
        <v>11</v>
      </c>
      <c r="H8" s="23" t="s">
        <v>16</v>
      </c>
      <c r="I8" s="23" t="s">
        <v>28</v>
      </c>
      <c r="J8" s="25" t="s">
        <v>46</v>
      </c>
      <c r="K8" s="23" t="s">
        <v>17</v>
      </c>
      <c r="L8" s="26" t="s">
        <v>26</v>
      </c>
    </row>
    <row r="9" spans="1:14" x14ac:dyDescent="0.2">
      <c r="A9" s="25" t="s">
        <v>44</v>
      </c>
      <c r="B9" s="25" t="s">
        <v>34</v>
      </c>
      <c r="C9" s="25" t="s">
        <v>41</v>
      </c>
      <c r="D9" s="25" t="s">
        <v>31</v>
      </c>
      <c r="E9" s="23" t="s">
        <v>36</v>
      </c>
      <c r="F9" s="23" t="s">
        <v>23</v>
      </c>
      <c r="G9" s="23" t="s">
        <v>11</v>
      </c>
      <c r="H9" s="23" t="s">
        <v>16</v>
      </c>
      <c r="I9" s="25" t="s">
        <v>39</v>
      </c>
      <c r="J9" s="25" t="s">
        <v>46</v>
      </c>
      <c r="K9" s="23" t="s">
        <v>15</v>
      </c>
      <c r="L9" s="26" t="s">
        <v>26</v>
      </c>
      <c r="N9" s="4"/>
    </row>
    <row r="10" spans="1:14" x14ac:dyDescent="0.2">
      <c r="A10" s="13" t="s">
        <v>45</v>
      </c>
      <c r="B10" s="13" t="s">
        <v>34</v>
      </c>
      <c r="C10" s="12" t="s">
        <v>41</v>
      </c>
      <c r="D10" s="13" t="s">
        <v>33</v>
      </c>
      <c r="E10" s="13" t="s">
        <v>36</v>
      </c>
      <c r="F10" s="13" t="s">
        <v>23</v>
      </c>
      <c r="G10" s="13" t="s">
        <v>11</v>
      </c>
      <c r="H10" s="13" t="s">
        <v>14</v>
      </c>
      <c r="I10" s="12" t="s">
        <v>30</v>
      </c>
      <c r="J10" s="13" t="s">
        <v>47</v>
      </c>
      <c r="K10" s="13" t="s">
        <v>15</v>
      </c>
      <c r="L10" s="14" t="s">
        <v>26</v>
      </c>
    </row>
    <row r="11" spans="1:14" x14ac:dyDescent="0.2">
      <c r="A11" s="23" t="s">
        <v>44</v>
      </c>
      <c r="B11" s="25" t="s">
        <v>34</v>
      </c>
      <c r="C11" s="25" t="s">
        <v>41</v>
      </c>
      <c r="D11" s="25" t="s">
        <v>31</v>
      </c>
      <c r="E11" s="23" t="s">
        <v>36</v>
      </c>
      <c r="F11" s="23" t="s">
        <v>23</v>
      </c>
      <c r="G11" s="23" t="s">
        <v>11</v>
      </c>
      <c r="H11" s="23" t="s">
        <v>14</v>
      </c>
      <c r="I11" s="23" t="s">
        <v>28</v>
      </c>
      <c r="J11" s="25" t="s">
        <v>46</v>
      </c>
      <c r="K11" s="23" t="s">
        <v>12</v>
      </c>
      <c r="L11" s="26" t="s">
        <v>26</v>
      </c>
    </row>
    <row r="12" spans="1:14" x14ac:dyDescent="0.2">
      <c r="A12" s="15" t="s">
        <v>43</v>
      </c>
      <c r="B12" s="15" t="s">
        <v>24</v>
      </c>
      <c r="C12" s="15" t="s">
        <v>40</v>
      </c>
      <c r="D12" s="16" t="s">
        <v>31</v>
      </c>
      <c r="E12" s="16" t="s">
        <v>37</v>
      </c>
      <c r="F12" s="15" t="s">
        <v>23</v>
      </c>
      <c r="G12" s="15" t="s">
        <v>18</v>
      </c>
      <c r="H12" s="15" t="s">
        <v>13</v>
      </c>
      <c r="I12" s="16" t="s">
        <v>29</v>
      </c>
      <c r="J12" s="15" t="s">
        <v>50</v>
      </c>
      <c r="K12" s="15" t="s">
        <v>15</v>
      </c>
      <c r="L12" s="17" t="s">
        <v>26</v>
      </c>
    </row>
    <row r="13" spans="1:14" x14ac:dyDescent="0.2">
      <c r="A13" s="23" t="s">
        <v>45</v>
      </c>
      <c r="B13" s="25" t="s">
        <v>34</v>
      </c>
      <c r="C13" s="25" t="s">
        <v>41</v>
      </c>
      <c r="D13" s="25" t="s">
        <v>31</v>
      </c>
      <c r="E13" s="23" t="s">
        <v>36</v>
      </c>
      <c r="F13" s="23" t="s">
        <v>24</v>
      </c>
      <c r="G13" s="23" t="s">
        <v>11</v>
      </c>
      <c r="H13" s="23" t="s">
        <v>13</v>
      </c>
      <c r="I13" s="23" t="s">
        <v>28</v>
      </c>
      <c r="J13" s="25" t="s">
        <v>46</v>
      </c>
      <c r="K13" s="23" t="s">
        <v>12</v>
      </c>
      <c r="L13" s="23" t="s">
        <v>25</v>
      </c>
    </row>
    <row r="14" spans="1:14" ht="31" x14ac:dyDescent="0.35">
      <c r="A14" s="23" t="s">
        <v>45</v>
      </c>
      <c r="B14" s="23" t="s">
        <v>24</v>
      </c>
      <c r="C14" s="25" t="s">
        <v>41</v>
      </c>
      <c r="D14" s="23" t="s">
        <v>32</v>
      </c>
      <c r="E14" s="23" t="s">
        <v>36</v>
      </c>
      <c r="F14" s="23" t="s">
        <v>23</v>
      </c>
      <c r="G14" s="23" t="s">
        <v>11</v>
      </c>
      <c r="H14" s="23" t="s">
        <v>19</v>
      </c>
      <c r="I14" s="25" t="s">
        <v>39</v>
      </c>
      <c r="J14" s="25" t="s">
        <v>46</v>
      </c>
      <c r="K14" s="23" t="s">
        <v>12</v>
      </c>
      <c r="L14" s="25" t="s">
        <v>25</v>
      </c>
      <c r="N14" s="5"/>
    </row>
    <row r="15" spans="1:14" x14ac:dyDescent="0.2">
      <c r="A15" s="23" t="s">
        <v>45</v>
      </c>
      <c r="B15" s="25" t="s">
        <v>34</v>
      </c>
      <c r="C15" s="25" t="s">
        <v>41</v>
      </c>
      <c r="D15" s="25" t="s">
        <v>31</v>
      </c>
      <c r="E15" s="25" t="s">
        <v>37</v>
      </c>
      <c r="F15" s="23" t="s">
        <v>23</v>
      </c>
      <c r="G15" s="23" t="s">
        <v>11</v>
      </c>
      <c r="H15" s="23" t="s">
        <v>14</v>
      </c>
      <c r="I15" s="25" t="s">
        <v>29</v>
      </c>
      <c r="J15" s="25" t="s">
        <v>46</v>
      </c>
      <c r="K15" s="23" t="s">
        <v>17</v>
      </c>
      <c r="L15" s="26" t="s">
        <v>26</v>
      </c>
    </row>
    <row r="16" spans="1:14" x14ac:dyDescent="0.2">
      <c r="A16" s="25" t="s">
        <v>43</v>
      </c>
      <c r="B16" s="23" t="s">
        <v>24</v>
      </c>
      <c r="C16" s="23" t="s">
        <v>40</v>
      </c>
      <c r="D16" s="25" t="s">
        <v>31</v>
      </c>
      <c r="E16" s="25" t="s">
        <v>37</v>
      </c>
      <c r="F16" s="23" t="s">
        <v>24</v>
      </c>
      <c r="G16" s="23" t="s">
        <v>11</v>
      </c>
      <c r="H16" s="23" t="s">
        <v>16</v>
      </c>
      <c r="I16" s="25" t="s">
        <v>39</v>
      </c>
      <c r="J16" s="23" t="s">
        <v>49</v>
      </c>
      <c r="K16" s="23" t="s">
        <v>12</v>
      </c>
      <c r="L16" s="25" t="s">
        <v>25</v>
      </c>
    </row>
    <row r="17" spans="1:14" x14ac:dyDescent="0.2">
      <c r="A17" s="25" t="s">
        <v>45</v>
      </c>
      <c r="B17" s="25" t="s">
        <v>24</v>
      </c>
      <c r="C17" s="25" t="s">
        <v>41</v>
      </c>
      <c r="D17" s="23" t="s">
        <v>32</v>
      </c>
      <c r="E17" s="25" t="s">
        <v>37</v>
      </c>
      <c r="F17" s="23" t="s">
        <v>23</v>
      </c>
      <c r="G17" s="23" t="s">
        <v>11</v>
      </c>
      <c r="H17" s="23" t="s">
        <v>16</v>
      </c>
      <c r="I17" s="25" t="s">
        <v>39</v>
      </c>
      <c r="J17" s="25" t="s">
        <v>46</v>
      </c>
      <c r="K17" s="23" t="s">
        <v>12</v>
      </c>
      <c r="L17" s="26" t="s">
        <v>26</v>
      </c>
    </row>
    <row r="18" spans="1:14" x14ac:dyDescent="0.2">
      <c r="A18" s="25" t="s">
        <v>43</v>
      </c>
      <c r="B18" s="25" t="s">
        <v>34</v>
      </c>
      <c r="C18" s="25" t="s">
        <v>41</v>
      </c>
      <c r="D18" s="25" t="s">
        <v>31</v>
      </c>
      <c r="E18" s="23" t="s">
        <v>36</v>
      </c>
      <c r="F18" s="23" t="s">
        <v>24</v>
      </c>
      <c r="G18" s="23" t="s">
        <v>11</v>
      </c>
      <c r="H18" s="23" t="s">
        <v>16</v>
      </c>
      <c r="I18" s="25" t="s">
        <v>39</v>
      </c>
      <c r="J18" s="25" t="s">
        <v>46</v>
      </c>
      <c r="K18" s="23" t="s">
        <v>12</v>
      </c>
      <c r="L18" s="26" t="s">
        <v>26</v>
      </c>
    </row>
    <row r="19" spans="1:14" x14ac:dyDescent="0.2">
      <c r="A19" s="12" t="s">
        <v>44</v>
      </c>
      <c r="B19" s="12" t="s">
        <v>34</v>
      </c>
      <c r="C19" s="13" t="s">
        <v>40</v>
      </c>
      <c r="D19" s="13" t="s">
        <v>33</v>
      </c>
      <c r="E19" s="12" t="s">
        <v>36</v>
      </c>
      <c r="F19" s="13" t="s">
        <v>23</v>
      </c>
      <c r="G19" s="13" t="s">
        <v>11</v>
      </c>
      <c r="H19" s="13" t="s">
        <v>14</v>
      </c>
      <c r="I19" s="12" t="s">
        <v>39</v>
      </c>
      <c r="J19" s="13" t="s">
        <v>48</v>
      </c>
      <c r="K19" s="13" t="s">
        <v>15</v>
      </c>
      <c r="L19" s="12" t="s">
        <v>25</v>
      </c>
      <c r="N19" s="6"/>
    </row>
    <row r="20" spans="1:14" x14ac:dyDescent="0.2">
      <c r="A20" s="25" t="s">
        <v>45</v>
      </c>
      <c r="B20" s="23" t="s">
        <v>34</v>
      </c>
      <c r="C20" s="23" t="s">
        <v>40</v>
      </c>
      <c r="D20" s="25" t="s">
        <v>31</v>
      </c>
      <c r="E20" s="23" t="s">
        <v>36</v>
      </c>
      <c r="F20" s="23" t="s">
        <v>24</v>
      </c>
      <c r="G20" s="23" t="s">
        <v>11</v>
      </c>
      <c r="H20" s="23" t="s">
        <v>20</v>
      </c>
      <c r="I20" s="25" t="s">
        <v>29</v>
      </c>
      <c r="J20" s="25" t="s">
        <v>46</v>
      </c>
      <c r="K20" s="23" t="s">
        <v>12</v>
      </c>
      <c r="L20" s="25" t="s">
        <v>25</v>
      </c>
    </row>
    <row r="21" spans="1:14" x14ac:dyDescent="0.2">
      <c r="A21" s="23" t="s">
        <v>44</v>
      </c>
      <c r="B21" s="23" t="s">
        <v>34</v>
      </c>
      <c r="C21" s="25" t="s">
        <v>41</v>
      </c>
      <c r="D21" s="25" t="s">
        <v>31</v>
      </c>
      <c r="E21" s="25" t="s">
        <v>37</v>
      </c>
      <c r="F21" s="23" t="s">
        <v>24</v>
      </c>
      <c r="G21" s="23" t="s">
        <v>21</v>
      </c>
      <c r="H21" s="23" t="s">
        <v>16</v>
      </c>
      <c r="I21" s="23" t="s">
        <v>28</v>
      </c>
      <c r="J21" s="23" t="s">
        <v>49</v>
      </c>
      <c r="K21" s="23" t="s">
        <v>12</v>
      </c>
      <c r="L21" s="26" t="s">
        <v>26</v>
      </c>
    </row>
    <row r="22" spans="1:14" x14ac:dyDescent="0.2">
      <c r="A22" s="25" t="s">
        <v>45</v>
      </c>
      <c r="B22" s="23" t="s">
        <v>34</v>
      </c>
      <c r="C22" s="25" t="s">
        <v>41</v>
      </c>
      <c r="D22" s="25" t="s">
        <v>31</v>
      </c>
      <c r="E22" s="25" t="s">
        <v>37</v>
      </c>
      <c r="F22" s="23" t="s">
        <v>24</v>
      </c>
      <c r="G22" s="23" t="s">
        <v>11</v>
      </c>
      <c r="H22" s="23" t="s">
        <v>14</v>
      </c>
      <c r="I22" s="25" t="s">
        <v>39</v>
      </c>
      <c r="J22" s="25" t="s">
        <v>46</v>
      </c>
      <c r="K22" s="23" t="s">
        <v>12</v>
      </c>
      <c r="L22" s="26" t="s">
        <v>26</v>
      </c>
    </row>
    <row r="23" spans="1:14" x14ac:dyDescent="0.2">
      <c r="A23" s="25" t="s">
        <v>44</v>
      </c>
      <c r="B23" s="23" t="s">
        <v>34</v>
      </c>
      <c r="C23" s="23" t="s">
        <v>40</v>
      </c>
      <c r="D23" s="25" t="s">
        <v>31</v>
      </c>
      <c r="E23" s="23" t="s">
        <v>36</v>
      </c>
      <c r="F23" s="23" t="s">
        <v>23</v>
      </c>
      <c r="G23" s="23" t="s">
        <v>11</v>
      </c>
      <c r="H23" s="23" t="s">
        <v>16</v>
      </c>
      <c r="I23" s="25" t="s">
        <v>39</v>
      </c>
      <c r="J23" s="23" t="s">
        <v>50</v>
      </c>
      <c r="K23" s="23" t="s">
        <v>12</v>
      </c>
      <c r="L23" s="26" t="s">
        <v>26</v>
      </c>
    </row>
    <row r="24" spans="1:14" x14ac:dyDescent="0.2">
      <c r="A24" s="25" t="s">
        <v>44</v>
      </c>
      <c r="B24" s="25" t="s">
        <v>24</v>
      </c>
      <c r="C24" s="23" t="s">
        <v>40</v>
      </c>
      <c r="D24" s="25" t="s">
        <v>31</v>
      </c>
      <c r="E24" s="23" t="s">
        <v>36</v>
      </c>
      <c r="F24" s="23" t="s">
        <v>24</v>
      </c>
      <c r="G24" s="23" t="s">
        <v>11</v>
      </c>
      <c r="H24" s="23" t="s">
        <v>16</v>
      </c>
      <c r="I24" s="25" t="s">
        <v>39</v>
      </c>
      <c r="J24" s="23" t="s">
        <v>50</v>
      </c>
      <c r="K24" s="23" t="s">
        <v>15</v>
      </c>
      <c r="L24" s="26" t="s">
        <v>26</v>
      </c>
    </row>
    <row r="25" spans="1:14" x14ac:dyDescent="0.2">
      <c r="A25" s="25" t="s">
        <v>43</v>
      </c>
      <c r="B25" s="25" t="s">
        <v>34</v>
      </c>
      <c r="C25" s="23" t="s">
        <v>40</v>
      </c>
      <c r="D25" s="25" t="s">
        <v>31</v>
      </c>
      <c r="E25" s="23" t="s">
        <v>36</v>
      </c>
      <c r="F25" s="23" t="s">
        <v>24</v>
      </c>
      <c r="G25" s="23" t="s">
        <v>11</v>
      </c>
      <c r="H25" s="23" t="s">
        <v>35</v>
      </c>
      <c r="I25" s="25" t="s">
        <v>29</v>
      </c>
      <c r="J25" s="25" t="s">
        <v>46</v>
      </c>
      <c r="K25" s="23" t="s">
        <v>12</v>
      </c>
      <c r="L25" s="26" t="s">
        <v>26</v>
      </c>
    </row>
    <row r="26" spans="1:14" x14ac:dyDescent="0.2">
      <c r="A26" s="25" t="s">
        <v>44</v>
      </c>
      <c r="B26" s="25" t="s">
        <v>34</v>
      </c>
      <c r="C26" s="25" t="s">
        <v>41</v>
      </c>
      <c r="D26" s="25" t="s">
        <v>31</v>
      </c>
      <c r="E26" s="23" t="s">
        <v>36</v>
      </c>
      <c r="F26" s="23" t="s">
        <v>24</v>
      </c>
      <c r="G26" s="23" t="s">
        <v>11</v>
      </c>
      <c r="H26" s="23" t="s">
        <v>35</v>
      </c>
      <c r="I26" s="25" t="s">
        <v>39</v>
      </c>
      <c r="J26" s="25" t="s">
        <v>46</v>
      </c>
      <c r="K26" s="23" t="s">
        <v>17</v>
      </c>
      <c r="L26" s="26" t="s">
        <v>26</v>
      </c>
    </row>
    <row r="27" spans="1:14" x14ac:dyDescent="0.2">
      <c r="A27" s="23" t="s">
        <v>45</v>
      </c>
      <c r="B27" s="23" t="s">
        <v>34</v>
      </c>
      <c r="C27" s="25" t="s">
        <v>41</v>
      </c>
      <c r="D27" s="23" t="s">
        <v>33</v>
      </c>
      <c r="E27" s="23" t="s">
        <v>36</v>
      </c>
      <c r="F27" s="23" t="s">
        <v>24</v>
      </c>
      <c r="G27" s="23" t="s">
        <v>11</v>
      </c>
      <c r="H27" s="23" t="s">
        <v>35</v>
      </c>
      <c r="I27" s="25" t="s">
        <v>39</v>
      </c>
      <c r="J27" s="25" t="s">
        <v>46</v>
      </c>
      <c r="K27" s="23" t="s">
        <v>12</v>
      </c>
      <c r="L27" s="26" t="s">
        <v>26</v>
      </c>
    </row>
    <row r="28" spans="1:14" x14ac:dyDescent="0.2">
      <c r="A28" s="23" t="s">
        <v>44</v>
      </c>
      <c r="B28" s="23" t="s">
        <v>34</v>
      </c>
      <c r="C28" s="25" t="s">
        <v>41</v>
      </c>
      <c r="D28" s="25" t="s">
        <v>31</v>
      </c>
      <c r="E28" s="23" t="s">
        <v>36</v>
      </c>
      <c r="F28" s="23" t="s">
        <v>23</v>
      </c>
      <c r="G28" s="23" t="s">
        <v>11</v>
      </c>
      <c r="H28" s="23" t="s">
        <v>16</v>
      </c>
      <c r="I28" s="25" t="s">
        <v>29</v>
      </c>
      <c r="J28" s="25" t="s">
        <v>46</v>
      </c>
      <c r="K28" s="23" t="s">
        <v>12</v>
      </c>
      <c r="L28" s="25" t="s">
        <v>25</v>
      </c>
    </row>
    <row r="29" spans="1:14" x14ac:dyDescent="0.2">
      <c r="A29" s="25" t="s">
        <v>44</v>
      </c>
      <c r="B29" s="25" t="s">
        <v>34</v>
      </c>
      <c r="C29" s="25" t="s">
        <v>40</v>
      </c>
      <c r="D29" s="25" t="s">
        <v>31</v>
      </c>
      <c r="E29" s="23" t="s">
        <v>36</v>
      </c>
      <c r="F29" s="23" t="s">
        <v>24</v>
      </c>
      <c r="G29" s="23" t="s">
        <v>11</v>
      </c>
      <c r="H29" s="23" t="s">
        <v>16</v>
      </c>
      <c r="I29" s="25" t="s">
        <v>39</v>
      </c>
      <c r="J29" s="25" t="s">
        <v>46</v>
      </c>
      <c r="K29" s="23" t="s">
        <v>12</v>
      </c>
      <c r="L29" s="25" t="s">
        <v>25</v>
      </c>
    </row>
    <row r="30" spans="1:14" x14ac:dyDescent="0.2">
      <c r="A30" s="12" t="s">
        <v>44</v>
      </c>
      <c r="B30" s="12" t="s">
        <v>24</v>
      </c>
      <c r="C30" s="12" t="s">
        <v>40</v>
      </c>
      <c r="D30" s="12" t="s">
        <v>31</v>
      </c>
      <c r="E30" s="13" t="s">
        <v>36</v>
      </c>
      <c r="F30" s="13" t="s">
        <v>23</v>
      </c>
      <c r="G30" s="13" t="s">
        <v>11</v>
      </c>
      <c r="H30" s="13" t="s">
        <v>16</v>
      </c>
      <c r="I30" s="12" t="s">
        <v>39</v>
      </c>
      <c r="J30" s="13" t="s">
        <v>47</v>
      </c>
      <c r="K30" s="13" t="s">
        <v>15</v>
      </c>
      <c r="L30" s="12" t="s">
        <v>25</v>
      </c>
    </row>
    <row r="31" spans="1:14" x14ac:dyDescent="0.2">
      <c r="A31" s="25" t="s">
        <v>44</v>
      </c>
      <c r="B31" s="23" t="s">
        <v>34</v>
      </c>
      <c r="C31" s="23" t="s">
        <v>40</v>
      </c>
      <c r="D31" s="25" t="s">
        <v>31</v>
      </c>
      <c r="E31" s="23" t="s">
        <v>36</v>
      </c>
      <c r="F31" s="23" t="s">
        <v>24</v>
      </c>
      <c r="G31" s="23" t="s">
        <v>11</v>
      </c>
      <c r="H31" s="23" t="s">
        <v>35</v>
      </c>
      <c r="I31" s="25" t="s">
        <v>39</v>
      </c>
      <c r="J31" s="25" t="s">
        <v>46</v>
      </c>
      <c r="K31" s="23" t="s">
        <v>17</v>
      </c>
      <c r="L31" s="25" t="s">
        <v>25</v>
      </c>
    </row>
    <row r="32" spans="1:14" x14ac:dyDescent="0.2">
      <c r="A32" s="25" t="s">
        <v>43</v>
      </c>
      <c r="B32" s="23" t="s">
        <v>24</v>
      </c>
      <c r="C32" s="23" t="s">
        <v>40</v>
      </c>
      <c r="D32" s="25" t="s">
        <v>31</v>
      </c>
      <c r="E32" s="23" t="s">
        <v>36</v>
      </c>
      <c r="F32" s="23" t="s">
        <v>24</v>
      </c>
      <c r="G32" s="23" t="s">
        <v>11</v>
      </c>
      <c r="H32" s="23" t="s">
        <v>35</v>
      </c>
      <c r="I32" s="25" t="s">
        <v>39</v>
      </c>
      <c r="J32" s="25" t="s">
        <v>46</v>
      </c>
      <c r="K32" s="23" t="s">
        <v>17</v>
      </c>
      <c r="L32" s="26" t="s">
        <v>26</v>
      </c>
    </row>
    <row r="33" spans="1:12" x14ac:dyDescent="0.2">
      <c r="A33" s="23" t="s">
        <v>45</v>
      </c>
      <c r="B33" s="23" t="s">
        <v>34</v>
      </c>
      <c r="C33" s="25" t="s">
        <v>41</v>
      </c>
      <c r="D33" s="23" t="s">
        <v>32</v>
      </c>
      <c r="E33" s="25" t="s">
        <v>36</v>
      </c>
      <c r="F33" s="23" t="s">
        <v>23</v>
      </c>
      <c r="G33" s="23" t="s">
        <v>11</v>
      </c>
      <c r="H33" s="23" t="s">
        <v>16</v>
      </c>
      <c r="I33" s="25" t="s">
        <v>39</v>
      </c>
      <c r="J33" s="25" t="s">
        <v>46</v>
      </c>
      <c r="K33" s="23" t="s">
        <v>17</v>
      </c>
      <c r="L33" s="25" t="s">
        <v>25</v>
      </c>
    </row>
    <row r="34" spans="1:12" x14ac:dyDescent="0.2">
      <c r="A34" s="18" t="s">
        <v>45</v>
      </c>
      <c r="B34" s="20" t="s">
        <v>34</v>
      </c>
      <c r="C34" s="18" t="s">
        <v>42</v>
      </c>
      <c r="D34" s="20" t="s">
        <v>31</v>
      </c>
      <c r="E34" s="18" t="s">
        <v>38</v>
      </c>
      <c r="F34" s="18" t="s">
        <v>23</v>
      </c>
      <c r="G34" s="18" t="s">
        <v>11</v>
      </c>
      <c r="H34" s="18" t="s">
        <v>16</v>
      </c>
      <c r="I34" s="20" t="s">
        <v>30</v>
      </c>
      <c r="J34" s="20" t="s">
        <v>46</v>
      </c>
      <c r="K34" s="18" t="s">
        <v>12</v>
      </c>
      <c r="L34" s="21" t="s">
        <v>26</v>
      </c>
    </row>
    <row r="35" spans="1:12" x14ac:dyDescent="0.2">
      <c r="A35" s="23" t="s">
        <v>45</v>
      </c>
      <c r="B35" s="25" t="s">
        <v>24</v>
      </c>
      <c r="C35" s="25" t="s">
        <v>41</v>
      </c>
      <c r="D35" s="25" t="s">
        <v>31</v>
      </c>
      <c r="E35" s="25" t="s">
        <v>36</v>
      </c>
      <c r="F35" s="23" t="s">
        <v>24</v>
      </c>
      <c r="G35" s="23" t="s">
        <v>11</v>
      </c>
      <c r="H35" s="23" t="s">
        <v>16</v>
      </c>
      <c r="I35" s="25" t="s">
        <v>28</v>
      </c>
      <c r="J35" s="25" t="s">
        <v>46</v>
      </c>
      <c r="K35" s="23" t="s">
        <v>12</v>
      </c>
      <c r="L35" s="26" t="s">
        <v>26</v>
      </c>
    </row>
    <row r="36" spans="1:12" x14ac:dyDescent="0.2">
      <c r="A36" s="23" t="s">
        <v>45</v>
      </c>
      <c r="B36" s="25" t="s">
        <v>24</v>
      </c>
      <c r="C36" s="25" t="s">
        <v>41</v>
      </c>
      <c r="D36" s="25" t="s">
        <v>31</v>
      </c>
      <c r="E36" s="25" t="s">
        <v>36</v>
      </c>
      <c r="F36" s="23" t="s">
        <v>23</v>
      </c>
      <c r="G36" s="23" t="s">
        <v>11</v>
      </c>
      <c r="H36" s="23" t="s">
        <v>20</v>
      </c>
      <c r="I36" s="25" t="s">
        <v>39</v>
      </c>
      <c r="J36" s="23" t="s">
        <v>49</v>
      </c>
      <c r="K36" s="23" t="s">
        <v>17</v>
      </c>
      <c r="L36" s="26" t="s">
        <v>26</v>
      </c>
    </row>
    <row r="37" spans="1:12" x14ac:dyDescent="0.2">
      <c r="A37" s="25" t="s">
        <v>43</v>
      </c>
      <c r="B37" s="25" t="s">
        <v>24</v>
      </c>
      <c r="C37" s="25" t="s">
        <v>40</v>
      </c>
      <c r="D37" s="25" t="s">
        <v>31</v>
      </c>
      <c r="E37" s="23" t="s">
        <v>36</v>
      </c>
      <c r="F37" s="23" t="s">
        <v>24</v>
      </c>
      <c r="G37" s="23" t="s">
        <v>11</v>
      </c>
      <c r="H37" s="23" t="s">
        <v>20</v>
      </c>
      <c r="I37" s="25" t="s">
        <v>39</v>
      </c>
      <c r="J37" s="25" t="s">
        <v>46</v>
      </c>
      <c r="K37" s="23" t="s">
        <v>12</v>
      </c>
      <c r="L37" s="26" t="s">
        <v>26</v>
      </c>
    </row>
    <row r="38" spans="1:12" x14ac:dyDescent="0.2">
      <c r="A38" s="13" t="s">
        <v>45</v>
      </c>
      <c r="B38" s="13" t="s">
        <v>24</v>
      </c>
      <c r="C38" s="12" t="s">
        <v>41</v>
      </c>
      <c r="D38" s="12" t="s">
        <v>31</v>
      </c>
      <c r="E38" s="13" t="s">
        <v>36</v>
      </c>
      <c r="F38" s="13" t="s">
        <v>23</v>
      </c>
      <c r="G38" s="13" t="s">
        <v>11</v>
      </c>
      <c r="H38" s="13" t="s">
        <v>20</v>
      </c>
      <c r="I38" s="12" t="s">
        <v>39</v>
      </c>
      <c r="J38" s="13" t="s">
        <v>48</v>
      </c>
      <c r="K38" s="13" t="s">
        <v>15</v>
      </c>
      <c r="L38" s="12" t="s">
        <v>25</v>
      </c>
    </row>
    <row r="39" spans="1:12" x14ac:dyDescent="0.2">
      <c r="A39" s="13" t="s">
        <v>45</v>
      </c>
      <c r="B39" s="13" t="s">
        <v>34</v>
      </c>
      <c r="C39" s="12" t="s">
        <v>41</v>
      </c>
      <c r="D39" s="12" t="s">
        <v>31</v>
      </c>
      <c r="E39" s="12" t="s">
        <v>36</v>
      </c>
      <c r="F39" s="13" t="s">
        <v>23</v>
      </c>
      <c r="G39" s="13" t="s">
        <v>11</v>
      </c>
      <c r="H39" s="13" t="s">
        <v>16</v>
      </c>
      <c r="I39" s="12" t="s">
        <v>39</v>
      </c>
      <c r="J39" s="13" t="s">
        <v>48</v>
      </c>
      <c r="K39" s="13" t="s">
        <v>15</v>
      </c>
      <c r="L39" s="12" t="s">
        <v>25</v>
      </c>
    </row>
    <row r="40" spans="1:12" x14ac:dyDescent="0.2">
      <c r="A40" s="25" t="s">
        <v>45</v>
      </c>
      <c r="B40" s="25" t="s">
        <v>24</v>
      </c>
      <c r="C40" s="25" t="s">
        <v>40</v>
      </c>
      <c r="D40" s="23" t="s">
        <v>32</v>
      </c>
      <c r="E40" s="25" t="s">
        <v>36</v>
      </c>
      <c r="F40" s="23" t="s">
        <v>23</v>
      </c>
      <c r="G40" s="23" t="s">
        <v>11</v>
      </c>
      <c r="H40" s="23" t="s">
        <v>35</v>
      </c>
      <c r="I40" s="25" t="s">
        <v>39</v>
      </c>
      <c r="J40" s="25" t="s">
        <v>46</v>
      </c>
      <c r="K40" s="23" t="s">
        <v>17</v>
      </c>
      <c r="L40" s="26" t="s">
        <v>26</v>
      </c>
    </row>
    <row r="41" spans="1:12" x14ac:dyDescent="0.2">
      <c r="A41" s="18" t="s">
        <v>45</v>
      </c>
      <c r="B41" s="18" t="s">
        <v>24</v>
      </c>
      <c r="C41" s="18" t="s">
        <v>42</v>
      </c>
      <c r="D41" s="18" t="s">
        <v>32</v>
      </c>
      <c r="E41" s="18" t="s">
        <v>36</v>
      </c>
      <c r="F41" s="18" t="s">
        <v>23</v>
      </c>
      <c r="G41" s="18" t="s">
        <v>11</v>
      </c>
      <c r="H41" s="18" t="s">
        <v>16</v>
      </c>
      <c r="I41" s="20" t="s">
        <v>39</v>
      </c>
      <c r="J41" s="20" t="s">
        <v>47</v>
      </c>
      <c r="K41" s="18" t="s">
        <v>12</v>
      </c>
      <c r="L41" s="21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50"/>
  <sheetViews>
    <sheetView zoomScale="101" zoomScaleNormal="101" zoomScalePageLayoutView="101" workbookViewId="0">
      <selection activeCell="F7" sqref="F7:F10"/>
    </sheetView>
  </sheetViews>
  <sheetFormatPr baseColWidth="10" defaultRowHeight="16" x14ac:dyDescent="0.2"/>
  <sheetData>
    <row r="3" spans="1:12" x14ac:dyDescent="0.2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s="1" t="s">
        <v>10</v>
      </c>
      <c r="L3" t="s">
        <v>22</v>
      </c>
    </row>
    <row r="4" spans="1:12" x14ac:dyDescent="0.2">
      <c r="A4" s="7" t="s">
        <v>43</v>
      </c>
      <c r="B4" s="7" t="s">
        <v>24</v>
      </c>
      <c r="C4" s="7" t="s">
        <v>40</v>
      </c>
      <c r="D4" s="8" t="s">
        <v>31</v>
      </c>
      <c r="E4" s="8" t="s">
        <v>37</v>
      </c>
      <c r="F4" s="7" t="s">
        <v>23</v>
      </c>
      <c r="G4" s="8" t="s">
        <v>18</v>
      </c>
      <c r="H4" s="8" t="s">
        <v>13</v>
      </c>
      <c r="I4" s="8" t="s">
        <v>29</v>
      </c>
      <c r="J4" s="8" t="s">
        <v>50</v>
      </c>
      <c r="K4" s="7" t="s">
        <v>15</v>
      </c>
      <c r="L4" s="9" t="s">
        <v>26</v>
      </c>
    </row>
    <row r="6" spans="1:12" x14ac:dyDescent="0.2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s="1" t="s">
        <v>10</v>
      </c>
      <c r="L6" t="s">
        <v>22</v>
      </c>
    </row>
    <row r="7" spans="1:12" x14ac:dyDescent="0.2">
      <c r="A7" s="1" t="s">
        <v>43</v>
      </c>
      <c r="B7" t="s">
        <v>34</v>
      </c>
      <c r="C7" s="1" t="s">
        <v>40</v>
      </c>
      <c r="D7" t="s">
        <v>32</v>
      </c>
      <c r="E7" s="32" t="s">
        <v>36</v>
      </c>
      <c r="F7" s="32" t="s">
        <v>23</v>
      </c>
      <c r="G7" s="32" t="s">
        <v>11</v>
      </c>
      <c r="H7" s="32" t="s">
        <v>16</v>
      </c>
      <c r="I7" s="36" t="s">
        <v>30</v>
      </c>
      <c r="J7" s="3" t="s">
        <v>46</v>
      </c>
      <c r="K7" s="40" t="s">
        <v>12</v>
      </c>
      <c r="L7" s="50" t="s">
        <v>26</v>
      </c>
    </row>
    <row r="8" spans="1:12" x14ac:dyDescent="0.2">
      <c r="A8" s="1" t="s">
        <v>43</v>
      </c>
      <c r="B8" t="s">
        <v>24</v>
      </c>
      <c r="C8" s="1" t="s">
        <v>40</v>
      </c>
      <c r="D8" s="3" t="s">
        <v>31</v>
      </c>
      <c r="E8" s="33" t="s">
        <v>36</v>
      </c>
      <c r="F8" s="33" t="s">
        <v>23</v>
      </c>
      <c r="G8" s="35" t="s">
        <v>11</v>
      </c>
      <c r="H8" s="33" t="s">
        <v>14</v>
      </c>
      <c r="I8" s="37" t="s">
        <v>30</v>
      </c>
      <c r="J8" t="s">
        <v>49</v>
      </c>
      <c r="K8" s="41" t="s">
        <v>12</v>
      </c>
      <c r="L8" s="33" t="s">
        <v>27</v>
      </c>
    </row>
    <row r="9" spans="1:12" x14ac:dyDescent="0.2">
      <c r="A9" s="1" t="s">
        <v>45</v>
      </c>
      <c r="B9" s="3" t="s">
        <v>34</v>
      </c>
      <c r="C9" t="s">
        <v>42</v>
      </c>
      <c r="D9" s="3" t="s">
        <v>31</v>
      </c>
      <c r="E9" s="33" t="s">
        <v>38</v>
      </c>
      <c r="F9" s="33" t="s">
        <v>23</v>
      </c>
      <c r="G9" s="33" t="s">
        <v>11</v>
      </c>
      <c r="H9" s="33" t="s">
        <v>16</v>
      </c>
      <c r="I9" s="38" t="s">
        <v>30</v>
      </c>
      <c r="J9" s="3" t="s">
        <v>46</v>
      </c>
      <c r="K9" s="41" t="s">
        <v>12</v>
      </c>
      <c r="L9" s="51" t="s">
        <v>26</v>
      </c>
    </row>
    <row r="10" spans="1:12" x14ac:dyDescent="0.2">
      <c r="A10" t="s">
        <v>45</v>
      </c>
      <c r="B10" t="s">
        <v>24</v>
      </c>
      <c r="C10" t="s">
        <v>42</v>
      </c>
      <c r="D10" t="s">
        <v>32</v>
      </c>
      <c r="E10" s="34" t="s">
        <v>36</v>
      </c>
      <c r="F10" s="34" t="s">
        <v>23</v>
      </c>
      <c r="G10" s="34" t="s">
        <v>11</v>
      </c>
      <c r="H10" s="34" t="s">
        <v>16</v>
      </c>
      <c r="I10" s="39" t="s">
        <v>39</v>
      </c>
      <c r="J10" s="3" t="s">
        <v>47</v>
      </c>
      <c r="K10" s="42" t="s">
        <v>12</v>
      </c>
      <c r="L10" s="52" t="s">
        <v>26</v>
      </c>
    </row>
    <row r="12" spans="1:12" x14ac:dyDescent="0.2">
      <c r="A12" t="s">
        <v>0</v>
      </c>
      <c r="B12" t="s">
        <v>1</v>
      </c>
      <c r="C12" t="s">
        <v>2</v>
      </c>
      <c r="D12" t="s">
        <v>3</v>
      </c>
      <c r="E12" t="s">
        <v>4</v>
      </c>
      <c r="F12" t="s">
        <v>5</v>
      </c>
      <c r="G12" t="s">
        <v>6</v>
      </c>
      <c r="H12" t="s">
        <v>7</v>
      </c>
      <c r="I12" t="s">
        <v>8</v>
      </c>
      <c r="J12" t="s">
        <v>9</v>
      </c>
      <c r="K12" s="1" t="s">
        <v>10</v>
      </c>
      <c r="L12" t="s">
        <v>22</v>
      </c>
    </row>
    <row r="13" spans="1:12" x14ac:dyDescent="0.2">
      <c r="A13" s="10" t="s">
        <v>45</v>
      </c>
      <c r="B13" s="10" t="s">
        <v>34</v>
      </c>
      <c r="C13" s="11" t="s">
        <v>41</v>
      </c>
      <c r="D13" s="10" t="s">
        <v>33</v>
      </c>
      <c r="E13" s="43" t="s">
        <v>36</v>
      </c>
      <c r="F13" s="43" t="s">
        <v>23</v>
      </c>
      <c r="G13" s="47" t="s">
        <v>11</v>
      </c>
      <c r="H13" s="11" t="s">
        <v>14</v>
      </c>
      <c r="I13" s="47" t="s">
        <v>30</v>
      </c>
      <c r="J13" s="47" t="s">
        <v>47</v>
      </c>
      <c r="K13" s="43" t="s">
        <v>15</v>
      </c>
      <c r="L13" s="49" t="s">
        <v>26</v>
      </c>
    </row>
    <row r="14" spans="1:12" x14ac:dyDescent="0.2">
      <c r="A14" s="11" t="s">
        <v>44</v>
      </c>
      <c r="B14" s="11" t="s">
        <v>34</v>
      </c>
      <c r="C14" s="10" t="s">
        <v>40</v>
      </c>
      <c r="D14" s="10" t="s">
        <v>33</v>
      </c>
      <c r="E14" s="44" t="s">
        <v>36</v>
      </c>
      <c r="F14" s="46" t="s">
        <v>23</v>
      </c>
      <c r="G14" s="44" t="s">
        <v>11</v>
      </c>
      <c r="H14" s="11" t="s">
        <v>14</v>
      </c>
      <c r="I14" s="44" t="s">
        <v>39</v>
      </c>
      <c r="J14" s="44" t="s">
        <v>48</v>
      </c>
      <c r="K14" s="46" t="s">
        <v>15</v>
      </c>
      <c r="L14" s="44" t="s">
        <v>25</v>
      </c>
    </row>
    <row r="15" spans="1:12" x14ac:dyDescent="0.2">
      <c r="A15" s="11" t="s">
        <v>44</v>
      </c>
      <c r="B15" s="11" t="s">
        <v>24</v>
      </c>
      <c r="C15" s="11" t="s">
        <v>40</v>
      </c>
      <c r="D15" s="11" t="s">
        <v>31</v>
      </c>
      <c r="E15" s="44" t="s">
        <v>36</v>
      </c>
      <c r="F15" s="44" t="s">
        <v>23</v>
      </c>
      <c r="G15" s="46" t="s">
        <v>11</v>
      </c>
      <c r="H15" s="11" t="s">
        <v>16</v>
      </c>
      <c r="I15" s="44" t="s">
        <v>39</v>
      </c>
      <c r="J15" s="44" t="s">
        <v>47</v>
      </c>
      <c r="K15" s="46" t="s">
        <v>15</v>
      </c>
      <c r="L15" s="44" t="s">
        <v>25</v>
      </c>
    </row>
    <row r="16" spans="1:12" x14ac:dyDescent="0.2">
      <c r="A16" s="11" t="s">
        <v>45</v>
      </c>
      <c r="B16" s="11" t="s">
        <v>24</v>
      </c>
      <c r="C16" s="11" t="s">
        <v>41</v>
      </c>
      <c r="D16" s="11" t="s">
        <v>31</v>
      </c>
      <c r="E16" s="44" t="s">
        <v>36</v>
      </c>
      <c r="F16" s="44" t="s">
        <v>23</v>
      </c>
      <c r="G16" s="44" t="s">
        <v>11</v>
      </c>
      <c r="H16" s="11" t="s">
        <v>20</v>
      </c>
      <c r="I16" s="44" t="s">
        <v>39</v>
      </c>
      <c r="J16" s="44" t="s">
        <v>48</v>
      </c>
      <c r="K16" s="46" t="s">
        <v>15</v>
      </c>
      <c r="L16" s="44" t="s">
        <v>25</v>
      </c>
    </row>
    <row r="17" spans="1:12" x14ac:dyDescent="0.2">
      <c r="A17" s="11" t="s">
        <v>45</v>
      </c>
      <c r="B17" s="11" t="s">
        <v>34</v>
      </c>
      <c r="C17" s="11" t="s">
        <v>41</v>
      </c>
      <c r="D17" s="11" t="s">
        <v>31</v>
      </c>
      <c r="E17" s="45" t="s">
        <v>36</v>
      </c>
      <c r="F17" s="45" t="s">
        <v>23</v>
      </c>
      <c r="G17" s="45" t="s">
        <v>11</v>
      </c>
      <c r="H17" s="11" t="s">
        <v>16</v>
      </c>
      <c r="I17" s="45" t="s">
        <v>39</v>
      </c>
      <c r="J17" s="45" t="s">
        <v>48</v>
      </c>
      <c r="K17" s="48" t="s">
        <v>15</v>
      </c>
      <c r="L17" s="45" t="s">
        <v>25</v>
      </c>
    </row>
    <row r="20" spans="1:12" x14ac:dyDescent="0.2">
      <c r="A20" t="s">
        <v>0</v>
      </c>
      <c r="B20" t="s">
        <v>1</v>
      </c>
      <c r="C20" t="s">
        <v>2</v>
      </c>
      <c r="D20" t="s">
        <v>3</v>
      </c>
      <c r="E20" t="s">
        <v>4</v>
      </c>
      <c r="F20" t="s">
        <v>5</v>
      </c>
      <c r="G20" t="s">
        <v>6</v>
      </c>
      <c r="H20" t="s">
        <v>7</v>
      </c>
      <c r="I20" t="s">
        <v>8</v>
      </c>
      <c r="J20" t="s">
        <v>9</v>
      </c>
      <c r="K20" s="1" t="s">
        <v>10</v>
      </c>
      <c r="L20" t="s">
        <v>22</v>
      </c>
    </row>
    <row r="21" spans="1:12" x14ac:dyDescent="0.2">
      <c r="A21" s="30" t="s">
        <v>45</v>
      </c>
      <c r="B21" s="30" t="s">
        <v>24</v>
      </c>
      <c r="C21" s="30" t="s">
        <v>41</v>
      </c>
      <c r="D21" s="30" t="s">
        <v>31</v>
      </c>
      <c r="E21" s="30" t="s">
        <v>37</v>
      </c>
      <c r="F21" s="30" t="s">
        <v>23</v>
      </c>
      <c r="G21" s="30" t="s">
        <v>11</v>
      </c>
      <c r="H21" s="30" t="s">
        <v>35</v>
      </c>
      <c r="I21" s="30" t="s">
        <v>39</v>
      </c>
      <c r="J21" s="30" t="s">
        <v>46</v>
      </c>
      <c r="K21" s="30" t="s">
        <v>12</v>
      </c>
      <c r="L21" s="31" t="s">
        <v>26</v>
      </c>
    </row>
    <row r="22" spans="1:12" x14ac:dyDescent="0.2">
      <c r="A22" s="30" t="s">
        <v>45</v>
      </c>
      <c r="B22" s="30" t="s">
        <v>24</v>
      </c>
      <c r="C22" s="30" t="s">
        <v>41</v>
      </c>
      <c r="D22" s="30" t="s">
        <v>31</v>
      </c>
      <c r="E22" s="30" t="s">
        <v>36</v>
      </c>
      <c r="F22" s="30" t="s">
        <v>23</v>
      </c>
      <c r="G22" s="30" t="s">
        <v>11</v>
      </c>
      <c r="H22" s="30" t="s">
        <v>13</v>
      </c>
      <c r="I22" s="30" t="s">
        <v>29</v>
      </c>
      <c r="J22" s="30" t="s">
        <v>46</v>
      </c>
      <c r="K22" s="30" t="s">
        <v>12</v>
      </c>
      <c r="L22" s="31" t="s">
        <v>26</v>
      </c>
    </row>
    <row r="23" spans="1:12" x14ac:dyDescent="0.2">
      <c r="A23" s="30" t="s">
        <v>45</v>
      </c>
      <c r="B23" s="30" t="s">
        <v>34</v>
      </c>
      <c r="C23" s="30" t="s">
        <v>41</v>
      </c>
      <c r="D23" s="30" t="s">
        <v>31</v>
      </c>
      <c r="E23" s="30" t="s">
        <v>36</v>
      </c>
      <c r="F23" s="30" t="s">
        <v>24</v>
      </c>
      <c r="G23" s="30" t="s">
        <v>11</v>
      </c>
      <c r="H23" s="30" t="s">
        <v>14</v>
      </c>
      <c r="I23" s="30" t="s">
        <v>29</v>
      </c>
      <c r="J23" s="30" t="s">
        <v>46</v>
      </c>
      <c r="K23" s="30" t="s">
        <v>15</v>
      </c>
      <c r="L23" s="31" t="s">
        <v>26</v>
      </c>
    </row>
    <row r="24" spans="1:12" x14ac:dyDescent="0.2">
      <c r="A24" s="30" t="s">
        <v>44</v>
      </c>
      <c r="B24" s="30" t="s">
        <v>34</v>
      </c>
      <c r="C24" s="30" t="s">
        <v>40</v>
      </c>
      <c r="D24" s="30" t="s">
        <v>31</v>
      </c>
      <c r="E24" s="30" t="s">
        <v>37</v>
      </c>
      <c r="F24" s="30" t="s">
        <v>23</v>
      </c>
      <c r="G24" s="30" t="s">
        <v>11</v>
      </c>
      <c r="H24" s="30" t="s">
        <v>16</v>
      </c>
      <c r="I24" s="30" t="s">
        <v>39</v>
      </c>
      <c r="J24" s="30" t="s">
        <v>49</v>
      </c>
      <c r="K24" s="30" t="s">
        <v>17</v>
      </c>
      <c r="L24" s="30" t="s">
        <v>25</v>
      </c>
    </row>
    <row r="25" spans="1:12" x14ac:dyDescent="0.2">
      <c r="A25" s="30" t="s">
        <v>45</v>
      </c>
      <c r="B25" s="30" t="s">
        <v>34</v>
      </c>
      <c r="C25" s="30" t="s">
        <v>41</v>
      </c>
      <c r="D25" s="30" t="s">
        <v>31</v>
      </c>
      <c r="E25" s="30" t="s">
        <v>36</v>
      </c>
      <c r="F25" s="30" t="s">
        <v>23</v>
      </c>
      <c r="G25" s="30" t="s">
        <v>11</v>
      </c>
      <c r="H25" s="30" t="s">
        <v>16</v>
      </c>
      <c r="I25" s="30" t="s">
        <v>28</v>
      </c>
      <c r="J25" s="30" t="s">
        <v>46</v>
      </c>
      <c r="K25" s="30" t="s">
        <v>17</v>
      </c>
      <c r="L25" s="31" t="s">
        <v>26</v>
      </c>
    </row>
    <row r="26" spans="1:12" x14ac:dyDescent="0.2">
      <c r="A26" s="30" t="s">
        <v>44</v>
      </c>
      <c r="B26" s="30" t="s">
        <v>34</v>
      </c>
      <c r="C26" s="30" t="s">
        <v>41</v>
      </c>
      <c r="D26" s="30" t="s">
        <v>31</v>
      </c>
      <c r="E26" s="30" t="s">
        <v>36</v>
      </c>
      <c r="F26" s="30" t="s">
        <v>23</v>
      </c>
      <c r="G26" s="30" t="s">
        <v>11</v>
      </c>
      <c r="H26" s="30" t="s">
        <v>16</v>
      </c>
      <c r="I26" s="30" t="s">
        <v>39</v>
      </c>
      <c r="J26" s="30" t="s">
        <v>46</v>
      </c>
      <c r="K26" s="30" t="s">
        <v>15</v>
      </c>
      <c r="L26" s="31" t="s">
        <v>26</v>
      </c>
    </row>
    <row r="27" spans="1:12" x14ac:dyDescent="0.2">
      <c r="A27" s="30" t="s">
        <v>44</v>
      </c>
      <c r="B27" s="30" t="s">
        <v>34</v>
      </c>
      <c r="C27" s="30" t="s">
        <v>41</v>
      </c>
      <c r="D27" s="30" t="s">
        <v>31</v>
      </c>
      <c r="E27" s="30" t="s">
        <v>36</v>
      </c>
      <c r="F27" s="30" t="s">
        <v>23</v>
      </c>
      <c r="G27" s="30" t="s">
        <v>11</v>
      </c>
      <c r="H27" s="30" t="s">
        <v>14</v>
      </c>
      <c r="I27" s="30" t="s">
        <v>28</v>
      </c>
      <c r="J27" s="30" t="s">
        <v>46</v>
      </c>
      <c r="K27" s="30" t="s">
        <v>12</v>
      </c>
      <c r="L27" s="31" t="s">
        <v>26</v>
      </c>
    </row>
    <row r="28" spans="1:12" x14ac:dyDescent="0.2">
      <c r="A28" s="30" t="s">
        <v>45</v>
      </c>
      <c r="B28" s="30" t="s">
        <v>34</v>
      </c>
      <c r="C28" s="30" t="s">
        <v>41</v>
      </c>
      <c r="D28" s="30" t="s">
        <v>31</v>
      </c>
      <c r="E28" s="30" t="s">
        <v>36</v>
      </c>
      <c r="F28" s="30" t="s">
        <v>24</v>
      </c>
      <c r="G28" s="30" t="s">
        <v>11</v>
      </c>
      <c r="H28" s="30" t="s">
        <v>13</v>
      </c>
      <c r="I28" s="30" t="s">
        <v>28</v>
      </c>
      <c r="J28" s="30" t="s">
        <v>46</v>
      </c>
      <c r="K28" s="30" t="s">
        <v>12</v>
      </c>
      <c r="L28" s="30" t="s">
        <v>25</v>
      </c>
    </row>
    <row r="29" spans="1:12" x14ac:dyDescent="0.2">
      <c r="A29" s="30" t="s">
        <v>45</v>
      </c>
      <c r="B29" s="30" t="s">
        <v>24</v>
      </c>
      <c r="C29" s="30" t="s">
        <v>41</v>
      </c>
      <c r="D29" s="30" t="s">
        <v>32</v>
      </c>
      <c r="E29" s="30" t="s">
        <v>36</v>
      </c>
      <c r="F29" s="30" t="s">
        <v>23</v>
      </c>
      <c r="G29" s="30" t="s">
        <v>11</v>
      </c>
      <c r="H29" s="30" t="s">
        <v>19</v>
      </c>
      <c r="I29" s="30" t="s">
        <v>39</v>
      </c>
      <c r="J29" s="30" t="s">
        <v>46</v>
      </c>
      <c r="K29" s="30" t="s">
        <v>12</v>
      </c>
      <c r="L29" s="30" t="s">
        <v>25</v>
      </c>
    </row>
    <row r="30" spans="1:12" x14ac:dyDescent="0.2">
      <c r="A30" s="30" t="s">
        <v>45</v>
      </c>
      <c r="B30" s="30" t="s">
        <v>34</v>
      </c>
      <c r="C30" s="30" t="s">
        <v>41</v>
      </c>
      <c r="D30" s="30" t="s">
        <v>31</v>
      </c>
      <c r="E30" s="30" t="s">
        <v>37</v>
      </c>
      <c r="F30" s="30" t="s">
        <v>23</v>
      </c>
      <c r="G30" s="30" t="s">
        <v>11</v>
      </c>
      <c r="H30" s="30" t="s">
        <v>14</v>
      </c>
      <c r="I30" s="30" t="s">
        <v>29</v>
      </c>
      <c r="J30" s="30" t="s">
        <v>46</v>
      </c>
      <c r="K30" s="30" t="s">
        <v>17</v>
      </c>
      <c r="L30" s="31" t="s">
        <v>26</v>
      </c>
    </row>
    <row r="31" spans="1:12" x14ac:dyDescent="0.2">
      <c r="A31" s="30" t="s">
        <v>43</v>
      </c>
      <c r="B31" s="30" t="s">
        <v>24</v>
      </c>
      <c r="C31" s="30" t="s">
        <v>40</v>
      </c>
      <c r="D31" s="30" t="s">
        <v>31</v>
      </c>
      <c r="E31" s="30" t="s">
        <v>37</v>
      </c>
      <c r="F31" s="30" t="s">
        <v>24</v>
      </c>
      <c r="G31" s="30" t="s">
        <v>11</v>
      </c>
      <c r="H31" s="30" t="s">
        <v>16</v>
      </c>
      <c r="I31" s="30" t="s">
        <v>39</v>
      </c>
      <c r="J31" s="30" t="s">
        <v>49</v>
      </c>
      <c r="K31" s="30" t="s">
        <v>12</v>
      </c>
      <c r="L31" s="30" t="s">
        <v>25</v>
      </c>
    </row>
    <row r="32" spans="1:12" x14ac:dyDescent="0.2">
      <c r="A32" s="30" t="s">
        <v>45</v>
      </c>
      <c r="B32" s="30" t="s">
        <v>24</v>
      </c>
      <c r="C32" s="30" t="s">
        <v>41</v>
      </c>
      <c r="D32" s="30" t="s">
        <v>32</v>
      </c>
      <c r="E32" s="30" t="s">
        <v>37</v>
      </c>
      <c r="F32" s="30" t="s">
        <v>23</v>
      </c>
      <c r="G32" s="30" t="s">
        <v>11</v>
      </c>
      <c r="H32" s="30" t="s">
        <v>16</v>
      </c>
      <c r="I32" s="30" t="s">
        <v>39</v>
      </c>
      <c r="J32" s="30" t="s">
        <v>46</v>
      </c>
      <c r="K32" s="30" t="s">
        <v>12</v>
      </c>
      <c r="L32" s="31" t="s">
        <v>26</v>
      </c>
    </row>
    <row r="33" spans="1:12" x14ac:dyDescent="0.2">
      <c r="A33" s="30" t="s">
        <v>43</v>
      </c>
      <c r="B33" s="30" t="s">
        <v>34</v>
      </c>
      <c r="C33" s="30" t="s">
        <v>41</v>
      </c>
      <c r="D33" s="30" t="s">
        <v>31</v>
      </c>
      <c r="E33" s="30" t="s">
        <v>36</v>
      </c>
      <c r="F33" s="30" t="s">
        <v>24</v>
      </c>
      <c r="G33" s="30" t="s">
        <v>11</v>
      </c>
      <c r="H33" s="30" t="s">
        <v>16</v>
      </c>
      <c r="I33" s="30" t="s">
        <v>39</v>
      </c>
      <c r="J33" s="30" t="s">
        <v>46</v>
      </c>
      <c r="K33" s="30" t="s">
        <v>12</v>
      </c>
      <c r="L33" s="31" t="s">
        <v>26</v>
      </c>
    </row>
    <row r="34" spans="1:12" x14ac:dyDescent="0.2">
      <c r="A34" s="30" t="s">
        <v>45</v>
      </c>
      <c r="B34" s="30" t="s">
        <v>34</v>
      </c>
      <c r="C34" s="30" t="s">
        <v>40</v>
      </c>
      <c r="D34" s="30" t="s">
        <v>31</v>
      </c>
      <c r="E34" s="30" t="s">
        <v>36</v>
      </c>
      <c r="F34" s="30" t="s">
        <v>24</v>
      </c>
      <c r="G34" s="30" t="s">
        <v>11</v>
      </c>
      <c r="H34" s="30" t="s">
        <v>20</v>
      </c>
      <c r="I34" s="30" t="s">
        <v>29</v>
      </c>
      <c r="J34" s="30" t="s">
        <v>46</v>
      </c>
      <c r="K34" s="30" t="s">
        <v>12</v>
      </c>
      <c r="L34" s="30" t="s">
        <v>25</v>
      </c>
    </row>
    <row r="35" spans="1:12" x14ac:dyDescent="0.2">
      <c r="A35" s="30" t="s">
        <v>44</v>
      </c>
      <c r="B35" s="30" t="s">
        <v>34</v>
      </c>
      <c r="C35" s="30" t="s">
        <v>41</v>
      </c>
      <c r="D35" s="30" t="s">
        <v>31</v>
      </c>
      <c r="E35" s="30" t="s">
        <v>37</v>
      </c>
      <c r="F35" s="30" t="s">
        <v>24</v>
      </c>
      <c r="G35" s="30" t="s">
        <v>21</v>
      </c>
      <c r="H35" s="30" t="s">
        <v>16</v>
      </c>
      <c r="I35" s="30" t="s">
        <v>28</v>
      </c>
      <c r="J35" s="30" t="s">
        <v>49</v>
      </c>
      <c r="K35" s="30" t="s">
        <v>12</v>
      </c>
      <c r="L35" s="31" t="s">
        <v>26</v>
      </c>
    </row>
    <row r="36" spans="1:12" x14ac:dyDescent="0.2">
      <c r="A36" s="30" t="s">
        <v>45</v>
      </c>
      <c r="B36" s="30" t="s">
        <v>34</v>
      </c>
      <c r="C36" s="30" t="s">
        <v>41</v>
      </c>
      <c r="D36" s="30" t="s">
        <v>31</v>
      </c>
      <c r="E36" s="30" t="s">
        <v>37</v>
      </c>
      <c r="F36" s="30" t="s">
        <v>24</v>
      </c>
      <c r="G36" s="30" t="s">
        <v>11</v>
      </c>
      <c r="H36" s="30" t="s">
        <v>14</v>
      </c>
      <c r="I36" s="30" t="s">
        <v>39</v>
      </c>
      <c r="J36" s="30" t="s">
        <v>46</v>
      </c>
      <c r="K36" s="30" t="s">
        <v>12</v>
      </c>
      <c r="L36" s="31" t="s">
        <v>26</v>
      </c>
    </row>
    <row r="37" spans="1:12" x14ac:dyDescent="0.2">
      <c r="A37" s="30" t="s">
        <v>44</v>
      </c>
      <c r="B37" s="30" t="s">
        <v>34</v>
      </c>
      <c r="C37" s="30" t="s">
        <v>40</v>
      </c>
      <c r="D37" s="30" t="s">
        <v>31</v>
      </c>
      <c r="E37" s="30" t="s">
        <v>36</v>
      </c>
      <c r="F37" s="30" t="s">
        <v>23</v>
      </c>
      <c r="G37" s="30" t="s">
        <v>11</v>
      </c>
      <c r="H37" s="30" t="s">
        <v>16</v>
      </c>
      <c r="I37" s="30" t="s">
        <v>39</v>
      </c>
      <c r="J37" s="30" t="s">
        <v>50</v>
      </c>
      <c r="K37" s="30" t="s">
        <v>12</v>
      </c>
      <c r="L37" s="31" t="s">
        <v>26</v>
      </c>
    </row>
    <row r="38" spans="1:12" x14ac:dyDescent="0.2">
      <c r="A38" s="30" t="s">
        <v>44</v>
      </c>
      <c r="B38" s="30" t="s">
        <v>24</v>
      </c>
      <c r="C38" s="30" t="s">
        <v>40</v>
      </c>
      <c r="D38" s="30" t="s">
        <v>31</v>
      </c>
      <c r="E38" s="30" t="s">
        <v>36</v>
      </c>
      <c r="F38" s="30" t="s">
        <v>24</v>
      </c>
      <c r="G38" s="30" t="s">
        <v>11</v>
      </c>
      <c r="H38" s="30" t="s">
        <v>16</v>
      </c>
      <c r="I38" s="30" t="s">
        <v>39</v>
      </c>
      <c r="J38" s="30" t="s">
        <v>50</v>
      </c>
      <c r="K38" s="30" t="s">
        <v>15</v>
      </c>
      <c r="L38" s="31" t="s">
        <v>26</v>
      </c>
    </row>
    <row r="39" spans="1:12" x14ac:dyDescent="0.2">
      <c r="A39" s="30" t="s">
        <v>43</v>
      </c>
      <c r="B39" s="30" t="s">
        <v>34</v>
      </c>
      <c r="C39" s="30" t="s">
        <v>40</v>
      </c>
      <c r="D39" s="30" t="s">
        <v>31</v>
      </c>
      <c r="E39" s="30" t="s">
        <v>36</v>
      </c>
      <c r="F39" s="30" t="s">
        <v>24</v>
      </c>
      <c r="G39" s="30" t="s">
        <v>11</v>
      </c>
      <c r="H39" s="30" t="s">
        <v>35</v>
      </c>
      <c r="I39" s="30" t="s">
        <v>29</v>
      </c>
      <c r="J39" s="30" t="s">
        <v>46</v>
      </c>
      <c r="K39" s="30" t="s">
        <v>12</v>
      </c>
      <c r="L39" s="31" t="s">
        <v>26</v>
      </c>
    </row>
    <row r="40" spans="1:12" x14ac:dyDescent="0.2">
      <c r="A40" s="30" t="s">
        <v>44</v>
      </c>
      <c r="B40" s="30" t="s">
        <v>34</v>
      </c>
      <c r="C40" s="30" t="s">
        <v>41</v>
      </c>
      <c r="D40" s="30" t="s">
        <v>31</v>
      </c>
      <c r="E40" s="30" t="s">
        <v>36</v>
      </c>
      <c r="F40" s="30" t="s">
        <v>24</v>
      </c>
      <c r="G40" s="30" t="s">
        <v>11</v>
      </c>
      <c r="H40" s="30" t="s">
        <v>35</v>
      </c>
      <c r="I40" s="30" t="s">
        <v>39</v>
      </c>
      <c r="J40" s="30" t="s">
        <v>46</v>
      </c>
      <c r="K40" s="30" t="s">
        <v>17</v>
      </c>
      <c r="L40" s="31" t="s">
        <v>26</v>
      </c>
    </row>
    <row r="41" spans="1:12" x14ac:dyDescent="0.2">
      <c r="A41" s="30" t="s">
        <v>45</v>
      </c>
      <c r="B41" s="30" t="s">
        <v>34</v>
      </c>
      <c r="C41" s="30" t="s">
        <v>41</v>
      </c>
      <c r="D41" s="30" t="s">
        <v>33</v>
      </c>
      <c r="E41" s="30" t="s">
        <v>36</v>
      </c>
      <c r="F41" s="30" t="s">
        <v>24</v>
      </c>
      <c r="G41" s="30" t="s">
        <v>11</v>
      </c>
      <c r="H41" s="30" t="s">
        <v>35</v>
      </c>
      <c r="I41" s="30" t="s">
        <v>39</v>
      </c>
      <c r="J41" s="30" t="s">
        <v>46</v>
      </c>
      <c r="K41" s="30" t="s">
        <v>12</v>
      </c>
      <c r="L41" s="31" t="s">
        <v>26</v>
      </c>
    </row>
    <row r="42" spans="1:12" x14ac:dyDescent="0.2">
      <c r="A42" s="30" t="s">
        <v>44</v>
      </c>
      <c r="B42" s="30" t="s">
        <v>34</v>
      </c>
      <c r="C42" s="30" t="s">
        <v>41</v>
      </c>
      <c r="D42" s="30" t="s">
        <v>31</v>
      </c>
      <c r="E42" s="30" t="s">
        <v>36</v>
      </c>
      <c r="F42" s="30" t="s">
        <v>23</v>
      </c>
      <c r="G42" s="30" t="s">
        <v>11</v>
      </c>
      <c r="H42" s="30" t="s">
        <v>16</v>
      </c>
      <c r="I42" s="30" t="s">
        <v>29</v>
      </c>
      <c r="J42" s="30" t="s">
        <v>46</v>
      </c>
      <c r="K42" s="30" t="s">
        <v>12</v>
      </c>
      <c r="L42" s="30" t="s">
        <v>25</v>
      </c>
    </row>
    <row r="43" spans="1:12" x14ac:dyDescent="0.2">
      <c r="A43" s="30" t="s">
        <v>44</v>
      </c>
      <c r="B43" s="30" t="s">
        <v>34</v>
      </c>
      <c r="C43" s="30" t="s">
        <v>40</v>
      </c>
      <c r="D43" s="30" t="s">
        <v>31</v>
      </c>
      <c r="E43" s="30" t="s">
        <v>36</v>
      </c>
      <c r="F43" s="30" t="s">
        <v>24</v>
      </c>
      <c r="G43" s="30" t="s">
        <v>11</v>
      </c>
      <c r="H43" s="30" t="s">
        <v>16</v>
      </c>
      <c r="I43" s="30" t="s">
        <v>39</v>
      </c>
      <c r="J43" s="30" t="s">
        <v>46</v>
      </c>
      <c r="K43" s="30" t="s">
        <v>12</v>
      </c>
      <c r="L43" s="30" t="s">
        <v>25</v>
      </c>
    </row>
    <row r="44" spans="1:12" x14ac:dyDescent="0.2">
      <c r="A44" s="30" t="s">
        <v>44</v>
      </c>
      <c r="B44" s="30" t="s">
        <v>34</v>
      </c>
      <c r="C44" s="30" t="s">
        <v>40</v>
      </c>
      <c r="D44" s="30" t="s">
        <v>31</v>
      </c>
      <c r="E44" s="30" t="s">
        <v>36</v>
      </c>
      <c r="F44" s="30" t="s">
        <v>24</v>
      </c>
      <c r="G44" s="30" t="s">
        <v>11</v>
      </c>
      <c r="H44" s="30" t="s">
        <v>35</v>
      </c>
      <c r="I44" s="30" t="s">
        <v>39</v>
      </c>
      <c r="J44" s="30" t="s">
        <v>46</v>
      </c>
      <c r="K44" s="30" t="s">
        <v>17</v>
      </c>
      <c r="L44" s="30" t="s">
        <v>25</v>
      </c>
    </row>
    <row r="45" spans="1:12" x14ac:dyDescent="0.2">
      <c r="A45" s="30" t="s">
        <v>43</v>
      </c>
      <c r="B45" s="30" t="s">
        <v>24</v>
      </c>
      <c r="C45" s="30" t="s">
        <v>40</v>
      </c>
      <c r="D45" s="30" t="s">
        <v>31</v>
      </c>
      <c r="E45" s="30" t="s">
        <v>36</v>
      </c>
      <c r="F45" s="30" t="s">
        <v>24</v>
      </c>
      <c r="G45" s="30" t="s">
        <v>11</v>
      </c>
      <c r="H45" s="30" t="s">
        <v>35</v>
      </c>
      <c r="I45" s="30" t="s">
        <v>39</v>
      </c>
      <c r="J45" s="30" t="s">
        <v>46</v>
      </c>
      <c r="K45" s="30" t="s">
        <v>17</v>
      </c>
      <c r="L45" s="31" t="s">
        <v>26</v>
      </c>
    </row>
    <row r="46" spans="1:12" x14ac:dyDescent="0.2">
      <c r="A46" s="30" t="s">
        <v>45</v>
      </c>
      <c r="B46" s="30" t="s">
        <v>34</v>
      </c>
      <c r="C46" s="30" t="s">
        <v>41</v>
      </c>
      <c r="D46" s="30" t="s">
        <v>32</v>
      </c>
      <c r="E46" s="30" t="s">
        <v>36</v>
      </c>
      <c r="F46" s="30" t="s">
        <v>23</v>
      </c>
      <c r="G46" s="30" t="s">
        <v>11</v>
      </c>
      <c r="H46" s="30" t="s">
        <v>16</v>
      </c>
      <c r="I46" s="30" t="s">
        <v>39</v>
      </c>
      <c r="J46" s="30" t="s">
        <v>46</v>
      </c>
      <c r="K46" s="30" t="s">
        <v>17</v>
      </c>
      <c r="L46" s="30" t="s">
        <v>25</v>
      </c>
    </row>
    <row r="47" spans="1:12" x14ac:dyDescent="0.2">
      <c r="A47" s="30" t="s">
        <v>45</v>
      </c>
      <c r="B47" s="30" t="s">
        <v>24</v>
      </c>
      <c r="C47" s="30" t="s">
        <v>41</v>
      </c>
      <c r="D47" s="30" t="s">
        <v>31</v>
      </c>
      <c r="E47" s="30" t="s">
        <v>36</v>
      </c>
      <c r="F47" s="30" t="s">
        <v>24</v>
      </c>
      <c r="G47" s="30" t="s">
        <v>11</v>
      </c>
      <c r="H47" s="30" t="s">
        <v>16</v>
      </c>
      <c r="I47" s="30" t="s">
        <v>28</v>
      </c>
      <c r="J47" s="30" t="s">
        <v>46</v>
      </c>
      <c r="K47" s="30" t="s">
        <v>12</v>
      </c>
      <c r="L47" s="31" t="s">
        <v>26</v>
      </c>
    </row>
    <row r="48" spans="1:12" x14ac:dyDescent="0.2">
      <c r="A48" s="30" t="s">
        <v>45</v>
      </c>
      <c r="B48" s="30" t="s">
        <v>24</v>
      </c>
      <c r="C48" s="30" t="s">
        <v>41</v>
      </c>
      <c r="D48" s="30" t="s">
        <v>31</v>
      </c>
      <c r="E48" s="30" t="s">
        <v>36</v>
      </c>
      <c r="F48" s="30" t="s">
        <v>23</v>
      </c>
      <c r="G48" s="30" t="s">
        <v>11</v>
      </c>
      <c r="H48" s="30" t="s">
        <v>20</v>
      </c>
      <c r="I48" s="30" t="s">
        <v>39</v>
      </c>
      <c r="J48" s="30" t="s">
        <v>49</v>
      </c>
      <c r="K48" s="30" t="s">
        <v>17</v>
      </c>
      <c r="L48" s="31" t="s">
        <v>26</v>
      </c>
    </row>
    <row r="49" spans="1:12" x14ac:dyDescent="0.2">
      <c r="A49" s="30" t="s">
        <v>43</v>
      </c>
      <c r="B49" s="30" t="s">
        <v>24</v>
      </c>
      <c r="C49" s="30" t="s">
        <v>40</v>
      </c>
      <c r="D49" s="30" t="s">
        <v>31</v>
      </c>
      <c r="E49" s="30" t="s">
        <v>36</v>
      </c>
      <c r="F49" s="30" t="s">
        <v>24</v>
      </c>
      <c r="G49" s="30" t="s">
        <v>11</v>
      </c>
      <c r="H49" s="30" t="s">
        <v>20</v>
      </c>
      <c r="I49" s="30" t="s">
        <v>39</v>
      </c>
      <c r="J49" s="30" t="s">
        <v>46</v>
      </c>
      <c r="K49" s="30" t="s">
        <v>12</v>
      </c>
      <c r="L49" s="31" t="s">
        <v>26</v>
      </c>
    </row>
    <row r="50" spans="1:12" x14ac:dyDescent="0.2">
      <c r="A50" s="30" t="s">
        <v>45</v>
      </c>
      <c r="B50" s="30" t="s">
        <v>24</v>
      </c>
      <c r="C50" s="30" t="s">
        <v>40</v>
      </c>
      <c r="D50" s="30" t="s">
        <v>32</v>
      </c>
      <c r="E50" s="30" t="s">
        <v>36</v>
      </c>
      <c r="F50" s="30" t="s">
        <v>23</v>
      </c>
      <c r="G50" s="30" t="s">
        <v>11</v>
      </c>
      <c r="H50" s="30" t="s">
        <v>35</v>
      </c>
      <c r="I50" s="30" t="s">
        <v>39</v>
      </c>
      <c r="J50" s="30" t="s">
        <v>46</v>
      </c>
      <c r="K50" s="30" t="s">
        <v>17</v>
      </c>
      <c r="L50" s="31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topLeftCell="A14" zoomScale="113" zoomScaleNormal="113" zoomScalePageLayoutView="113" workbookViewId="0">
      <selection activeCell="J28" sqref="J28"/>
    </sheetView>
  </sheetViews>
  <sheetFormatPr baseColWidth="10" defaultRowHeight="16" x14ac:dyDescent="0.2"/>
  <sheetData>
    <row r="1" spans="1:13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22</v>
      </c>
    </row>
    <row r="2" spans="1:13" x14ac:dyDescent="0.2">
      <c r="A2" s="1">
        <v>1</v>
      </c>
      <c r="B2" s="1" t="s">
        <v>45</v>
      </c>
      <c r="C2" s="1" t="s">
        <v>24</v>
      </c>
      <c r="D2" s="1" t="s">
        <v>41</v>
      </c>
      <c r="E2" s="1" t="s">
        <v>31</v>
      </c>
      <c r="F2" s="1" t="s">
        <v>37</v>
      </c>
      <c r="G2" s="1" t="s">
        <v>23</v>
      </c>
      <c r="H2" s="1" t="s">
        <v>11</v>
      </c>
      <c r="I2" s="1" t="s">
        <v>35</v>
      </c>
      <c r="J2" s="1" t="s">
        <v>39</v>
      </c>
      <c r="K2" s="1">
        <f>0</f>
        <v>0</v>
      </c>
      <c r="L2" s="1" t="s">
        <v>12</v>
      </c>
      <c r="M2" s="27" t="s">
        <v>26</v>
      </c>
    </row>
    <row r="3" spans="1:13" x14ac:dyDescent="0.2">
      <c r="A3" s="1">
        <v>2</v>
      </c>
      <c r="B3" s="1" t="s">
        <v>45</v>
      </c>
      <c r="C3" s="1" t="s">
        <v>24</v>
      </c>
      <c r="D3" s="28" t="s">
        <v>41</v>
      </c>
      <c r="E3" s="1" t="s">
        <v>31</v>
      </c>
      <c r="F3" s="1" t="s">
        <v>36</v>
      </c>
      <c r="G3" s="1" t="s">
        <v>23</v>
      </c>
      <c r="H3" s="1" t="s">
        <v>11</v>
      </c>
      <c r="I3" s="1" t="s">
        <v>13</v>
      </c>
      <c r="J3" s="1" t="s">
        <v>29</v>
      </c>
      <c r="K3" s="1">
        <f>0</f>
        <v>0</v>
      </c>
      <c r="L3" s="1" t="s">
        <v>12</v>
      </c>
      <c r="M3" s="27" t="s">
        <v>26</v>
      </c>
    </row>
    <row r="4" spans="1:13" x14ac:dyDescent="0.2">
      <c r="A4" s="1">
        <v>3</v>
      </c>
      <c r="B4" s="28" t="s">
        <v>45</v>
      </c>
      <c r="C4" s="1" t="s">
        <v>24</v>
      </c>
      <c r="D4" s="28" t="s">
        <v>41</v>
      </c>
      <c r="E4" s="1" t="s">
        <v>31</v>
      </c>
      <c r="F4" s="1" t="s">
        <v>36</v>
      </c>
      <c r="G4" s="1" t="s">
        <v>24</v>
      </c>
      <c r="H4" s="1" t="s">
        <v>11</v>
      </c>
      <c r="I4" s="1" t="s">
        <v>14</v>
      </c>
      <c r="J4" s="1" t="s">
        <v>29</v>
      </c>
      <c r="K4" s="1">
        <f>0</f>
        <v>0</v>
      </c>
      <c r="L4" s="1" t="s">
        <v>15</v>
      </c>
      <c r="M4" s="29" t="s">
        <v>26</v>
      </c>
    </row>
    <row r="5" spans="1:13" x14ac:dyDescent="0.2">
      <c r="A5" s="1">
        <v>4</v>
      </c>
      <c r="B5" s="1" t="s">
        <v>44</v>
      </c>
      <c r="C5" s="1" t="s">
        <v>34</v>
      </c>
      <c r="D5" s="1" t="s">
        <v>40</v>
      </c>
      <c r="E5" s="28" t="s">
        <v>31</v>
      </c>
      <c r="F5" s="1" t="s">
        <v>37</v>
      </c>
      <c r="G5" s="1" t="s">
        <v>23</v>
      </c>
      <c r="H5" s="1" t="s">
        <v>11</v>
      </c>
      <c r="I5" s="1" t="s">
        <v>16</v>
      </c>
      <c r="J5" s="28" t="s">
        <v>39</v>
      </c>
      <c r="K5" s="1">
        <f>0.726458214</f>
        <v>0.72645821399999999</v>
      </c>
      <c r="L5" s="1" t="s">
        <v>17</v>
      </c>
      <c r="M5" s="1" t="s">
        <v>25</v>
      </c>
    </row>
    <row r="6" spans="1:13" x14ac:dyDescent="0.2">
      <c r="A6" s="1">
        <v>5</v>
      </c>
      <c r="B6" s="1" t="s">
        <v>43</v>
      </c>
      <c r="C6" s="1" t="s">
        <v>24</v>
      </c>
      <c r="D6" s="1" t="s">
        <v>40</v>
      </c>
      <c r="E6" s="1" t="s">
        <v>32</v>
      </c>
      <c r="F6" s="1" t="s">
        <v>36</v>
      </c>
      <c r="G6" s="1" t="s">
        <v>23</v>
      </c>
      <c r="H6" s="1" t="s">
        <v>11</v>
      </c>
      <c r="I6" s="1" t="s">
        <v>16</v>
      </c>
      <c r="J6" s="53" t="s">
        <v>30</v>
      </c>
      <c r="K6" s="1">
        <f>0</f>
        <v>0</v>
      </c>
      <c r="L6" s="1" t="s">
        <v>12</v>
      </c>
      <c r="M6" s="113" t="s">
        <v>26</v>
      </c>
    </row>
    <row r="7" spans="1:13" x14ac:dyDescent="0.2">
      <c r="A7" s="1">
        <v>6</v>
      </c>
      <c r="B7" s="1" t="s">
        <v>43</v>
      </c>
      <c r="C7" s="1" t="s">
        <v>24</v>
      </c>
      <c r="D7" s="1" t="s">
        <v>40</v>
      </c>
      <c r="E7" s="28" t="s">
        <v>31</v>
      </c>
      <c r="F7" s="1" t="s">
        <v>36</v>
      </c>
      <c r="G7" s="1" t="s">
        <v>23</v>
      </c>
      <c r="H7" s="27" t="s">
        <v>11</v>
      </c>
      <c r="I7" s="1" t="s">
        <v>14</v>
      </c>
      <c r="J7" s="53" t="s">
        <v>30</v>
      </c>
      <c r="K7" s="1">
        <f>0.557983818</f>
        <v>0.55798381799999996</v>
      </c>
      <c r="L7" s="1" t="s">
        <v>12</v>
      </c>
      <c r="M7" s="1" t="s">
        <v>27</v>
      </c>
    </row>
    <row r="8" spans="1:13" x14ac:dyDescent="0.2">
      <c r="A8" s="1">
        <v>7</v>
      </c>
      <c r="B8" s="1" t="s">
        <v>45</v>
      </c>
      <c r="C8" s="1" t="s">
        <v>24</v>
      </c>
      <c r="D8" s="28" t="s">
        <v>41</v>
      </c>
      <c r="E8" s="28" t="s">
        <v>31</v>
      </c>
      <c r="F8" s="1" t="s">
        <v>36</v>
      </c>
      <c r="G8" s="1" t="s">
        <v>23</v>
      </c>
      <c r="H8" s="1" t="s">
        <v>11</v>
      </c>
      <c r="I8" s="1" t="s">
        <v>16</v>
      </c>
      <c r="J8" s="1" t="s">
        <v>28</v>
      </c>
      <c r="K8" s="1">
        <f>0</f>
        <v>0</v>
      </c>
      <c r="L8" s="1" t="s">
        <v>17</v>
      </c>
      <c r="M8" s="29" t="s">
        <v>26</v>
      </c>
    </row>
    <row r="9" spans="1:13" x14ac:dyDescent="0.2">
      <c r="A9" s="1">
        <v>8</v>
      </c>
      <c r="B9" s="28" t="s">
        <v>44</v>
      </c>
      <c r="C9" s="28" t="s">
        <v>34</v>
      </c>
      <c r="D9" s="28" t="s">
        <v>41</v>
      </c>
      <c r="E9" s="28" t="s">
        <v>31</v>
      </c>
      <c r="F9" s="1" t="s">
        <v>36</v>
      </c>
      <c r="G9" s="1" t="s">
        <v>23</v>
      </c>
      <c r="H9" s="1" t="s">
        <v>11</v>
      </c>
      <c r="I9" s="1" t="s">
        <v>16</v>
      </c>
      <c r="J9" s="28" t="s">
        <v>39</v>
      </c>
      <c r="K9" s="1">
        <f>0</f>
        <v>0</v>
      </c>
      <c r="L9" s="1" t="s">
        <v>15</v>
      </c>
      <c r="M9" s="114" t="s">
        <v>25</v>
      </c>
    </row>
    <row r="10" spans="1:13" x14ac:dyDescent="0.2">
      <c r="A10" s="1">
        <v>9</v>
      </c>
      <c r="B10" s="1" t="s">
        <v>45</v>
      </c>
      <c r="C10" s="1" t="s">
        <v>24</v>
      </c>
      <c r="D10" s="28" t="s">
        <v>41</v>
      </c>
      <c r="E10" s="1" t="s">
        <v>33</v>
      </c>
      <c r="F10" s="1" t="s">
        <v>36</v>
      </c>
      <c r="G10" s="1" t="s">
        <v>23</v>
      </c>
      <c r="H10" s="1" t="s">
        <v>11</v>
      </c>
      <c r="I10" s="1" t="s">
        <v>14</v>
      </c>
      <c r="J10" s="28" t="s">
        <v>30</v>
      </c>
      <c r="K10" s="1">
        <f>0.118294353</f>
        <v>0.118294353</v>
      </c>
      <c r="L10" s="1" t="s">
        <v>15</v>
      </c>
      <c r="M10" s="29" t="s">
        <v>26</v>
      </c>
    </row>
    <row r="11" spans="1:13" x14ac:dyDescent="0.2">
      <c r="A11" s="1">
        <v>10</v>
      </c>
      <c r="B11" s="1" t="s">
        <v>44</v>
      </c>
      <c r="C11" s="28" t="s">
        <v>24</v>
      </c>
      <c r="D11" s="28" t="s">
        <v>41</v>
      </c>
      <c r="E11" s="28" t="s">
        <v>31</v>
      </c>
      <c r="F11" s="1" t="s">
        <v>36</v>
      </c>
      <c r="G11" s="1" t="s">
        <v>23</v>
      </c>
      <c r="H11" s="1" t="s">
        <v>11</v>
      </c>
      <c r="I11" s="1" t="s">
        <v>14</v>
      </c>
      <c r="J11" s="1" t="s">
        <v>28</v>
      </c>
      <c r="K11" s="1">
        <f>0</f>
        <v>0</v>
      </c>
      <c r="L11" s="1" t="s">
        <v>12</v>
      </c>
      <c r="M11" s="29" t="s">
        <v>26</v>
      </c>
    </row>
    <row r="12" spans="1:13" x14ac:dyDescent="0.2">
      <c r="A12" s="1">
        <v>11</v>
      </c>
      <c r="B12" s="1" t="s">
        <v>43</v>
      </c>
      <c r="C12" s="1" t="s">
        <v>24</v>
      </c>
      <c r="D12" s="1" t="s">
        <v>40</v>
      </c>
      <c r="E12" s="28" t="s">
        <v>31</v>
      </c>
      <c r="F12" s="28" t="s">
        <v>37</v>
      </c>
      <c r="G12" s="1" t="s">
        <v>23</v>
      </c>
      <c r="H12" s="1" t="s">
        <v>18</v>
      </c>
      <c r="I12" s="1" t="s">
        <v>13</v>
      </c>
      <c r="J12" s="28" t="s">
        <v>29</v>
      </c>
      <c r="K12" s="1">
        <f>0.935028137</f>
        <v>0.93502813699999998</v>
      </c>
      <c r="L12" s="1" t="s">
        <v>15</v>
      </c>
      <c r="M12" s="29" t="s">
        <v>26</v>
      </c>
    </row>
    <row r="13" spans="1:13" x14ac:dyDescent="0.2">
      <c r="A13" s="1">
        <v>12</v>
      </c>
      <c r="B13" s="1" t="s">
        <v>45</v>
      </c>
      <c r="C13" s="28" t="s">
        <v>34</v>
      </c>
      <c r="D13" s="28" t="s">
        <v>41</v>
      </c>
      <c r="E13" s="28" t="s">
        <v>31</v>
      </c>
      <c r="F13" s="1" t="s">
        <v>36</v>
      </c>
      <c r="G13" s="1" t="s">
        <v>24</v>
      </c>
      <c r="H13" s="1" t="s">
        <v>11</v>
      </c>
      <c r="I13" s="1" t="s">
        <v>13</v>
      </c>
      <c r="J13" s="1" t="s">
        <v>28</v>
      </c>
      <c r="K13" s="1">
        <f>0</f>
        <v>0</v>
      </c>
      <c r="L13" s="1" t="s">
        <v>12</v>
      </c>
      <c r="M13" s="1" t="s">
        <v>25</v>
      </c>
    </row>
    <row r="14" spans="1:13" x14ac:dyDescent="0.2">
      <c r="A14" s="1">
        <v>13</v>
      </c>
      <c r="B14" s="1" t="s">
        <v>45</v>
      </c>
      <c r="C14" s="1" t="s">
        <v>24</v>
      </c>
      <c r="D14" s="28" t="s">
        <v>41</v>
      </c>
      <c r="E14" s="1" t="s">
        <v>32</v>
      </c>
      <c r="F14" s="1" t="s">
        <v>36</v>
      </c>
      <c r="G14" s="1" t="s">
        <v>23</v>
      </c>
      <c r="H14" s="1" t="s">
        <v>11</v>
      </c>
      <c r="I14" s="1" t="s">
        <v>19</v>
      </c>
      <c r="J14" s="28" t="s">
        <v>39</v>
      </c>
      <c r="K14" s="1">
        <f>0</f>
        <v>0</v>
      </c>
      <c r="L14" s="1" t="s">
        <v>12</v>
      </c>
      <c r="M14" s="28" t="s">
        <v>25</v>
      </c>
    </row>
    <row r="15" spans="1:13" x14ac:dyDescent="0.2">
      <c r="A15" s="1">
        <v>14</v>
      </c>
      <c r="B15" s="1" t="s">
        <v>45</v>
      </c>
      <c r="C15" s="28" t="s">
        <v>34</v>
      </c>
      <c r="D15" s="28" t="s">
        <v>41</v>
      </c>
      <c r="E15" s="28" t="s">
        <v>31</v>
      </c>
      <c r="F15" s="28" t="s">
        <v>37</v>
      </c>
      <c r="G15" s="1" t="s">
        <v>23</v>
      </c>
      <c r="H15" s="1" t="s">
        <v>11</v>
      </c>
      <c r="I15" s="1" t="s">
        <v>14</v>
      </c>
      <c r="J15" s="28" t="s">
        <v>29</v>
      </c>
      <c r="K15" s="1">
        <f>0</f>
        <v>0</v>
      </c>
      <c r="L15" s="1" t="s">
        <v>17</v>
      </c>
      <c r="M15" s="114" t="s">
        <v>25</v>
      </c>
    </row>
    <row r="16" spans="1:13" x14ac:dyDescent="0.2">
      <c r="A16" s="1">
        <v>15</v>
      </c>
      <c r="B16" s="28" t="s">
        <v>43</v>
      </c>
      <c r="C16" s="1" t="s">
        <v>34</v>
      </c>
      <c r="D16" s="1" t="s">
        <v>40</v>
      </c>
      <c r="E16" s="28" t="s">
        <v>31</v>
      </c>
      <c r="F16" s="28" t="s">
        <v>37</v>
      </c>
      <c r="G16" s="1" t="s">
        <v>24</v>
      </c>
      <c r="H16" s="1" t="s">
        <v>11</v>
      </c>
      <c r="I16" s="1" t="s">
        <v>16</v>
      </c>
      <c r="J16" s="28" t="s">
        <v>39</v>
      </c>
      <c r="K16" s="1">
        <f>0.642742367</f>
        <v>0.64274236699999998</v>
      </c>
      <c r="L16" s="1" t="s">
        <v>12</v>
      </c>
      <c r="M16" s="28" t="s">
        <v>25</v>
      </c>
    </row>
    <row r="17" spans="1:13" x14ac:dyDescent="0.2">
      <c r="A17" s="1">
        <v>16</v>
      </c>
      <c r="B17" s="28" t="s">
        <v>45</v>
      </c>
      <c r="C17" s="28" t="s">
        <v>24</v>
      </c>
      <c r="D17" s="28" t="s">
        <v>41</v>
      </c>
      <c r="E17" s="1" t="s">
        <v>32</v>
      </c>
      <c r="F17" s="28" t="s">
        <v>37</v>
      </c>
      <c r="G17" s="1" t="s">
        <v>23</v>
      </c>
      <c r="H17" s="1" t="s">
        <v>11</v>
      </c>
      <c r="I17" s="1" t="s">
        <v>16</v>
      </c>
      <c r="J17" s="28" t="s">
        <v>39</v>
      </c>
      <c r="K17" s="1">
        <f>0</f>
        <v>0</v>
      </c>
      <c r="L17" s="1" t="s">
        <v>12</v>
      </c>
      <c r="M17" s="114" t="s">
        <v>25</v>
      </c>
    </row>
    <row r="18" spans="1:13" x14ac:dyDescent="0.2">
      <c r="A18" s="1">
        <v>17</v>
      </c>
      <c r="B18" s="28" t="s">
        <v>43</v>
      </c>
      <c r="C18" s="28" t="s">
        <v>34</v>
      </c>
      <c r="D18" s="28" t="s">
        <v>41</v>
      </c>
      <c r="E18" s="28" t="s">
        <v>31</v>
      </c>
      <c r="F18" s="1" t="s">
        <v>36</v>
      </c>
      <c r="G18" s="1" t="s">
        <v>24</v>
      </c>
      <c r="H18" s="1" t="s">
        <v>11</v>
      </c>
      <c r="I18" s="1" t="s">
        <v>16</v>
      </c>
      <c r="J18" s="28" t="s">
        <v>39</v>
      </c>
      <c r="K18" s="1">
        <f>0</f>
        <v>0</v>
      </c>
      <c r="L18" s="1" t="s">
        <v>12</v>
      </c>
      <c r="M18" s="29" t="s">
        <v>26</v>
      </c>
    </row>
    <row r="19" spans="1:13" x14ac:dyDescent="0.2">
      <c r="A19" s="1">
        <v>18</v>
      </c>
      <c r="B19" s="28" t="s">
        <v>44</v>
      </c>
      <c r="C19" s="28" t="s">
        <v>24</v>
      </c>
      <c r="D19" s="1" t="s">
        <v>40</v>
      </c>
      <c r="E19" s="1" t="s">
        <v>33</v>
      </c>
      <c r="F19" s="28" t="s">
        <v>36</v>
      </c>
      <c r="G19" s="1" t="s">
        <v>23</v>
      </c>
      <c r="H19" s="1" t="s">
        <v>11</v>
      </c>
      <c r="I19" s="1" t="s">
        <v>14</v>
      </c>
      <c r="J19" s="28" t="s">
        <v>39</v>
      </c>
      <c r="K19" s="1">
        <f>0.479284269</f>
        <v>0.47928426899999999</v>
      </c>
      <c r="L19" s="1" t="s">
        <v>15</v>
      </c>
      <c r="M19" s="10" t="s">
        <v>26</v>
      </c>
    </row>
    <row r="20" spans="1:13" x14ac:dyDescent="0.2">
      <c r="A20" s="1">
        <v>19</v>
      </c>
      <c r="B20" s="28" t="s">
        <v>45</v>
      </c>
      <c r="C20" s="1" t="s">
        <v>34</v>
      </c>
      <c r="D20" s="1" t="s">
        <v>40</v>
      </c>
      <c r="E20" s="28" t="s">
        <v>31</v>
      </c>
      <c r="F20" s="1" t="s">
        <v>36</v>
      </c>
      <c r="G20" s="1" t="s">
        <v>24</v>
      </c>
      <c r="H20" s="1" t="s">
        <v>11</v>
      </c>
      <c r="I20" s="1" t="s">
        <v>20</v>
      </c>
      <c r="J20" s="28" t="s">
        <v>29</v>
      </c>
      <c r="K20" s="1">
        <f>0</f>
        <v>0</v>
      </c>
      <c r="L20" s="1" t="s">
        <v>12</v>
      </c>
      <c r="M20" s="28" t="s">
        <v>26</v>
      </c>
    </row>
    <row r="21" spans="1:13" x14ac:dyDescent="0.2">
      <c r="A21" s="1">
        <v>20</v>
      </c>
      <c r="B21" s="1" t="s">
        <v>44</v>
      </c>
      <c r="C21" s="1" t="s">
        <v>34</v>
      </c>
      <c r="D21" s="28" t="s">
        <v>41</v>
      </c>
      <c r="E21" s="28" t="s">
        <v>31</v>
      </c>
      <c r="F21" s="28" t="s">
        <v>37</v>
      </c>
      <c r="G21" s="1" t="s">
        <v>24</v>
      </c>
      <c r="H21" s="1" t="s">
        <v>21</v>
      </c>
      <c r="I21" s="1" t="s">
        <v>16</v>
      </c>
      <c r="J21" s="1" t="s">
        <v>28</v>
      </c>
      <c r="K21" s="1">
        <f>0.564576611</f>
        <v>0.56457661100000001</v>
      </c>
      <c r="L21" s="1" t="s">
        <v>12</v>
      </c>
      <c r="M21" s="29" t="s">
        <v>26</v>
      </c>
    </row>
    <row r="22" spans="1:13" x14ac:dyDescent="0.2">
      <c r="A22" s="1">
        <v>21</v>
      </c>
      <c r="B22" s="28" t="s">
        <v>45</v>
      </c>
      <c r="C22" s="1" t="s">
        <v>34</v>
      </c>
      <c r="D22" s="28" t="s">
        <v>41</v>
      </c>
      <c r="E22" s="28" t="s">
        <v>31</v>
      </c>
      <c r="F22" s="28" t="s">
        <v>37</v>
      </c>
      <c r="G22" s="1" t="s">
        <v>24</v>
      </c>
      <c r="H22" s="1" t="s">
        <v>11</v>
      </c>
      <c r="I22" s="1" t="s">
        <v>14</v>
      </c>
      <c r="J22" s="28" t="s">
        <v>39</v>
      </c>
      <c r="K22" s="1">
        <f>0</f>
        <v>0</v>
      </c>
      <c r="L22" s="1" t="s">
        <v>12</v>
      </c>
      <c r="M22" s="60" t="s">
        <v>25</v>
      </c>
    </row>
    <row r="23" spans="1:13" x14ac:dyDescent="0.2">
      <c r="A23" s="1">
        <v>22</v>
      </c>
      <c r="B23" s="28" t="s">
        <v>44</v>
      </c>
      <c r="C23" s="1" t="s">
        <v>24</v>
      </c>
      <c r="D23" s="1" t="s">
        <v>40</v>
      </c>
      <c r="E23" s="28" t="s">
        <v>31</v>
      </c>
      <c r="F23" s="1" t="s">
        <v>36</v>
      </c>
      <c r="G23" s="1" t="s">
        <v>23</v>
      </c>
      <c r="H23" s="1" t="s">
        <v>11</v>
      </c>
      <c r="I23" s="1" t="s">
        <v>16</v>
      </c>
      <c r="J23" s="28" t="s">
        <v>39</v>
      </c>
      <c r="K23" s="1">
        <f>0.958430808</f>
        <v>0.95843080800000002</v>
      </c>
      <c r="L23" s="1" t="s">
        <v>12</v>
      </c>
      <c r="M23" s="29" t="s">
        <v>26</v>
      </c>
    </row>
    <row r="24" spans="1:13" x14ac:dyDescent="0.2">
      <c r="A24" s="1">
        <v>23</v>
      </c>
      <c r="B24" s="28" t="s">
        <v>44</v>
      </c>
      <c r="C24" s="28" t="s">
        <v>34</v>
      </c>
      <c r="D24" s="1" t="s">
        <v>40</v>
      </c>
      <c r="E24" s="28" t="s">
        <v>31</v>
      </c>
      <c r="F24" s="1" t="s">
        <v>36</v>
      </c>
      <c r="G24" s="1" t="s">
        <v>24</v>
      </c>
      <c r="H24" s="1" t="s">
        <v>11</v>
      </c>
      <c r="I24" s="1" t="s">
        <v>16</v>
      </c>
      <c r="J24" s="28" t="s">
        <v>39</v>
      </c>
      <c r="K24" s="1">
        <f>0.842636706</f>
        <v>0.84263670599999996</v>
      </c>
      <c r="L24" s="1" t="s">
        <v>15</v>
      </c>
      <c r="M24" s="29" t="s">
        <v>26</v>
      </c>
    </row>
    <row r="25" spans="1:13" x14ac:dyDescent="0.2">
      <c r="A25" s="1">
        <v>24</v>
      </c>
      <c r="B25" s="28" t="s">
        <v>43</v>
      </c>
      <c r="C25" s="28" t="s">
        <v>24</v>
      </c>
      <c r="D25" s="1" t="s">
        <v>40</v>
      </c>
      <c r="E25" s="28" t="s">
        <v>31</v>
      </c>
      <c r="F25" s="1" t="s">
        <v>36</v>
      </c>
      <c r="G25" s="1" t="s">
        <v>24</v>
      </c>
      <c r="H25" s="1" t="s">
        <v>11</v>
      </c>
      <c r="I25" s="1" t="s">
        <v>35</v>
      </c>
      <c r="J25" s="28" t="s">
        <v>29</v>
      </c>
      <c r="K25" s="1">
        <f>0</f>
        <v>0</v>
      </c>
      <c r="L25" s="1" t="s">
        <v>12</v>
      </c>
      <c r="M25" s="29" t="s">
        <v>26</v>
      </c>
    </row>
    <row r="26" spans="1:13" x14ac:dyDescent="0.2">
      <c r="A26" s="1">
        <v>25</v>
      </c>
      <c r="B26" s="28" t="s">
        <v>44</v>
      </c>
      <c r="C26" s="28" t="s">
        <v>34</v>
      </c>
      <c r="D26" s="28" t="s">
        <v>41</v>
      </c>
      <c r="E26" s="28" t="s">
        <v>31</v>
      </c>
      <c r="F26" s="1" t="s">
        <v>36</v>
      </c>
      <c r="G26" s="1" t="s">
        <v>24</v>
      </c>
      <c r="H26" s="1" t="s">
        <v>11</v>
      </c>
      <c r="I26" s="1" t="s">
        <v>35</v>
      </c>
      <c r="J26" s="28" t="s">
        <v>39</v>
      </c>
      <c r="K26" s="1">
        <f>0</f>
        <v>0</v>
      </c>
      <c r="L26" s="1" t="s">
        <v>17</v>
      </c>
      <c r="M26" s="29" t="s">
        <v>26</v>
      </c>
    </row>
    <row r="27" spans="1:13" x14ac:dyDescent="0.2">
      <c r="A27" s="1">
        <v>26</v>
      </c>
      <c r="B27" s="1" t="s">
        <v>45</v>
      </c>
      <c r="C27" s="1" t="s">
        <v>24</v>
      </c>
      <c r="D27" s="28" t="s">
        <v>41</v>
      </c>
      <c r="E27" s="1" t="s">
        <v>33</v>
      </c>
      <c r="F27" s="1" t="s">
        <v>36</v>
      </c>
      <c r="G27" s="1" t="s">
        <v>24</v>
      </c>
      <c r="H27" s="1" t="s">
        <v>11</v>
      </c>
      <c r="I27" s="1" t="s">
        <v>35</v>
      </c>
      <c r="J27" s="28" t="s">
        <v>39</v>
      </c>
      <c r="K27" s="1">
        <f>0</f>
        <v>0</v>
      </c>
      <c r="L27" s="1" t="s">
        <v>12</v>
      </c>
      <c r="M27" s="29" t="s">
        <v>26</v>
      </c>
    </row>
    <row r="28" spans="1:13" x14ac:dyDescent="0.2">
      <c r="A28" s="1">
        <v>27</v>
      </c>
      <c r="B28" s="1" t="s">
        <v>44</v>
      </c>
      <c r="C28" s="1" t="s">
        <v>34</v>
      </c>
      <c r="D28" s="28" t="s">
        <v>41</v>
      </c>
      <c r="E28" s="28" t="s">
        <v>31</v>
      </c>
      <c r="F28" s="1" t="s">
        <v>36</v>
      </c>
      <c r="G28" s="1" t="s">
        <v>23</v>
      </c>
      <c r="H28" s="1" t="s">
        <v>11</v>
      </c>
      <c r="I28" s="1" t="s">
        <v>16</v>
      </c>
      <c r="J28" s="120" t="s">
        <v>28</v>
      </c>
      <c r="K28" s="1">
        <f>0</f>
        <v>0</v>
      </c>
      <c r="L28" s="1" t="s">
        <v>12</v>
      </c>
      <c r="M28" s="28" t="s">
        <v>25</v>
      </c>
    </row>
    <row r="29" spans="1:13" x14ac:dyDescent="0.2">
      <c r="A29" s="1">
        <v>28</v>
      </c>
      <c r="B29" s="28" t="s">
        <v>44</v>
      </c>
      <c r="C29" s="28" t="s">
        <v>24</v>
      </c>
      <c r="D29" s="28" t="s">
        <v>40</v>
      </c>
      <c r="E29" s="28" t="s">
        <v>31</v>
      </c>
      <c r="F29" s="1" t="s">
        <v>36</v>
      </c>
      <c r="G29" s="1" t="s">
        <v>24</v>
      </c>
      <c r="H29" s="1" t="s">
        <v>11</v>
      </c>
      <c r="I29" s="1" t="s">
        <v>16</v>
      </c>
      <c r="J29" s="28" t="s">
        <v>39</v>
      </c>
      <c r="K29" s="1">
        <f>0</f>
        <v>0</v>
      </c>
      <c r="L29" s="1" t="s">
        <v>12</v>
      </c>
      <c r="M29" s="28" t="s">
        <v>25</v>
      </c>
    </row>
    <row r="30" spans="1:13" x14ac:dyDescent="0.2">
      <c r="A30" s="1">
        <v>29</v>
      </c>
      <c r="B30" s="28" t="s">
        <v>44</v>
      </c>
      <c r="C30" s="28" t="s">
        <v>34</v>
      </c>
      <c r="D30" s="28" t="s">
        <v>40</v>
      </c>
      <c r="E30" s="28" t="s">
        <v>31</v>
      </c>
      <c r="F30" s="1" t="s">
        <v>36</v>
      </c>
      <c r="G30" s="1" t="s">
        <v>23</v>
      </c>
      <c r="H30" s="1" t="s">
        <v>11</v>
      </c>
      <c r="I30" s="1" t="s">
        <v>16</v>
      </c>
      <c r="J30" s="28" t="s">
        <v>39</v>
      </c>
      <c r="K30" s="1">
        <f>0.342422321</f>
        <v>0.34242232099999997</v>
      </c>
      <c r="L30" s="1" t="s">
        <v>15</v>
      </c>
      <c r="M30" s="28" t="s">
        <v>25</v>
      </c>
    </row>
    <row r="31" spans="1:13" x14ac:dyDescent="0.2">
      <c r="A31" s="1">
        <v>30</v>
      </c>
      <c r="B31" s="28" t="s">
        <v>44</v>
      </c>
      <c r="C31" s="1" t="s">
        <v>34</v>
      </c>
      <c r="D31" s="1" t="s">
        <v>40</v>
      </c>
      <c r="E31" s="28" t="s">
        <v>31</v>
      </c>
      <c r="F31" s="1" t="s">
        <v>36</v>
      </c>
      <c r="G31" s="1" t="s">
        <v>24</v>
      </c>
      <c r="H31" s="1" t="s">
        <v>11</v>
      </c>
      <c r="I31" s="1" t="s">
        <v>35</v>
      </c>
      <c r="J31" s="28" t="s">
        <v>39</v>
      </c>
      <c r="K31" s="1">
        <f>0</f>
        <v>0</v>
      </c>
      <c r="L31" s="1" t="s">
        <v>17</v>
      </c>
      <c r="M31" s="28" t="s">
        <v>25</v>
      </c>
    </row>
    <row r="32" spans="1:13" x14ac:dyDescent="0.2">
      <c r="A32" s="1">
        <v>31</v>
      </c>
      <c r="B32" s="28" t="s">
        <v>43</v>
      </c>
      <c r="C32" s="1" t="s">
        <v>24</v>
      </c>
      <c r="D32" s="1" t="s">
        <v>40</v>
      </c>
      <c r="E32" s="28" t="s">
        <v>31</v>
      </c>
      <c r="F32" s="1" t="s">
        <v>36</v>
      </c>
      <c r="G32" s="1" t="s">
        <v>24</v>
      </c>
      <c r="H32" s="1" t="s">
        <v>11</v>
      </c>
      <c r="I32" s="1" t="s">
        <v>35</v>
      </c>
      <c r="J32" s="28" t="s">
        <v>39</v>
      </c>
      <c r="K32" s="1">
        <f>0</f>
        <v>0</v>
      </c>
      <c r="L32" s="1" t="s">
        <v>17</v>
      </c>
      <c r="M32" s="29" t="s">
        <v>26</v>
      </c>
    </row>
    <row r="33" spans="1:13" x14ac:dyDescent="0.2">
      <c r="A33" s="1">
        <v>32</v>
      </c>
      <c r="B33" s="1" t="s">
        <v>45</v>
      </c>
      <c r="C33" s="1" t="s">
        <v>24</v>
      </c>
      <c r="D33" s="28" t="s">
        <v>41</v>
      </c>
      <c r="E33" s="1" t="s">
        <v>32</v>
      </c>
      <c r="F33" s="28" t="s">
        <v>36</v>
      </c>
      <c r="G33" s="1" t="s">
        <v>23</v>
      </c>
      <c r="H33" s="1" t="s">
        <v>11</v>
      </c>
      <c r="I33" s="1" t="s">
        <v>16</v>
      </c>
      <c r="J33" s="28" t="s">
        <v>39</v>
      </c>
      <c r="K33" s="1">
        <f>0</f>
        <v>0</v>
      </c>
      <c r="L33" s="1" t="s">
        <v>17</v>
      </c>
      <c r="M33" s="28" t="s">
        <v>25</v>
      </c>
    </row>
    <row r="34" spans="1:13" x14ac:dyDescent="0.2">
      <c r="A34" s="1">
        <v>33</v>
      </c>
      <c r="B34" s="1" t="s">
        <v>45</v>
      </c>
      <c r="C34" s="28" t="s">
        <v>24</v>
      </c>
      <c r="D34" s="1" t="s">
        <v>42</v>
      </c>
      <c r="E34" s="28" t="s">
        <v>31</v>
      </c>
      <c r="F34" s="1" t="s">
        <v>38</v>
      </c>
      <c r="G34" s="1" t="s">
        <v>23</v>
      </c>
      <c r="H34" s="1" t="s">
        <v>11</v>
      </c>
      <c r="I34" s="1" t="s">
        <v>16</v>
      </c>
      <c r="J34" s="28" t="s">
        <v>30</v>
      </c>
      <c r="K34" s="1">
        <f>0</f>
        <v>0</v>
      </c>
      <c r="L34" s="1" t="s">
        <v>12</v>
      </c>
      <c r="M34" s="29" t="s">
        <v>26</v>
      </c>
    </row>
    <row r="35" spans="1:13" x14ac:dyDescent="0.2">
      <c r="A35" s="1">
        <v>34</v>
      </c>
      <c r="B35" s="1" t="s">
        <v>45</v>
      </c>
      <c r="C35" s="28" t="s">
        <v>34</v>
      </c>
      <c r="D35" s="28" t="s">
        <v>41</v>
      </c>
      <c r="E35" s="28" t="s">
        <v>31</v>
      </c>
      <c r="F35" s="28" t="s">
        <v>36</v>
      </c>
      <c r="G35" s="1" t="s">
        <v>24</v>
      </c>
      <c r="H35" s="1" t="s">
        <v>11</v>
      </c>
      <c r="I35" s="1" t="s">
        <v>16</v>
      </c>
      <c r="J35" s="28" t="s">
        <v>28</v>
      </c>
      <c r="K35" s="1">
        <f>0</f>
        <v>0</v>
      </c>
      <c r="L35" s="1" t="s">
        <v>12</v>
      </c>
      <c r="M35" s="29" t="s">
        <v>26</v>
      </c>
    </row>
    <row r="36" spans="1:13" x14ac:dyDescent="0.2">
      <c r="A36" s="1">
        <v>35</v>
      </c>
      <c r="B36" s="1" t="s">
        <v>45</v>
      </c>
      <c r="C36" s="28" t="s">
        <v>24</v>
      </c>
      <c r="D36" s="28" t="s">
        <v>41</v>
      </c>
      <c r="E36" s="28" t="s">
        <v>31</v>
      </c>
      <c r="F36" s="28" t="s">
        <v>36</v>
      </c>
      <c r="G36" s="1" t="s">
        <v>23</v>
      </c>
      <c r="H36" s="1" t="s">
        <v>11</v>
      </c>
      <c r="I36" s="1" t="s">
        <v>20</v>
      </c>
      <c r="J36" s="28" t="s">
        <v>39</v>
      </c>
      <c r="K36" s="1">
        <f>0.522717209</f>
        <v>0.52271720899999996</v>
      </c>
      <c r="L36" s="1" t="s">
        <v>17</v>
      </c>
      <c r="M36" s="29" t="s">
        <v>26</v>
      </c>
    </row>
    <row r="37" spans="1:13" x14ac:dyDescent="0.2">
      <c r="A37" s="1">
        <v>36</v>
      </c>
      <c r="B37" s="28" t="s">
        <v>43</v>
      </c>
      <c r="C37" s="28" t="s">
        <v>24</v>
      </c>
      <c r="D37" s="28" t="s">
        <v>40</v>
      </c>
      <c r="E37" s="28" t="s">
        <v>31</v>
      </c>
      <c r="F37" s="1" t="s">
        <v>36</v>
      </c>
      <c r="G37" s="1" t="s">
        <v>24</v>
      </c>
      <c r="H37" s="1" t="s">
        <v>11</v>
      </c>
      <c r="I37" s="1" t="s">
        <v>20</v>
      </c>
      <c r="J37" s="28" t="s">
        <v>39</v>
      </c>
      <c r="K37" s="1">
        <f>0</f>
        <v>0</v>
      </c>
      <c r="L37" s="1" t="s">
        <v>12</v>
      </c>
      <c r="M37" s="29" t="s">
        <v>26</v>
      </c>
    </row>
    <row r="38" spans="1:13" x14ac:dyDescent="0.2">
      <c r="A38" s="1">
        <v>37</v>
      </c>
      <c r="B38" s="1" t="s">
        <v>45</v>
      </c>
      <c r="C38" s="1" t="s">
        <v>34</v>
      </c>
      <c r="D38" s="28" t="s">
        <v>41</v>
      </c>
      <c r="E38" s="28" t="s">
        <v>31</v>
      </c>
      <c r="F38" s="1" t="s">
        <v>36</v>
      </c>
      <c r="G38" s="1" t="s">
        <v>23</v>
      </c>
      <c r="H38" s="1" t="s">
        <v>11</v>
      </c>
      <c r="I38" s="1" t="s">
        <v>20</v>
      </c>
      <c r="J38" s="28" t="s">
        <v>39</v>
      </c>
      <c r="K38" s="1">
        <f>0.463905795</f>
        <v>0.46390579500000001</v>
      </c>
      <c r="L38" s="1" t="s">
        <v>15</v>
      </c>
      <c r="M38" s="28" t="s">
        <v>25</v>
      </c>
    </row>
    <row r="39" spans="1:13" x14ac:dyDescent="0.2">
      <c r="A39" s="1">
        <v>38</v>
      </c>
      <c r="B39" s="1" t="s">
        <v>45</v>
      </c>
      <c r="C39" s="1" t="s">
        <v>24</v>
      </c>
      <c r="D39" s="28" t="s">
        <v>41</v>
      </c>
      <c r="E39" s="28" t="s">
        <v>31</v>
      </c>
      <c r="F39" s="28" t="s">
        <v>36</v>
      </c>
      <c r="G39" s="1" t="s">
        <v>23</v>
      </c>
      <c r="H39" s="1" t="s">
        <v>11</v>
      </c>
      <c r="I39" s="1" t="s">
        <v>16</v>
      </c>
      <c r="J39" s="28" t="s">
        <v>39</v>
      </c>
      <c r="K39" s="1">
        <f>0.346887647</f>
        <v>0.34688764700000002</v>
      </c>
      <c r="L39" s="1" t="s">
        <v>15</v>
      </c>
      <c r="M39" s="28" t="s">
        <v>25</v>
      </c>
    </row>
    <row r="40" spans="1:13" x14ac:dyDescent="0.2">
      <c r="A40" s="1">
        <v>39</v>
      </c>
      <c r="B40" s="28" t="s">
        <v>45</v>
      </c>
      <c r="C40" s="28" t="s">
        <v>34</v>
      </c>
      <c r="D40" s="28" t="s">
        <v>40</v>
      </c>
      <c r="E40" s="1" t="s">
        <v>32</v>
      </c>
      <c r="F40" s="28" t="s">
        <v>36</v>
      </c>
      <c r="G40" s="1" t="s">
        <v>23</v>
      </c>
      <c r="H40" s="1" t="s">
        <v>11</v>
      </c>
      <c r="I40" s="1" t="s">
        <v>35</v>
      </c>
      <c r="J40" s="28" t="s">
        <v>39</v>
      </c>
      <c r="K40" s="1">
        <f>0</f>
        <v>0</v>
      </c>
      <c r="L40" s="1" t="s">
        <v>17</v>
      </c>
      <c r="M40" s="29" t="s">
        <v>26</v>
      </c>
    </row>
    <row r="41" spans="1:13" x14ac:dyDescent="0.2">
      <c r="A41" s="1">
        <v>40</v>
      </c>
      <c r="B41" s="1" t="s">
        <v>45</v>
      </c>
      <c r="C41" s="1" t="s">
        <v>24</v>
      </c>
      <c r="D41" s="1" t="s">
        <v>42</v>
      </c>
      <c r="E41" s="1" t="s">
        <v>32</v>
      </c>
      <c r="F41" s="1" t="s">
        <v>36</v>
      </c>
      <c r="G41" s="1" t="s">
        <v>23</v>
      </c>
      <c r="H41" s="1" t="s">
        <v>11</v>
      </c>
      <c r="I41" s="1" t="s">
        <v>16</v>
      </c>
      <c r="J41" s="28" t="s">
        <v>39</v>
      </c>
      <c r="K41" s="1">
        <f>0.221337491</f>
        <v>0.221337491</v>
      </c>
      <c r="L41" s="1" t="s">
        <v>12</v>
      </c>
      <c r="M41" s="29" t="s">
        <v>26</v>
      </c>
    </row>
    <row r="42" spans="1:13" x14ac:dyDescent="0.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x14ac:dyDescent="0.2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1:13" x14ac:dyDescent="0.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 x14ac:dyDescent="0.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1:13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8"/>
  <sheetViews>
    <sheetView topLeftCell="A56" zoomScale="110" zoomScaleNormal="110" zoomScalePageLayoutView="110" workbookViewId="0">
      <selection activeCell="A38" sqref="A38:E39"/>
    </sheetView>
  </sheetViews>
  <sheetFormatPr baseColWidth="10" defaultRowHeight="16" x14ac:dyDescent="0.2"/>
  <cols>
    <col min="11" max="11" width="16" customWidth="1"/>
  </cols>
  <sheetData>
    <row r="1" spans="1:19" x14ac:dyDescent="0.2">
      <c r="R1" s="86" t="s">
        <v>93</v>
      </c>
    </row>
    <row r="2" spans="1:19" x14ac:dyDescent="0.2">
      <c r="R2" s="86" t="s">
        <v>94</v>
      </c>
    </row>
    <row r="3" spans="1:19" x14ac:dyDescent="0.2">
      <c r="A3" s="131" t="s">
        <v>310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22</v>
      </c>
      <c r="N3" s="1" t="s">
        <v>103</v>
      </c>
      <c r="R3" s="86" t="s">
        <v>95</v>
      </c>
    </row>
    <row r="4" spans="1:19" x14ac:dyDescent="0.2">
      <c r="A4" s="54">
        <v>33</v>
      </c>
      <c r="B4" s="54" t="s">
        <v>45</v>
      </c>
      <c r="C4" s="54" t="s">
        <v>34</v>
      </c>
      <c r="D4" s="54" t="s">
        <v>42</v>
      </c>
      <c r="E4" s="62" t="s">
        <v>31</v>
      </c>
      <c r="F4" s="54" t="s">
        <v>38</v>
      </c>
      <c r="G4" s="62" t="s">
        <v>23</v>
      </c>
      <c r="H4" s="62" t="s">
        <v>11</v>
      </c>
      <c r="I4" s="54" t="s">
        <v>16</v>
      </c>
      <c r="J4" s="62" t="s">
        <v>30</v>
      </c>
      <c r="K4" s="54">
        <v>0</v>
      </c>
      <c r="L4" s="62" t="s">
        <v>12</v>
      </c>
      <c r="M4" s="63" t="s">
        <v>26</v>
      </c>
      <c r="N4" s="86" t="s">
        <v>24</v>
      </c>
      <c r="R4" s="86" t="s">
        <v>96</v>
      </c>
    </row>
    <row r="5" spans="1:19" x14ac:dyDescent="0.2">
      <c r="A5" t="s">
        <v>308</v>
      </c>
      <c r="E5" s="101" t="s">
        <v>106</v>
      </c>
      <c r="J5" s="101" t="s">
        <v>106</v>
      </c>
      <c r="K5" t="s">
        <v>107</v>
      </c>
      <c r="R5" s="94" t="s">
        <v>97</v>
      </c>
    </row>
    <row r="6" spans="1:19" x14ac:dyDescent="0.2">
      <c r="R6" s="86" t="s">
        <v>98</v>
      </c>
    </row>
    <row r="7" spans="1:19" x14ac:dyDescent="0.2">
      <c r="R7" s="86" t="s">
        <v>99</v>
      </c>
    </row>
    <row r="8" spans="1:19" x14ac:dyDescent="0.2">
      <c r="R8" s="86" t="s">
        <v>100</v>
      </c>
    </row>
    <row r="9" spans="1:19" x14ac:dyDescent="0.2">
      <c r="O9" s="93" t="s">
        <v>85</v>
      </c>
      <c r="R9" s="95" t="s">
        <v>92</v>
      </c>
    </row>
    <row r="10" spans="1:19" x14ac:dyDescent="0.2">
      <c r="O10" s="85" t="s">
        <v>86</v>
      </c>
    </row>
    <row r="11" spans="1:19" x14ac:dyDescent="0.2">
      <c r="O11" s="93" t="s">
        <v>87</v>
      </c>
      <c r="S11" s="3" t="s">
        <v>307</v>
      </c>
    </row>
    <row r="12" spans="1:19" x14ac:dyDescent="0.2">
      <c r="A12" t="s">
        <v>311</v>
      </c>
      <c r="B12" s="1" t="s">
        <v>0</v>
      </c>
      <c r="C12" s="1" t="s">
        <v>1</v>
      </c>
      <c r="D12" s="1" t="s">
        <v>2</v>
      </c>
      <c r="E12" s="1" t="s">
        <v>3</v>
      </c>
      <c r="F12" s="1" t="s">
        <v>4</v>
      </c>
      <c r="G12" s="1" t="s">
        <v>5</v>
      </c>
      <c r="H12" s="1" t="s">
        <v>6</v>
      </c>
      <c r="I12" s="1" t="s">
        <v>7</v>
      </c>
      <c r="J12" s="1" t="s">
        <v>8</v>
      </c>
      <c r="K12" s="1" t="s">
        <v>9</v>
      </c>
      <c r="L12" s="1" t="s">
        <v>10</v>
      </c>
      <c r="M12" s="1" t="s">
        <v>22</v>
      </c>
      <c r="N12" t="s">
        <v>103</v>
      </c>
      <c r="O12" s="85" t="s">
        <v>96</v>
      </c>
      <c r="S12" s="3">
        <f>AVERAGE(K14:K15)</f>
        <v>0.298789311</v>
      </c>
    </row>
    <row r="13" spans="1:19" x14ac:dyDescent="0.2">
      <c r="A13" s="55">
        <v>3</v>
      </c>
      <c r="B13" s="56" t="s">
        <v>45</v>
      </c>
      <c r="C13" s="64" t="s">
        <v>24</v>
      </c>
      <c r="D13" s="64" t="s">
        <v>41</v>
      </c>
      <c r="E13" s="67" t="s">
        <v>31</v>
      </c>
      <c r="F13" s="68" t="s">
        <v>36</v>
      </c>
      <c r="G13" s="56" t="s">
        <v>24</v>
      </c>
      <c r="H13" s="67" t="s">
        <v>11</v>
      </c>
      <c r="I13" s="68" t="s">
        <v>14</v>
      </c>
      <c r="J13" s="56" t="s">
        <v>29</v>
      </c>
      <c r="K13" s="73">
        <v>0</v>
      </c>
      <c r="L13" s="56" t="s">
        <v>15</v>
      </c>
      <c r="M13" s="57" t="s">
        <v>26</v>
      </c>
      <c r="N13" s="85" t="s">
        <v>24</v>
      </c>
      <c r="O13" s="93" t="s">
        <v>88</v>
      </c>
      <c r="Q13" s="55" t="s">
        <v>102</v>
      </c>
    </row>
    <row r="14" spans="1:19" x14ac:dyDescent="0.2">
      <c r="A14" s="55">
        <v>9</v>
      </c>
      <c r="B14" s="56" t="s">
        <v>45</v>
      </c>
      <c r="C14" s="65" t="s">
        <v>24</v>
      </c>
      <c r="D14" s="65" t="s">
        <v>41</v>
      </c>
      <c r="E14" s="69" t="s">
        <v>33</v>
      </c>
      <c r="F14" s="70" t="s">
        <v>36</v>
      </c>
      <c r="G14" s="56" t="s">
        <v>23</v>
      </c>
      <c r="H14" s="69" t="s">
        <v>11</v>
      </c>
      <c r="I14" s="70" t="s">
        <v>14</v>
      </c>
      <c r="J14" s="56" t="s">
        <v>30</v>
      </c>
      <c r="K14" s="74">
        <v>0.118294353</v>
      </c>
      <c r="L14" s="56" t="s">
        <v>15</v>
      </c>
      <c r="M14" s="57" t="s">
        <v>26</v>
      </c>
      <c r="N14" s="85" t="s">
        <v>24</v>
      </c>
      <c r="O14" s="85" t="s">
        <v>89</v>
      </c>
    </row>
    <row r="15" spans="1:19" x14ac:dyDescent="0.2">
      <c r="A15" s="55">
        <v>18</v>
      </c>
      <c r="B15" s="56" t="s">
        <v>44</v>
      </c>
      <c r="C15" s="65" t="s">
        <v>24</v>
      </c>
      <c r="D15" s="65" t="s">
        <v>40</v>
      </c>
      <c r="E15" s="69" t="s">
        <v>33</v>
      </c>
      <c r="F15" s="70" t="s">
        <v>36</v>
      </c>
      <c r="G15" s="56" t="s">
        <v>23</v>
      </c>
      <c r="H15" s="69" t="s">
        <v>11</v>
      </c>
      <c r="I15" s="70" t="s">
        <v>14</v>
      </c>
      <c r="J15" s="56" t="s">
        <v>39</v>
      </c>
      <c r="K15" s="74">
        <v>0.47928426899999999</v>
      </c>
      <c r="L15" s="56" t="s">
        <v>15</v>
      </c>
      <c r="M15" s="56" t="s">
        <v>25</v>
      </c>
      <c r="N15" s="85" t="s">
        <v>24</v>
      </c>
      <c r="O15" s="93" t="s">
        <v>90</v>
      </c>
    </row>
    <row r="16" spans="1:19" x14ac:dyDescent="0.2">
      <c r="A16" s="55">
        <v>26</v>
      </c>
      <c r="B16" s="56" t="s">
        <v>45</v>
      </c>
      <c r="C16" s="66" t="s">
        <v>24</v>
      </c>
      <c r="D16" s="66" t="s">
        <v>41</v>
      </c>
      <c r="E16" s="71" t="s">
        <v>33</v>
      </c>
      <c r="F16" s="72" t="s">
        <v>36</v>
      </c>
      <c r="G16" s="56" t="s">
        <v>24</v>
      </c>
      <c r="H16" s="71" t="s">
        <v>11</v>
      </c>
      <c r="I16" s="72" t="s">
        <v>35</v>
      </c>
      <c r="J16" s="56" t="s">
        <v>39</v>
      </c>
      <c r="K16" s="75">
        <v>0</v>
      </c>
      <c r="L16" s="56" t="s">
        <v>12</v>
      </c>
      <c r="M16" s="57" t="s">
        <v>26</v>
      </c>
      <c r="N16" s="85" t="s">
        <v>24</v>
      </c>
      <c r="O16" s="85" t="s">
        <v>91</v>
      </c>
    </row>
    <row r="17" spans="1:19" x14ac:dyDescent="0.2">
      <c r="B17" s="56" t="s">
        <v>107</v>
      </c>
      <c r="D17" s="85" t="s">
        <v>106</v>
      </c>
      <c r="E17" s="85" t="s">
        <v>106</v>
      </c>
      <c r="F17" s="85" t="s">
        <v>106</v>
      </c>
      <c r="J17" s="56" t="s">
        <v>106</v>
      </c>
      <c r="M17" s="57" t="s">
        <v>107</v>
      </c>
      <c r="O17" s="96" t="s">
        <v>92</v>
      </c>
    </row>
    <row r="18" spans="1:19" x14ac:dyDescent="0.2">
      <c r="A18" t="s">
        <v>308</v>
      </c>
    </row>
    <row r="19" spans="1:19" x14ac:dyDescent="0.2">
      <c r="O19" s="84" t="s">
        <v>77</v>
      </c>
    </row>
    <row r="20" spans="1:19" x14ac:dyDescent="0.2">
      <c r="O20" s="84" t="s">
        <v>78</v>
      </c>
      <c r="S20" s="3" t="s">
        <v>307</v>
      </c>
    </row>
    <row r="21" spans="1:19" x14ac:dyDescent="0.2">
      <c r="A21" s="131" t="s">
        <v>312</v>
      </c>
      <c r="B21" s="1" t="s">
        <v>0</v>
      </c>
      <c r="C21" s="1" t="s">
        <v>1</v>
      </c>
      <c r="D21" s="1" t="s">
        <v>2</v>
      </c>
      <c r="E21" s="1" t="s">
        <v>3</v>
      </c>
      <c r="F21" s="1" t="s">
        <v>4</v>
      </c>
      <c r="G21" s="1" t="s">
        <v>5</v>
      </c>
      <c r="H21" s="1" t="s">
        <v>6</v>
      </c>
      <c r="I21" s="1" t="s">
        <v>7</v>
      </c>
      <c r="J21" s="1" t="s">
        <v>8</v>
      </c>
      <c r="K21" s="1" t="s">
        <v>9</v>
      </c>
      <c r="L21" s="1" t="s">
        <v>10</v>
      </c>
      <c r="M21" s="1" t="s">
        <v>22</v>
      </c>
      <c r="N21" t="s">
        <v>103</v>
      </c>
      <c r="O21" s="84" t="s">
        <v>79</v>
      </c>
      <c r="S21" s="3">
        <f>AVERAGE(K22)</f>
        <v>0.93502813699999998</v>
      </c>
    </row>
    <row r="22" spans="1:19" x14ac:dyDescent="0.2">
      <c r="A22" s="58">
        <v>11</v>
      </c>
      <c r="B22" s="58" t="s">
        <v>43</v>
      </c>
      <c r="C22" s="58" t="s">
        <v>24</v>
      </c>
      <c r="D22" s="58" t="s">
        <v>40</v>
      </c>
      <c r="E22" s="58" t="s">
        <v>31</v>
      </c>
      <c r="F22" s="58" t="s">
        <v>37</v>
      </c>
      <c r="G22" s="58" t="s">
        <v>23</v>
      </c>
      <c r="H22" s="58" t="s">
        <v>18</v>
      </c>
      <c r="I22" s="58" t="s">
        <v>13</v>
      </c>
      <c r="J22" s="58" t="s">
        <v>29</v>
      </c>
      <c r="K22" s="58">
        <f>0.935028137</f>
        <v>0.93502813699999998</v>
      </c>
      <c r="L22" s="58" t="s">
        <v>15</v>
      </c>
      <c r="M22" s="59" t="s">
        <v>26</v>
      </c>
      <c r="N22" s="58" t="s">
        <v>24</v>
      </c>
      <c r="O22" s="91" t="s">
        <v>80</v>
      </c>
    </row>
    <row r="23" spans="1:19" x14ac:dyDescent="0.2">
      <c r="A23" t="s">
        <v>309</v>
      </c>
      <c r="O23" s="91" t="s">
        <v>81</v>
      </c>
    </row>
    <row r="24" spans="1:19" x14ac:dyDescent="0.2">
      <c r="O24" s="84" t="s">
        <v>82</v>
      </c>
    </row>
    <row r="25" spans="1:19" x14ac:dyDescent="0.2">
      <c r="O25" s="84" t="s">
        <v>83</v>
      </c>
    </row>
    <row r="26" spans="1:19" x14ac:dyDescent="0.2">
      <c r="O26" s="84" t="s">
        <v>84</v>
      </c>
    </row>
    <row r="27" spans="1:19" x14ac:dyDescent="0.2">
      <c r="O27" s="91" t="s">
        <v>76</v>
      </c>
    </row>
    <row r="28" spans="1:19" x14ac:dyDescent="0.2">
      <c r="A28" s="11" t="s">
        <v>313</v>
      </c>
      <c r="B28" s="1" t="s">
        <v>0</v>
      </c>
      <c r="C28" s="1" t="s">
        <v>1</v>
      </c>
      <c r="D28" s="1" t="s">
        <v>2</v>
      </c>
      <c r="E28" s="1" t="s">
        <v>3</v>
      </c>
      <c r="F28" s="1" t="s">
        <v>4</v>
      </c>
      <c r="G28" s="1" t="s">
        <v>5</v>
      </c>
      <c r="H28" s="1" t="s">
        <v>6</v>
      </c>
      <c r="I28" s="1" t="s">
        <v>7</v>
      </c>
      <c r="J28" s="1" t="s">
        <v>8</v>
      </c>
      <c r="K28" s="1" t="s">
        <v>9</v>
      </c>
      <c r="L28" s="1" t="s">
        <v>10</v>
      </c>
      <c r="M28" s="1" t="s">
        <v>22</v>
      </c>
      <c r="N28" t="s">
        <v>103</v>
      </c>
    </row>
    <row r="29" spans="1:19" x14ac:dyDescent="0.2">
      <c r="A29" s="162">
        <v>1</v>
      </c>
      <c r="B29" s="76" t="s">
        <v>45</v>
      </c>
      <c r="C29" s="7" t="s">
        <v>24</v>
      </c>
      <c r="D29" s="7" t="s">
        <v>41</v>
      </c>
      <c r="E29" s="7" t="s">
        <v>31</v>
      </c>
      <c r="F29" s="7" t="s">
        <v>37</v>
      </c>
      <c r="G29" s="7" t="s">
        <v>23</v>
      </c>
      <c r="H29" s="76" t="s">
        <v>11</v>
      </c>
      <c r="I29" s="7" t="s">
        <v>35</v>
      </c>
      <c r="J29" s="76" t="s">
        <v>39</v>
      </c>
      <c r="K29" s="7">
        <v>0</v>
      </c>
      <c r="L29" s="7" t="s">
        <v>12</v>
      </c>
      <c r="M29" s="61" t="s">
        <v>26</v>
      </c>
      <c r="N29" s="83" t="s">
        <v>24</v>
      </c>
      <c r="O29" s="88" t="s">
        <v>64</v>
      </c>
      <c r="S29" t="s">
        <v>307</v>
      </c>
    </row>
    <row r="30" spans="1:19" x14ac:dyDescent="0.2">
      <c r="A30" s="162">
        <v>13</v>
      </c>
      <c r="B30" s="77" t="s">
        <v>45</v>
      </c>
      <c r="C30" s="1" t="s">
        <v>24</v>
      </c>
      <c r="D30" s="7" t="s">
        <v>41</v>
      </c>
      <c r="E30" s="7" t="s">
        <v>32</v>
      </c>
      <c r="F30" s="7" t="s">
        <v>36</v>
      </c>
      <c r="G30" s="7" t="s">
        <v>23</v>
      </c>
      <c r="H30" s="77" t="s">
        <v>11</v>
      </c>
      <c r="I30" s="7" t="s">
        <v>19</v>
      </c>
      <c r="J30" s="77" t="s">
        <v>39</v>
      </c>
      <c r="K30" s="7">
        <v>0</v>
      </c>
      <c r="L30" s="7" t="s">
        <v>12</v>
      </c>
      <c r="M30" s="7" t="s">
        <v>25</v>
      </c>
      <c r="N30" s="83" t="s">
        <v>24</v>
      </c>
      <c r="O30" s="83" t="s">
        <v>66</v>
      </c>
      <c r="S30">
        <f>AVERAGE(K34:K35,K37,K42)</f>
        <v>0.3887120355</v>
      </c>
    </row>
    <row r="31" spans="1:19" x14ac:dyDescent="0.2">
      <c r="A31" s="162">
        <v>16</v>
      </c>
      <c r="B31" s="77" t="s">
        <v>45</v>
      </c>
      <c r="C31" s="28" t="s">
        <v>24</v>
      </c>
      <c r="D31" s="7" t="s">
        <v>41</v>
      </c>
      <c r="E31" s="7" t="s">
        <v>32</v>
      </c>
      <c r="F31" s="7" t="s">
        <v>37</v>
      </c>
      <c r="G31" s="7" t="s">
        <v>23</v>
      </c>
      <c r="H31" s="77" t="s">
        <v>11</v>
      </c>
      <c r="I31" s="7" t="s">
        <v>16</v>
      </c>
      <c r="J31" s="77" t="s">
        <v>39</v>
      </c>
      <c r="K31" s="7">
        <v>0</v>
      </c>
      <c r="L31" s="7" t="s">
        <v>12</v>
      </c>
      <c r="M31" s="61" t="s">
        <v>26</v>
      </c>
      <c r="N31" s="83" t="s">
        <v>24</v>
      </c>
      <c r="O31" s="83" t="s">
        <v>67</v>
      </c>
    </row>
    <row r="32" spans="1:19" x14ac:dyDescent="0.2">
      <c r="A32" s="112">
        <v>19</v>
      </c>
      <c r="B32" s="77" t="s">
        <v>45</v>
      </c>
      <c r="C32" s="1" t="s">
        <v>34</v>
      </c>
      <c r="D32" s="7" t="s">
        <v>40</v>
      </c>
      <c r="E32" s="7" t="s">
        <v>31</v>
      </c>
      <c r="F32" s="7" t="s">
        <v>36</v>
      </c>
      <c r="G32" s="7" t="s">
        <v>24</v>
      </c>
      <c r="H32" s="77" t="s">
        <v>11</v>
      </c>
      <c r="I32" s="7" t="s">
        <v>20</v>
      </c>
      <c r="J32" s="77" t="s">
        <v>29</v>
      </c>
      <c r="K32" s="7">
        <v>0</v>
      </c>
      <c r="L32" s="7" t="s">
        <v>12</v>
      </c>
      <c r="M32" s="7" t="s">
        <v>25</v>
      </c>
      <c r="N32" s="83" t="s">
        <v>24</v>
      </c>
      <c r="O32" s="83" t="s">
        <v>68</v>
      </c>
    </row>
    <row r="33" spans="1:19" x14ac:dyDescent="0.2">
      <c r="A33" s="7">
        <v>32</v>
      </c>
      <c r="B33" s="77" t="s">
        <v>45</v>
      </c>
      <c r="C33" s="1" t="s">
        <v>24</v>
      </c>
      <c r="D33" s="7" t="s">
        <v>41</v>
      </c>
      <c r="E33" s="7" t="s">
        <v>32</v>
      </c>
      <c r="F33" s="7" t="s">
        <v>36</v>
      </c>
      <c r="G33" s="7" t="s">
        <v>23</v>
      </c>
      <c r="H33" s="77" t="s">
        <v>11</v>
      </c>
      <c r="I33" s="7" t="s">
        <v>16</v>
      </c>
      <c r="J33" s="77" t="s">
        <v>39</v>
      </c>
      <c r="K33" s="7">
        <v>0</v>
      </c>
      <c r="L33" s="7" t="s">
        <v>17</v>
      </c>
      <c r="M33" s="7" t="s">
        <v>25</v>
      </c>
      <c r="N33" s="83" t="s">
        <v>24</v>
      </c>
      <c r="O33" s="100" t="s">
        <v>69</v>
      </c>
    </row>
    <row r="34" spans="1:19" x14ac:dyDescent="0.2">
      <c r="A34" s="7">
        <v>35</v>
      </c>
      <c r="B34" s="77" t="s">
        <v>45</v>
      </c>
      <c r="C34" s="28" t="s">
        <v>24</v>
      </c>
      <c r="D34" s="7" t="s">
        <v>41</v>
      </c>
      <c r="E34" s="7" t="s">
        <v>31</v>
      </c>
      <c r="F34" s="7" t="s">
        <v>36</v>
      </c>
      <c r="G34" s="7" t="s">
        <v>23</v>
      </c>
      <c r="H34" s="77" t="s">
        <v>11</v>
      </c>
      <c r="I34" s="7" t="s">
        <v>20</v>
      </c>
      <c r="J34" s="77" t="s">
        <v>39</v>
      </c>
      <c r="K34" s="7">
        <v>0.52271720899999996</v>
      </c>
      <c r="L34" s="7" t="s">
        <v>17</v>
      </c>
      <c r="M34" s="61" t="s">
        <v>26</v>
      </c>
      <c r="N34" s="83" t="s">
        <v>24</v>
      </c>
      <c r="O34" s="83" t="s">
        <v>70</v>
      </c>
    </row>
    <row r="35" spans="1:19" x14ac:dyDescent="0.2">
      <c r="A35" s="7">
        <v>37</v>
      </c>
      <c r="B35" s="77" t="s">
        <v>45</v>
      </c>
      <c r="C35" s="1" t="s">
        <v>34</v>
      </c>
      <c r="D35" s="7" t="s">
        <v>41</v>
      </c>
      <c r="E35" s="7" t="s">
        <v>31</v>
      </c>
      <c r="F35" s="7" t="s">
        <v>36</v>
      </c>
      <c r="G35" s="7" t="s">
        <v>23</v>
      </c>
      <c r="H35" s="77" t="s">
        <v>11</v>
      </c>
      <c r="I35" s="7" t="s">
        <v>20</v>
      </c>
      <c r="J35" s="77" t="s">
        <v>39</v>
      </c>
      <c r="K35" s="7">
        <v>0.46390579500000001</v>
      </c>
      <c r="L35" s="7" t="s">
        <v>15</v>
      </c>
      <c r="M35" s="7" t="s">
        <v>25</v>
      </c>
      <c r="N35" s="83" t="s">
        <v>24</v>
      </c>
      <c r="O35" s="88" t="s">
        <v>71</v>
      </c>
    </row>
    <row r="36" spans="1:19" x14ac:dyDescent="0.2">
      <c r="A36" s="7">
        <v>39</v>
      </c>
      <c r="B36" s="77" t="s">
        <v>45</v>
      </c>
      <c r="C36" s="28" t="s">
        <v>34</v>
      </c>
      <c r="D36" s="7" t="s">
        <v>40</v>
      </c>
      <c r="E36" s="7" t="s">
        <v>32</v>
      </c>
      <c r="F36" s="7" t="s">
        <v>36</v>
      </c>
      <c r="G36" s="7" t="s">
        <v>23</v>
      </c>
      <c r="H36" s="77" t="s">
        <v>11</v>
      </c>
      <c r="I36" s="7" t="s">
        <v>35</v>
      </c>
      <c r="J36" s="77" t="s">
        <v>39</v>
      </c>
      <c r="K36" s="7">
        <v>0</v>
      </c>
      <c r="L36" s="7" t="s">
        <v>17</v>
      </c>
      <c r="M36" s="61" t="s">
        <v>26</v>
      </c>
      <c r="N36" s="83" t="s">
        <v>24</v>
      </c>
      <c r="O36" s="83" t="s">
        <v>74</v>
      </c>
    </row>
    <row r="37" spans="1:19" x14ac:dyDescent="0.2">
      <c r="A37" s="162">
        <v>40</v>
      </c>
      <c r="B37" s="78" t="s">
        <v>45</v>
      </c>
      <c r="C37" s="1" t="s">
        <v>24</v>
      </c>
      <c r="D37" s="7" t="s">
        <v>42</v>
      </c>
      <c r="E37" s="7" t="s">
        <v>32</v>
      </c>
      <c r="F37" s="7" t="s">
        <v>36</v>
      </c>
      <c r="G37" s="7" t="s">
        <v>23</v>
      </c>
      <c r="H37" s="78" t="s">
        <v>11</v>
      </c>
      <c r="I37" s="7" t="s">
        <v>16</v>
      </c>
      <c r="J37" s="78" t="s">
        <v>39</v>
      </c>
      <c r="K37" s="7">
        <v>0.221337491</v>
      </c>
      <c r="L37" s="7" t="s">
        <v>12</v>
      </c>
      <c r="M37" s="61" t="s">
        <v>26</v>
      </c>
      <c r="N37" s="83" t="s">
        <v>34</v>
      </c>
      <c r="O37" s="88" t="s">
        <v>76</v>
      </c>
    </row>
    <row r="38" spans="1:19" x14ac:dyDescent="0.2">
      <c r="A38" s="8">
        <v>5</v>
      </c>
      <c r="B38" s="8" t="s">
        <v>43</v>
      </c>
      <c r="C38" s="1" t="s">
        <v>24</v>
      </c>
      <c r="D38" s="104" t="s">
        <v>40</v>
      </c>
      <c r="E38" s="105" t="s">
        <v>32</v>
      </c>
      <c r="F38" s="105" t="s">
        <v>36</v>
      </c>
      <c r="G38" s="8" t="s">
        <v>23</v>
      </c>
      <c r="H38" s="8" t="s">
        <v>11</v>
      </c>
      <c r="I38" s="104" t="s">
        <v>16</v>
      </c>
      <c r="J38" s="8" t="s">
        <v>30</v>
      </c>
      <c r="K38" s="104">
        <v>0</v>
      </c>
      <c r="L38" s="8" t="s">
        <v>12</v>
      </c>
      <c r="M38" s="8" t="s">
        <v>26</v>
      </c>
    </row>
    <row r="39" spans="1:19" x14ac:dyDescent="0.2">
      <c r="A39" s="8">
        <v>24</v>
      </c>
      <c r="B39" s="8" t="s">
        <v>43</v>
      </c>
      <c r="C39" s="28" t="s">
        <v>24</v>
      </c>
      <c r="D39" s="104" t="s">
        <v>40</v>
      </c>
      <c r="E39" s="105" t="s">
        <v>31</v>
      </c>
      <c r="F39" s="105" t="s">
        <v>36</v>
      </c>
      <c r="G39" s="8" t="s">
        <v>24</v>
      </c>
      <c r="H39" s="8" t="s">
        <v>11</v>
      </c>
      <c r="I39" s="104" t="s">
        <v>35</v>
      </c>
      <c r="J39" s="8" t="s">
        <v>29</v>
      </c>
      <c r="K39" s="104">
        <v>0</v>
      </c>
      <c r="L39" s="8" t="s">
        <v>12</v>
      </c>
      <c r="M39" s="8" t="s">
        <v>26</v>
      </c>
    </row>
    <row r="40" spans="1:19" x14ac:dyDescent="0.2">
      <c r="A40" s="8">
        <v>31</v>
      </c>
      <c r="B40" s="8" t="s">
        <v>43</v>
      </c>
      <c r="C40" s="1" t="s">
        <v>24</v>
      </c>
      <c r="D40" s="104" t="s">
        <v>40</v>
      </c>
      <c r="E40" s="105" t="s">
        <v>31</v>
      </c>
      <c r="F40" s="105" t="s">
        <v>36</v>
      </c>
      <c r="G40" s="8" t="s">
        <v>24</v>
      </c>
      <c r="H40" s="8" t="s">
        <v>11</v>
      </c>
      <c r="I40" s="104" t="s">
        <v>35</v>
      </c>
      <c r="J40" s="8" t="s">
        <v>39</v>
      </c>
      <c r="K40" s="104">
        <v>0</v>
      </c>
      <c r="L40" s="8" t="s">
        <v>17</v>
      </c>
      <c r="M40" s="8" t="s">
        <v>26</v>
      </c>
    </row>
    <row r="41" spans="1:19" x14ac:dyDescent="0.2">
      <c r="A41" s="8">
        <v>36</v>
      </c>
      <c r="B41" s="8" t="s">
        <v>43</v>
      </c>
      <c r="C41" s="28" t="s">
        <v>24</v>
      </c>
      <c r="D41" s="104" t="s">
        <v>40</v>
      </c>
      <c r="E41" s="105" t="s">
        <v>31</v>
      </c>
      <c r="F41" s="105" t="s">
        <v>36</v>
      </c>
      <c r="G41" s="8" t="s">
        <v>24</v>
      </c>
      <c r="H41" s="8" t="s">
        <v>11</v>
      </c>
      <c r="I41" s="104" t="s">
        <v>20</v>
      </c>
      <c r="J41" s="8" t="s">
        <v>39</v>
      </c>
      <c r="K41" s="104">
        <v>0</v>
      </c>
      <c r="L41" s="8" t="s">
        <v>12</v>
      </c>
      <c r="M41" s="8" t="s">
        <v>26</v>
      </c>
    </row>
    <row r="42" spans="1:19" x14ac:dyDescent="0.2">
      <c r="A42" s="30">
        <v>38</v>
      </c>
      <c r="B42" s="30" t="s">
        <v>45</v>
      </c>
      <c r="C42" s="1" t="s">
        <v>24</v>
      </c>
      <c r="D42" s="81" t="s">
        <v>41</v>
      </c>
      <c r="E42" s="81" t="s">
        <v>31</v>
      </c>
      <c r="F42" s="81" t="s">
        <v>36</v>
      </c>
      <c r="G42" s="30" t="s">
        <v>23</v>
      </c>
      <c r="H42" s="30" t="s">
        <v>11</v>
      </c>
      <c r="I42" s="81" t="s">
        <v>16</v>
      </c>
      <c r="J42" s="30" t="s">
        <v>39</v>
      </c>
      <c r="K42" s="81">
        <v>0.34688764700000002</v>
      </c>
      <c r="L42" s="30" t="s">
        <v>15</v>
      </c>
      <c r="M42" s="30" t="s">
        <v>25</v>
      </c>
    </row>
    <row r="43" spans="1:19" x14ac:dyDescent="0.2">
      <c r="A43" t="s">
        <v>309</v>
      </c>
      <c r="B43">
        <f>4/14</f>
        <v>0.2857142857142857</v>
      </c>
      <c r="C43">
        <f>11/14</f>
        <v>0.7857142857142857</v>
      </c>
      <c r="D43">
        <f>7/14</f>
        <v>0.5</v>
      </c>
      <c r="E43">
        <f>8/14</f>
        <v>0.5714285714285714</v>
      </c>
      <c r="M43">
        <f>9/14</f>
        <v>0.6428571428571429</v>
      </c>
      <c r="N43" s="83" t="s">
        <v>26</v>
      </c>
    </row>
    <row r="44" spans="1:19" x14ac:dyDescent="0.2">
      <c r="B44" s="8" t="s">
        <v>43</v>
      </c>
      <c r="C44" t="s">
        <v>24</v>
      </c>
      <c r="D44" s="83" t="s">
        <v>41</v>
      </c>
      <c r="E44" s="83" t="s">
        <v>31</v>
      </c>
    </row>
    <row r="47" spans="1:19" x14ac:dyDescent="0.2">
      <c r="A47" s="11" t="s">
        <v>315</v>
      </c>
      <c r="B47" s="1" t="s">
        <v>0</v>
      </c>
      <c r="C47" s="1" t="s">
        <v>1</v>
      </c>
      <c r="D47" s="1" t="s">
        <v>2</v>
      </c>
      <c r="E47" s="1" t="s">
        <v>3</v>
      </c>
      <c r="F47" s="1" t="s">
        <v>4</v>
      </c>
      <c r="G47" s="1" t="s">
        <v>5</v>
      </c>
      <c r="H47" s="1" t="s">
        <v>6</v>
      </c>
      <c r="I47" s="1" t="s">
        <v>7</v>
      </c>
      <c r="J47" s="1" t="s">
        <v>8</v>
      </c>
      <c r="K47" s="1" t="s">
        <v>9</v>
      </c>
      <c r="L47" s="1" t="s">
        <v>10</v>
      </c>
      <c r="M47" s="1" t="s">
        <v>22</v>
      </c>
      <c r="N47" t="s">
        <v>103</v>
      </c>
    </row>
    <row r="48" spans="1:19" x14ac:dyDescent="0.2">
      <c r="A48" s="10">
        <v>2</v>
      </c>
      <c r="B48" s="10" t="s">
        <v>45</v>
      </c>
      <c r="C48" s="10" t="s">
        <v>24</v>
      </c>
      <c r="D48" s="43" t="s">
        <v>41</v>
      </c>
      <c r="E48" s="43" t="s">
        <v>31</v>
      </c>
      <c r="F48" s="10" t="s">
        <v>36</v>
      </c>
      <c r="G48" s="10" t="s">
        <v>23</v>
      </c>
      <c r="H48" s="10" t="s">
        <v>11</v>
      </c>
      <c r="I48" s="10" t="s">
        <v>13</v>
      </c>
      <c r="J48" s="10" t="s">
        <v>29</v>
      </c>
      <c r="K48" s="10">
        <v>0</v>
      </c>
      <c r="L48" s="10" t="s">
        <v>12</v>
      </c>
      <c r="M48" s="60" t="s">
        <v>26</v>
      </c>
      <c r="N48" s="10" t="s">
        <v>24</v>
      </c>
      <c r="O48" s="90" t="s">
        <v>65</v>
      </c>
      <c r="S48" t="s">
        <v>307</v>
      </c>
    </row>
    <row r="49" spans="1:19" x14ac:dyDescent="0.2">
      <c r="A49" s="10">
        <v>7</v>
      </c>
      <c r="B49" s="10" t="s">
        <v>45</v>
      </c>
      <c r="C49" s="10" t="s">
        <v>34</v>
      </c>
      <c r="D49" s="46" t="s">
        <v>41</v>
      </c>
      <c r="E49" s="46" t="s">
        <v>31</v>
      </c>
      <c r="F49" s="10" t="s">
        <v>36</v>
      </c>
      <c r="G49" s="10" t="s">
        <v>23</v>
      </c>
      <c r="H49" s="10" t="s">
        <v>11</v>
      </c>
      <c r="I49" s="10" t="s">
        <v>16</v>
      </c>
      <c r="J49" s="10" t="s">
        <v>28</v>
      </c>
      <c r="K49" s="10">
        <v>0</v>
      </c>
      <c r="L49" s="10" t="s">
        <v>17</v>
      </c>
      <c r="M49" s="60" t="s">
        <v>26</v>
      </c>
      <c r="N49" s="10" t="s">
        <v>24</v>
      </c>
      <c r="O49" s="82" t="s">
        <v>57</v>
      </c>
      <c r="S49">
        <f>AVERAGE(K53)</f>
        <v>0.56457661100000001</v>
      </c>
    </row>
    <row r="50" spans="1:19" x14ac:dyDescent="0.2">
      <c r="A50" s="10">
        <v>10</v>
      </c>
      <c r="B50" s="10" t="s">
        <v>44</v>
      </c>
      <c r="C50" s="10" t="s">
        <v>34</v>
      </c>
      <c r="D50" s="46" t="s">
        <v>41</v>
      </c>
      <c r="E50" s="46" t="s">
        <v>31</v>
      </c>
      <c r="F50" s="10" t="s">
        <v>36</v>
      </c>
      <c r="G50" s="10" t="s">
        <v>23</v>
      </c>
      <c r="H50" s="10" t="s">
        <v>11</v>
      </c>
      <c r="I50" s="10" t="s">
        <v>14</v>
      </c>
      <c r="J50" s="10" t="s">
        <v>28</v>
      </c>
      <c r="K50" s="10">
        <v>0</v>
      </c>
      <c r="L50" s="10" t="s">
        <v>12</v>
      </c>
      <c r="M50" s="60" t="s">
        <v>26</v>
      </c>
      <c r="N50" s="10" t="s">
        <v>24</v>
      </c>
      <c r="O50" s="99" t="s">
        <v>58</v>
      </c>
    </row>
    <row r="51" spans="1:19" x14ac:dyDescent="0.2">
      <c r="A51" s="10">
        <v>12</v>
      </c>
      <c r="B51" s="10" t="s">
        <v>45</v>
      </c>
      <c r="C51" s="10" t="s">
        <v>34</v>
      </c>
      <c r="D51" s="46" t="s">
        <v>41</v>
      </c>
      <c r="E51" s="46" t="s">
        <v>31</v>
      </c>
      <c r="F51" s="10" t="s">
        <v>36</v>
      </c>
      <c r="G51" s="10" t="s">
        <v>24</v>
      </c>
      <c r="H51" s="10" t="s">
        <v>11</v>
      </c>
      <c r="I51" s="10" t="s">
        <v>13</v>
      </c>
      <c r="J51" s="10" t="s">
        <v>28</v>
      </c>
      <c r="K51" s="10">
        <v>0</v>
      </c>
      <c r="L51" s="10" t="s">
        <v>12</v>
      </c>
      <c r="M51" s="10" t="s">
        <v>25</v>
      </c>
      <c r="N51" s="10" t="s">
        <v>24</v>
      </c>
      <c r="O51" s="82" t="s">
        <v>59</v>
      </c>
    </row>
    <row r="52" spans="1:19" x14ac:dyDescent="0.2">
      <c r="A52" s="10">
        <v>14</v>
      </c>
      <c r="B52" s="10" t="s">
        <v>45</v>
      </c>
      <c r="C52" s="10" t="s">
        <v>34</v>
      </c>
      <c r="D52" s="46" t="s">
        <v>41</v>
      </c>
      <c r="E52" s="46" t="s">
        <v>31</v>
      </c>
      <c r="F52" s="10" t="s">
        <v>37</v>
      </c>
      <c r="G52" s="10" t="s">
        <v>23</v>
      </c>
      <c r="H52" s="10" t="s">
        <v>11</v>
      </c>
      <c r="I52" s="10" t="s">
        <v>14</v>
      </c>
      <c r="J52" s="10" t="s">
        <v>29</v>
      </c>
      <c r="K52" s="10">
        <v>0</v>
      </c>
      <c r="L52" s="10" t="s">
        <v>17</v>
      </c>
      <c r="M52" s="60" t="s">
        <v>26</v>
      </c>
      <c r="N52" s="10" t="s">
        <v>34</v>
      </c>
      <c r="O52" s="89" t="s">
        <v>62</v>
      </c>
    </row>
    <row r="53" spans="1:19" x14ac:dyDescent="0.2">
      <c r="A53" s="10">
        <v>20</v>
      </c>
      <c r="B53" s="10" t="s">
        <v>44</v>
      </c>
      <c r="C53" s="10" t="s">
        <v>34</v>
      </c>
      <c r="D53" s="46" t="s">
        <v>41</v>
      </c>
      <c r="E53" s="46" t="s">
        <v>31</v>
      </c>
      <c r="F53" s="10" t="s">
        <v>37</v>
      </c>
      <c r="G53" s="10" t="s">
        <v>24</v>
      </c>
      <c r="H53" s="10" t="s">
        <v>21</v>
      </c>
      <c r="I53" s="10" t="s">
        <v>16</v>
      </c>
      <c r="J53" s="10" t="s">
        <v>28</v>
      </c>
      <c r="K53" s="10">
        <v>0.56457661100000001</v>
      </c>
      <c r="L53" s="10" t="s">
        <v>12</v>
      </c>
      <c r="M53" s="60" t="s">
        <v>26</v>
      </c>
      <c r="N53" s="10" t="s">
        <v>24</v>
      </c>
      <c r="O53" s="82" t="s">
        <v>60</v>
      </c>
    </row>
    <row r="54" spans="1:19" x14ac:dyDescent="0.2">
      <c r="A54" s="10">
        <v>21</v>
      </c>
      <c r="B54" s="10" t="s">
        <v>45</v>
      </c>
      <c r="C54" s="10" t="s">
        <v>34</v>
      </c>
      <c r="D54" s="46" t="s">
        <v>41</v>
      </c>
      <c r="E54" s="48" t="s">
        <v>31</v>
      </c>
      <c r="F54" s="10" t="s">
        <v>37</v>
      </c>
      <c r="G54" s="10" t="s">
        <v>24</v>
      </c>
      <c r="H54" s="10" t="s">
        <v>11</v>
      </c>
      <c r="I54" s="10" t="s">
        <v>14</v>
      </c>
      <c r="J54" s="10" t="s">
        <v>39</v>
      </c>
      <c r="K54" s="10">
        <v>0</v>
      </c>
      <c r="L54" s="10" t="s">
        <v>12</v>
      </c>
      <c r="M54" s="60" t="s">
        <v>26</v>
      </c>
      <c r="N54" s="10" t="s">
        <v>34</v>
      </c>
      <c r="O54" s="89" t="s">
        <v>63</v>
      </c>
    </row>
    <row r="55" spans="1:19" x14ac:dyDescent="0.2">
      <c r="A55" s="10">
        <v>34</v>
      </c>
      <c r="B55" s="10" t="s">
        <v>45</v>
      </c>
      <c r="C55" s="10" t="s">
        <v>24</v>
      </c>
      <c r="D55" s="48" t="s">
        <v>41</v>
      </c>
      <c r="E55" s="10" t="s">
        <v>31</v>
      </c>
      <c r="F55" s="10" t="s">
        <v>36</v>
      </c>
      <c r="G55" s="10" t="s">
        <v>24</v>
      </c>
      <c r="H55" s="10" t="s">
        <v>11</v>
      </c>
      <c r="I55" s="10" t="s">
        <v>16</v>
      </c>
      <c r="J55" s="10" t="s">
        <v>28</v>
      </c>
      <c r="K55" s="10">
        <v>0</v>
      </c>
      <c r="L55" s="10" t="s">
        <v>12</v>
      </c>
      <c r="M55" s="60" t="s">
        <v>26</v>
      </c>
      <c r="N55" s="10" t="s">
        <v>34</v>
      </c>
      <c r="O55" s="82" t="s">
        <v>73</v>
      </c>
    </row>
    <row r="56" spans="1:19" x14ac:dyDescent="0.2">
      <c r="A56" s="10"/>
      <c r="B56" s="10" t="s">
        <v>107</v>
      </c>
      <c r="C56" s="10"/>
      <c r="D56" s="10" t="s">
        <v>106</v>
      </c>
      <c r="E56" s="43" t="s">
        <v>106</v>
      </c>
      <c r="F56" s="10" t="s">
        <v>106</v>
      </c>
      <c r="G56" s="43"/>
      <c r="H56" s="102"/>
      <c r="I56" s="10"/>
      <c r="J56" s="43"/>
      <c r="K56" s="10"/>
      <c r="L56" s="43"/>
      <c r="M56" s="43"/>
      <c r="N56" s="82"/>
      <c r="O56" s="97" t="s">
        <v>75</v>
      </c>
    </row>
    <row r="57" spans="1:19" x14ac:dyDescent="0.2">
      <c r="A57" t="s">
        <v>309</v>
      </c>
      <c r="C57">
        <f>6/8</f>
        <v>0.75</v>
      </c>
      <c r="F57">
        <f>5/8</f>
        <v>0.625</v>
      </c>
      <c r="J57">
        <f>5/8</f>
        <v>0.625</v>
      </c>
      <c r="M57">
        <f>7/8</f>
        <v>0.875</v>
      </c>
    </row>
    <row r="60" spans="1:19" x14ac:dyDescent="0.2">
      <c r="A60" s="11" t="s">
        <v>314</v>
      </c>
      <c r="B60" s="1" t="s">
        <v>0</v>
      </c>
      <c r="C60" s="1" t="s">
        <v>1</v>
      </c>
      <c r="D60" s="1" t="s">
        <v>2</v>
      </c>
      <c r="E60" s="1" t="s">
        <v>3</v>
      </c>
      <c r="F60" s="1" t="s">
        <v>4</v>
      </c>
      <c r="G60" s="1" t="s">
        <v>5</v>
      </c>
      <c r="H60" s="1" t="s">
        <v>6</v>
      </c>
      <c r="I60" s="1" t="s">
        <v>7</v>
      </c>
      <c r="J60" s="1" t="s">
        <v>8</v>
      </c>
      <c r="K60" s="1" t="s">
        <v>9</v>
      </c>
      <c r="L60" s="1" t="s">
        <v>10</v>
      </c>
      <c r="M60" s="1" t="s">
        <v>22</v>
      </c>
      <c r="N60" t="s">
        <v>103</v>
      </c>
      <c r="P60" t="s">
        <v>307</v>
      </c>
    </row>
    <row r="61" spans="1:19" x14ac:dyDescent="0.2">
      <c r="A61" s="30">
        <v>4</v>
      </c>
      <c r="B61" s="30" t="s">
        <v>44</v>
      </c>
      <c r="C61" s="30" t="s">
        <v>34</v>
      </c>
      <c r="D61" s="79" t="s">
        <v>40</v>
      </c>
      <c r="E61" s="79" t="s">
        <v>31</v>
      </c>
      <c r="F61" s="79" t="s">
        <v>37</v>
      </c>
      <c r="G61" s="30" t="s">
        <v>23</v>
      </c>
      <c r="H61" s="30" t="s">
        <v>11</v>
      </c>
      <c r="I61" s="79" t="s">
        <v>16</v>
      </c>
      <c r="J61" s="30" t="s">
        <v>39</v>
      </c>
      <c r="K61" s="79">
        <v>0.72645821399999999</v>
      </c>
      <c r="L61" s="30" t="s">
        <v>17</v>
      </c>
      <c r="M61" s="30" t="s">
        <v>25</v>
      </c>
      <c r="N61" s="87" t="s">
        <v>34</v>
      </c>
      <c r="P61">
        <f>AVERAGE(K61,K63,K65,K66,K70)</f>
        <v>0.7025380832</v>
      </c>
    </row>
    <row r="62" spans="1:19" x14ac:dyDescent="0.2">
      <c r="A62" s="30">
        <v>8</v>
      </c>
      <c r="B62" s="30" t="s">
        <v>44</v>
      </c>
      <c r="C62" s="30" t="s">
        <v>34</v>
      </c>
      <c r="D62" s="80" t="s">
        <v>41</v>
      </c>
      <c r="E62" s="80" t="s">
        <v>31</v>
      </c>
      <c r="F62" s="80" t="s">
        <v>36</v>
      </c>
      <c r="G62" s="30" t="s">
        <v>23</v>
      </c>
      <c r="H62" s="30" t="s">
        <v>11</v>
      </c>
      <c r="I62" s="80" t="s">
        <v>16</v>
      </c>
      <c r="J62" s="30" t="s">
        <v>39</v>
      </c>
      <c r="K62" s="80">
        <v>0</v>
      </c>
      <c r="L62" s="30" t="s">
        <v>15</v>
      </c>
      <c r="M62" s="31" t="s">
        <v>26</v>
      </c>
    </row>
    <row r="63" spans="1:19" x14ac:dyDescent="0.2">
      <c r="A63" s="30">
        <v>15</v>
      </c>
      <c r="B63" s="30" t="s">
        <v>43</v>
      </c>
      <c r="C63" s="30" t="s">
        <v>24</v>
      </c>
      <c r="D63" s="80" t="s">
        <v>40</v>
      </c>
      <c r="E63" s="80" t="s">
        <v>31</v>
      </c>
      <c r="F63" s="80" t="s">
        <v>37</v>
      </c>
      <c r="G63" s="30" t="s">
        <v>24</v>
      </c>
      <c r="H63" s="30" t="s">
        <v>11</v>
      </c>
      <c r="I63" s="80" t="s">
        <v>16</v>
      </c>
      <c r="J63" s="30" t="s">
        <v>39</v>
      </c>
      <c r="K63" s="80">
        <v>0.64274236699999998</v>
      </c>
      <c r="L63" s="30" t="s">
        <v>12</v>
      </c>
      <c r="M63" s="30" t="s">
        <v>25</v>
      </c>
    </row>
    <row r="64" spans="1:19" x14ac:dyDescent="0.2">
      <c r="A64" s="30">
        <v>17</v>
      </c>
      <c r="B64" s="30" t="s">
        <v>43</v>
      </c>
      <c r="C64" s="30" t="s">
        <v>34</v>
      </c>
      <c r="D64" s="80" t="s">
        <v>41</v>
      </c>
      <c r="E64" s="80" t="s">
        <v>31</v>
      </c>
      <c r="F64" s="80" t="s">
        <v>36</v>
      </c>
      <c r="G64" s="30" t="s">
        <v>24</v>
      </c>
      <c r="H64" s="30" t="s">
        <v>11</v>
      </c>
      <c r="I64" s="80" t="s">
        <v>16</v>
      </c>
      <c r="J64" s="30" t="s">
        <v>39</v>
      </c>
      <c r="K64" s="80">
        <v>0</v>
      </c>
      <c r="L64" s="30" t="s">
        <v>12</v>
      </c>
      <c r="M64" s="31" t="s">
        <v>26</v>
      </c>
      <c r="N64" s="87" t="s">
        <v>34</v>
      </c>
    </row>
    <row r="65" spans="1:14" x14ac:dyDescent="0.2">
      <c r="A65" s="30">
        <v>22</v>
      </c>
      <c r="B65" s="30" t="s">
        <v>44</v>
      </c>
      <c r="C65" s="30" t="s">
        <v>34</v>
      </c>
      <c r="D65" s="80" t="s">
        <v>40</v>
      </c>
      <c r="E65" s="80" t="s">
        <v>31</v>
      </c>
      <c r="F65" s="80" t="s">
        <v>36</v>
      </c>
      <c r="G65" s="30" t="s">
        <v>23</v>
      </c>
      <c r="H65" s="30" t="s">
        <v>11</v>
      </c>
      <c r="I65" s="80" t="s">
        <v>16</v>
      </c>
      <c r="J65" s="30" t="s">
        <v>39</v>
      </c>
      <c r="K65" s="80">
        <v>0.95843080800000002</v>
      </c>
      <c r="L65" s="30" t="s">
        <v>12</v>
      </c>
      <c r="M65" s="31" t="s">
        <v>26</v>
      </c>
    </row>
    <row r="66" spans="1:14" x14ac:dyDescent="0.2">
      <c r="A66" s="30">
        <v>23</v>
      </c>
      <c r="B66" s="30" t="s">
        <v>44</v>
      </c>
      <c r="C66" s="30" t="s">
        <v>24</v>
      </c>
      <c r="D66" s="80" t="s">
        <v>40</v>
      </c>
      <c r="E66" s="80" t="s">
        <v>31</v>
      </c>
      <c r="F66" s="80" t="s">
        <v>36</v>
      </c>
      <c r="G66" s="30" t="s">
        <v>24</v>
      </c>
      <c r="H66" s="30" t="s">
        <v>11</v>
      </c>
      <c r="I66" s="80" t="s">
        <v>16</v>
      </c>
      <c r="J66" s="30" t="s">
        <v>39</v>
      </c>
      <c r="K66" s="80">
        <v>0.84263670599999996</v>
      </c>
      <c r="L66" s="30" t="s">
        <v>15</v>
      </c>
      <c r="M66" s="31" t="s">
        <v>26</v>
      </c>
    </row>
    <row r="67" spans="1:14" x14ac:dyDescent="0.2">
      <c r="A67" s="30">
        <v>25</v>
      </c>
      <c r="B67" s="30" t="s">
        <v>44</v>
      </c>
      <c r="C67" s="30" t="s">
        <v>34</v>
      </c>
      <c r="D67" s="80" t="s">
        <v>41</v>
      </c>
      <c r="E67" s="80" t="s">
        <v>31</v>
      </c>
      <c r="F67" s="80" t="s">
        <v>36</v>
      </c>
      <c r="G67" s="30" t="s">
        <v>24</v>
      </c>
      <c r="H67" s="30" t="s">
        <v>11</v>
      </c>
      <c r="I67" s="80" t="s">
        <v>35</v>
      </c>
      <c r="J67" s="30" t="s">
        <v>39</v>
      </c>
      <c r="K67" s="80">
        <v>0</v>
      </c>
      <c r="L67" s="30" t="s">
        <v>17</v>
      </c>
      <c r="M67" s="31" t="s">
        <v>26</v>
      </c>
    </row>
    <row r="68" spans="1:14" x14ac:dyDescent="0.2">
      <c r="A68" s="30">
        <v>27</v>
      </c>
      <c r="B68" s="30" t="s">
        <v>44</v>
      </c>
      <c r="C68" s="30" t="s">
        <v>34</v>
      </c>
      <c r="D68" s="80" t="s">
        <v>41</v>
      </c>
      <c r="E68" s="80" t="s">
        <v>31</v>
      </c>
      <c r="F68" s="80" t="s">
        <v>36</v>
      </c>
      <c r="G68" s="30" t="s">
        <v>23</v>
      </c>
      <c r="H68" s="30" t="s">
        <v>11</v>
      </c>
      <c r="I68" s="80" t="s">
        <v>16</v>
      </c>
      <c r="J68" s="30" t="s">
        <v>28</v>
      </c>
      <c r="K68" s="80">
        <v>0</v>
      </c>
      <c r="L68" s="30" t="s">
        <v>12</v>
      </c>
      <c r="M68" s="30" t="s">
        <v>25</v>
      </c>
    </row>
    <row r="69" spans="1:14" x14ac:dyDescent="0.2">
      <c r="A69" s="30">
        <v>28</v>
      </c>
      <c r="B69" s="30" t="s">
        <v>44</v>
      </c>
      <c r="C69" s="30" t="s">
        <v>34</v>
      </c>
      <c r="D69" s="80" t="s">
        <v>40</v>
      </c>
      <c r="E69" s="80" t="s">
        <v>31</v>
      </c>
      <c r="F69" s="80" t="s">
        <v>36</v>
      </c>
      <c r="G69" s="30" t="s">
        <v>24</v>
      </c>
      <c r="H69" s="30" t="s">
        <v>11</v>
      </c>
      <c r="I69" s="80" t="s">
        <v>16</v>
      </c>
      <c r="J69" s="30" t="s">
        <v>39</v>
      </c>
      <c r="K69" s="80">
        <v>0</v>
      </c>
      <c r="L69" s="30" t="s">
        <v>12</v>
      </c>
      <c r="M69" s="30" t="s">
        <v>25</v>
      </c>
    </row>
    <row r="70" spans="1:14" x14ac:dyDescent="0.2">
      <c r="A70" s="30">
        <v>29</v>
      </c>
      <c r="B70" s="30" t="s">
        <v>44</v>
      </c>
      <c r="C70" s="30" t="s">
        <v>24</v>
      </c>
      <c r="D70" s="80" t="s">
        <v>40</v>
      </c>
      <c r="E70" s="80" t="s">
        <v>31</v>
      </c>
      <c r="F70" s="80" t="s">
        <v>36</v>
      </c>
      <c r="G70" s="30" t="s">
        <v>23</v>
      </c>
      <c r="H70" s="30" t="s">
        <v>11</v>
      </c>
      <c r="I70" s="80" t="s">
        <v>16</v>
      </c>
      <c r="J70" s="30" t="s">
        <v>39</v>
      </c>
      <c r="K70" s="80">
        <v>0.34242232099999997</v>
      </c>
      <c r="L70" s="30" t="s">
        <v>15</v>
      </c>
      <c r="M70" s="30" t="s">
        <v>25</v>
      </c>
    </row>
    <row r="71" spans="1:14" x14ac:dyDescent="0.2">
      <c r="A71" s="30">
        <v>30</v>
      </c>
      <c r="B71" s="30" t="s">
        <v>44</v>
      </c>
      <c r="C71" s="30" t="s">
        <v>34</v>
      </c>
      <c r="D71" s="80" t="s">
        <v>40</v>
      </c>
      <c r="E71" s="80" t="s">
        <v>31</v>
      </c>
      <c r="F71" s="80" t="s">
        <v>36</v>
      </c>
      <c r="G71" s="30" t="s">
        <v>24</v>
      </c>
      <c r="H71" s="30" t="s">
        <v>11</v>
      </c>
      <c r="I71" s="80" t="s">
        <v>35</v>
      </c>
      <c r="J71" s="30" t="s">
        <v>39</v>
      </c>
      <c r="K71" s="80">
        <v>0</v>
      </c>
      <c r="L71" s="30" t="s">
        <v>17</v>
      </c>
      <c r="M71" s="30" t="s">
        <v>25</v>
      </c>
    </row>
    <row r="72" spans="1:14" x14ac:dyDescent="0.2">
      <c r="A72" t="s">
        <v>309</v>
      </c>
      <c r="B72">
        <f>9/11</f>
        <v>0.81818181818181823</v>
      </c>
      <c r="C72">
        <f>8/11</f>
        <v>0.72727272727272729</v>
      </c>
      <c r="D72">
        <f>7/11</f>
        <v>0.63636363636363635</v>
      </c>
      <c r="I72" s="2">
        <f>9/11</f>
        <v>0.81818181818181823</v>
      </c>
      <c r="J72">
        <f>10/11</f>
        <v>0.90909090909090906</v>
      </c>
      <c r="K72" t="s">
        <v>54</v>
      </c>
      <c r="M72">
        <f>6/11</f>
        <v>0.54545454545454541</v>
      </c>
      <c r="N72" t="s">
        <v>25</v>
      </c>
    </row>
    <row r="73" spans="1:14" x14ac:dyDescent="0.2">
      <c r="A73" s="103"/>
      <c r="B73" s="30" t="s">
        <v>44</v>
      </c>
      <c r="C73" s="30" t="s">
        <v>34</v>
      </c>
      <c r="D73" s="87" t="s">
        <v>40</v>
      </c>
      <c r="I73" s="87" t="s">
        <v>108</v>
      </c>
    </row>
    <row r="75" spans="1:14" x14ac:dyDescent="0.2">
      <c r="A75" s="103"/>
    </row>
    <row r="79" spans="1:14" x14ac:dyDescent="0.2">
      <c r="C79" s="98" t="s">
        <v>51</v>
      </c>
    </row>
    <row r="80" spans="1:14" x14ac:dyDescent="0.2">
      <c r="C80" s="98" t="s">
        <v>52</v>
      </c>
    </row>
    <row r="81" spans="3:3" x14ac:dyDescent="0.2">
      <c r="C81" s="92" t="s">
        <v>53</v>
      </c>
    </row>
    <row r="82" spans="3:3" x14ac:dyDescent="0.2">
      <c r="C82" s="92" t="s">
        <v>55</v>
      </c>
    </row>
    <row r="83" spans="3:3" x14ac:dyDescent="0.2">
      <c r="C83" s="98" t="s">
        <v>56</v>
      </c>
    </row>
    <row r="84" spans="3:3" x14ac:dyDescent="0.2">
      <c r="C84" s="30" t="s">
        <v>101</v>
      </c>
    </row>
    <row r="85" spans="3:3" x14ac:dyDescent="0.2">
      <c r="C85" s="92" t="s">
        <v>61</v>
      </c>
    </row>
    <row r="86" spans="3:3" x14ac:dyDescent="0.2">
      <c r="C86" s="30" t="s">
        <v>72</v>
      </c>
    </row>
    <row r="87" spans="3:3" x14ac:dyDescent="0.2">
      <c r="C87" s="98" t="s">
        <v>75</v>
      </c>
    </row>
    <row r="99" spans="1:14" x14ac:dyDescent="0.2">
      <c r="A99" s="106"/>
      <c r="B99" s="87"/>
      <c r="C99" s="87"/>
      <c r="D99" s="87"/>
      <c r="E99" s="87"/>
      <c r="F99" s="87"/>
      <c r="G99" s="87"/>
      <c r="H99" s="87"/>
      <c r="I99" s="87"/>
      <c r="J99" s="87"/>
      <c r="K99" s="87"/>
      <c r="L99" s="87"/>
      <c r="M99" s="107"/>
      <c r="N99" s="108"/>
    </row>
    <row r="100" spans="1:14" x14ac:dyDescent="0.2">
      <c r="A100" s="106"/>
      <c r="B100" s="87"/>
      <c r="C100" s="87"/>
      <c r="D100" s="87"/>
      <c r="E100" s="87"/>
      <c r="F100" s="87"/>
      <c r="G100" s="87"/>
      <c r="H100" s="87"/>
      <c r="I100" s="87"/>
      <c r="J100" s="87">
        <f>3000*0.3</f>
        <v>900</v>
      </c>
      <c r="K100" s="87"/>
      <c r="L100" s="87"/>
      <c r="M100" s="107"/>
      <c r="N100" s="108"/>
    </row>
    <row r="101" spans="1:14" x14ac:dyDescent="0.2">
      <c r="A101" s="106"/>
      <c r="B101" s="87"/>
      <c r="C101" s="87"/>
      <c r="D101" s="87"/>
      <c r="E101" s="87"/>
      <c r="F101" s="87"/>
      <c r="G101" s="87"/>
      <c r="H101" s="87"/>
      <c r="I101" s="87"/>
      <c r="J101" s="87"/>
      <c r="K101" s="87"/>
      <c r="L101" s="87"/>
      <c r="M101" s="87"/>
      <c r="N101" s="108"/>
    </row>
    <row r="102" spans="1:14" x14ac:dyDescent="0.2">
      <c r="A102" s="106"/>
      <c r="B102" s="87"/>
      <c r="C102" s="87"/>
      <c r="D102" s="87"/>
      <c r="E102" s="87"/>
      <c r="F102" s="87"/>
      <c r="G102" s="87"/>
      <c r="H102" s="87"/>
      <c r="I102" s="87"/>
      <c r="J102" s="87"/>
      <c r="K102" s="87"/>
      <c r="L102" s="87"/>
      <c r="M102" s="107"/>
      <c r="N102" s="108"/>
    </row>
    <row r="103" spans="1:14" x14ac:dyDescent="0.2">
      <c r="A103" s="106"/>
      <c r="B103" s="87"/>
      <c r="C103" s="87"/>
      <c r="D103" s="87"/>
      <c r="E103" s="87"/>
      <c r="F103" s="87"/>
      <c r="G103" s="87"/>
      <c r="H103" s="87"/>
      <c r="I103" s="87"/>
      <c r="J103" s="87"/>
      <c r="K103" s="87"/>
      <c r="L103" s="87"/>
      <c r="M103" s="107"/>
      <c r="N103" s="108"/>
    </row>
    <row r="104" spans="1:14" x14ac:dyDescent="0.2">
      <c r="A104" s="108"/>
      <c r="B104" s="108"/>
      <c r="C104" s="108"/>
      <c r="D104" s="108"/>
      <c r="E104" s="108"/>
      <c r="F104" s="108"/>
      <c r="G104" s="108"/>
      <c r="H104" s="108"/>
      <c r="I104" s="108"/>
      <c r="J104" s="108"/>
      <c r="K104" s="108"/>
      <c r="L104" s="108"/>
      <c r="M104" s="108"/>
      <c r="N104" s="108"/>
    </row>
    <row r="105" spans="1:14" x14ac:dyDescent="0.2">
      <c r="A105" s="108"/>
      <c r="B105" s="108"/>
      <c r="C105" s="108"/>
      <c r="D105" s="108"/>
      <c r="E105" s="108"/>
      <c r="F105" s="108"/>
      <c r="G105" s="108"/>
      <c r="H105" s="108"/>
      <c r="I105" s="108"/>
      <c r="J105" s="108"/>
      <c r="K105" s="108"/>
      <c r="L105" s="108"/>
      <c r="M105" s="108"/>
      <c r="N105" s="108"/>
    </row>
    <row r="106" spans="1:14" x14ac:dyDescent="0.2">
      <c r="A106" s="108"/>
      <c r="B106" s="108"/>
      <c r="C106" s="108"/>
      <c r="D106" s="108"/>
      <c r="E106" s="108"/>
      <c r="F106" s="108"/>
      <c r="G106" s="108"/>
      <c r="H106" s="108"/>
      <c r="I106" s="108"/>
      <c r="J106" s="108"/>
      <c r="K106" s="108"/>
      <c r="L106" s="108"/>
      <c r="M106" s="108"/>
      <c r="N106" s="108"/>
    </row>
    <row r="107" spans="1:14" x14ac:dyDescent="0.2">
      <c r="A107" s="108"/>
      <c r="B107" s="108"/>
      <c r="C107" s="108"/>
      <c r="D107" s="108"/>
      <c r="E107" s="108"/>
      <c r="F107" s="108"/>
      <c r="G107" s="108"/>
      <c r="H107" s="108"/>
      <c r="I107" s="108"/>
      <c r="J107" s="108"/>
      <c r="K107" s="108"/>
      <c r="L107" s="108"/>
      <c r="M107" s="108"/>
      <c r="N107" s="108"/>
    </row>
    <row r="108" spans="1:14" x14ac:dyDescent="0.2">
      <c r="A108" s="108"/>
      <c r="B108" s="108"/>
      <c r="C108" s="108"/>
      <c r="D108" s="108"/>
      <c r="E108" s="108"/>
      <c r="F108" s="108"/>
      <c r="G108" s="108"/>
      <c r="H108" s="108"/>
      <c r="I108" s="108"/>
      <c r="J108" s="108"/>
      <c r="K108" s="108"/>
      <c r="L108" s="108"/>
      <c r="M108" s="108"/>
      <c r="N108" s="108"/>
    </row>
  </sheetData>
  <phoneticPr fontId="13" type="noConversion"/>
  <pageMargins left="0.7" right="0.7" top="0.75" bottom="0.75" header="0.3" footer="0.3"/>
  <pageSetup paperSize="9" orientation="portrait" horizontalDpi="0" verticalDpi="0"/>
  <rowBreaks count="1" manualBreakCount="1">
    <brk id="63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E53"/>
  <sheetViews>
    <sheetView workbookViewId="0">
      <pane xSplit="10" ySplit="2" topLeftCell="Z27" activePane="bottomRight" state="frozen"/>
      <selection pane="topRight" activeCell="K1" sqref="K1"/>
      <selection pane="bottomLeft" activeCell="A3" sqref="A3"/>
      <selection pane="bottomRight" activeCell="A18" sqref="A18:A31"/>
    </sheetView>
  </sheetViews>
  <sheetFormatPr baseColWidth="10" defaultRowHeight="16" x14ac:dyDescent="0.2"/>
  <sheetData>
    <row r="2" spans="1:57" x14ac:dyDescent="0.2">
      <c r="B2" s="115" t="s">
        <v>145</v>
      </c>
      <c r="C2" s="115" t="s">
        <v>146</v>
      </c>
      <c r="D2" s="115" t="s">
        <v>147</v>
      </c>
      <c r="E2" s="115" t="s">
        <v>148</v>
      </c>
      <c r="F2" s="115" t="s">
        <v>149</v>
      </c>
      <c r="G2" s="115" t="s">
        <v>150</v>
      </c>
      <c r="H2" s="115" t="s">
        <v>151</v>
      </c>
      <c r="I2" s="115" t="s">
        <v>152</v>
      </c>
      <c r="J2" s="115" t="s">
        <v>153</v>
      </c>
      <c r="K2" s="115" t="s">
        <v>154</v>
      </c>
      <c r="L2" t="s">
        <v>8</v>
      </c>
      <c r="M2" s="115" t="s">
        <v>155</v>
      </c>
      <c r="N2" s="115" t="s">
        <v>156</v>
      </c>
      <c r="O2" s="115" t="s">
        <v>157</v>
      </c>
      <c r="P2" t="s">
        <v>158</v>
      </c>
      <c r="Q2" t="s">
        <v>22</v>
      </c>
      <c r="R2" t="s">
        <v>159</v>
      </c>
      <c r="S2" t="s">
        <v>160</v>
      </c>
      <c r="T2" t="s">
        <v>161</v>
      </c>
      <c r="U2" t="s">
        <v>162</v>
      </c>
      <c r="V2" t="s">
        <v>163</v>
      </c>
      <c r="W2" t="s">
        <v>0</v>
      </c>
      <c r="X2" t="s">
        <v>1</v>
      </c>
      <c r="Y2" t="s">
        <v>2</v>
      </c>
      <c r="Z2" t="s">
        <v>3</v>
      </c>
      <c r="AA2" t="s">
        <v>4</v>
      </c>
      <c r="AB2" t="s">
        <v>5</v>
      </c>
      <c r="AC2" t="s">
        <v>6</v>
      </c>
      <c r="AD2" t="s">
        <v>7</v>
      </c>
      <c r="AF2" t="s">
        <v>9</v>
      </c>
      <c r="AG2" t="s">
        <v>104</v>
      </c>
      <c r="AH2" s="1" t="s">
        <v>10</v>
      </c>
      <c r="AI2" s="1" t="s">
        <v>164</v>
      </c>
      <c r="AJ2" s="118" t="s">
        <v>165</v>
      </c>
      <c r="AK2" s="118" t="s">
        <v>166</v>
      </c>
      <c r="AL2" s="1" t="s">
        <v>167</v>
      </c>
      <c r="AM2" t="s">
        <v>168</v>
      </c>
      <c r="AN2" t="s">
        <v>169</v>
      </c>
      <c r="AO2" t="s">
        <v>170</v>
      </c>
      <c r="AP2" t="s">
        <v>171</v>
      </c>
      <c r="AQ2" s="1"/>
      <c r="AR2" s="1" t="s">
        <v>172</v>
      </c>
      <c r="AS2" s="119" t="s">
        <v>173</v>
      </c>
      <c r="AT2" s="119" t="s">
        <v>174</v>
      </c>
      <c r="AU2" s="119" t="s">
        <v>175</v>
      </c>
      <c r="AV2" s="119" t="s">
        <v>176</v>
      </c>
      <c r="AW2" s="119" t="s">
        <v>177</v>
      </c>
      <c r="AX2" s="119" t="s">
        <v>178</v>
      </c>
      <c r="AY2" s="119" t="s">
        <v>179</v>
      </c>
      <c r="AZ2" s="119" t="s">
        <v>180</v>
      </c>
      <c r="BA2" s="119" t="s">
        <v>181</v>
      </c>
      <c r="BB2" s="119" t="s">
        <v>182</v>
      </c>
      <c r="BC2" s="119" t="s">
        <v>183</v>
      </c>
      <c r="BD2" s="119"/>
      <c r="BE2" s="119" t="s">
        <v>184</v>
      </c>
    </row>
    <row r="3" spans="1:57" x14ac:dyDescent="0.2">
      <c r="A3" t="s">
        <v>114</v>
      </c>
      <c r="B3" s="115">
        <v>50</v>
      </c>
      <c r="C3" s="115">
        <v>15</v>
      </c>
      <c r="D3" s="115">
        <v>0</v>
      </c>
      <c r="E3" s="115">
        <v>0</v>
      </c>
      <c r="F3" s="115">
        <v>0</v>
      </c>
      <c r="G3" s="115">
        <v>0</v>
      </c>
      <c r="H3" s="115"/>
      <c r="I3" s="115">
        <v>50</v>
      </c>
      <c r="J3" s="115">
        <v>0</v>
      </c>
      <c r="K3" s="115"/>
      <c r="L3">
        <v>0</v>
      </c>
      <c r="M3">
        <v>65</v>
      </c>
      <c r="N3" s="116">
        <v>36</v>
      </c>
      <c r="O3" s="115">
        <v>12</v>
      </c>
      <c r="P3">
        <v>0.7</v>
      </c>
      <c r="Q3">
        <v>0.23333333333333331</v>
      </c>
      <c r="R3">
        <v>1245400</v>
      </c>
      <c r="S3">
        <v>903700</v>
      </c>
      <c r="T3">
        <v>1101233.3333333333</v>
      </c>
      <c r="U3">
        <v>4719571.4285714291</v>
      </c>
      <c r="V3">
        <v>3303700</v>
      </c>
      <c r="W3" s="1">
        <v>1</v>
      </c>
      <c r="X3">
        <v>1</v>
      </c>
      <c r="Y3" s="1">
        <v>0</v>
      </c>
      <c r="Z3">
        <v>2</v>
      </c>
      <c r="AA3">
        <v>1</v>
      </c>
      <c r="AB3">
        <v>1</v>
      </c>
      <c r="AC3" t="s">
        <v>11</v>
      </c>
      <c r="AD3" t="s">
        <v>16</v>
      </c>
      <c r="AF3">
        <v>0.72645821351817663</v>
      </c>
      <c r="AG3" t="s">
        <v>34</v>
      </c>
      <c r="AH3" s="1" t="s">
        <v>17</v>
      </c>
      <c r="AI3">
        <v>3</v>
      </c>
      <c r="AJ3" s="117">
        <v>4700</v>
      </c>
      <c r="AK3" s="1">
        <v>0</v>
      </c>
      <c r="AL3" s="1">
        <v>0</v>
      </c>
      <c r="AM3">
        <v>2</v>
      </c>
      <c r="AN3">
        <v>3</v>
      </c>
      <c r="AO3">
        <v>3</v>
      </c>
      <c r="AP3">
        <v>0</v>
      </c>
      <c r="AQ3" s="1"/>
      <c r="AR3" s="1" t="s">
        <v>23</v>
      </c>
      <c r="AS3">
        <v>47</v>
      </c>
      <c r="AT3" t="s">
        <v>115</v>
      </c>
      <c r="AU3" t="s">
        <v>24</v>
      </c>
      <c r="AV3" t="s">
        <v>116</v>
      </c>
      <c r="AW3" t="s">
        <v>117</v>
      </c>
      <c r="AX3" t="s">
        <v>24</v>
      </c>
      <c r="AY3" t="s">
        <v>118</v>
      </c>
      <c r="AZ3" t="s">
        <v>119</v>
      </c>
      <c r="BA3" t="s">
        <v>34</v>
      </c>
      <c r="BB3" t="s">
        <v>120</v>
      </c>
      <c r="BC3" t="s">
        <v>121</v>
      </c>
      <c r="BD3" t="s">
        <v>122</v>
      </c>
      <c r="BE3" s="1">
        <v>2005</v>
      </c>
    </row>
    <row r="4" spans="1:57" x14ac:dyDescent="0.2">
      <c r="A4" t="s">
        <v>123</v>
      </c>
      <c r="B4" s="115">
        <v>30</v>
      </c>
      <c r="C4" s="115">
        <v>20</v>
      </c>
      <c r="D4" s="115">
        <v>20</v>
      </c>
      <c r="E4" s="115">
        <v>0</v>
      </c>
      <c r="F4" s="115">
        <v>0</v>
      </c>
      <c r="G4" s="115">
        <v>0</v>
      </c>
      <c r="H4" s="115"/>
      <c r="I4" s="115">
        <v>30</v>
      </c>
      <c r="J4" s="115">
        <v>0</v>
      </c>
      <c r="K4" s="115">
        <v>0</v>
      </c>
      <c r="L4">
        <v>0</v>
      </c>
      <c r="M4">
        <v>70</v>
      </c>
      <c r="N4" s="115">
        <v>24</v>
      </c>
      <c r="O4" s="115">
        <v>12</v>
      </c>
      <c r="P4">
        <v>0.7</v>
      </c>
      <c r="Q4">
        <v>0.35</v>
      </c>
      <c r="R4">
        <v>793000</v>
      </c>
      <c r="S4">
        <v>726000</v>
      </c>
      <c r="T4">
        <v>363000</v>
      </c>
      <c r="U4">
        <v>1209999.9999999998</v>
      </c>
      <c r="V4">
        <v>726000</v>
      </c>
      <c r="W4" s="1">
        <v>1</v>
      </c>
      <c r="X4">
        <v>1</v>
      </c>
      <c r="Y4" s="1">
        <v>2</v>
      </c>
      <c r="Z4">
        <v>2</v>
      </c>
      <c r="AA4">
        <v>0</v>
      </c>
      <c r="AB4">
        <v>1</v>
      </c>
      <c r="AC4" t="s">
        <v>11</v>
      </c>
      <c r="AD4" t="s">
        <v>16</v>
      </c>
      <c r="AF4">
        <v>0</v>
      </c>
      <c r="AG4" t="s">
        <v>24</v>
      </c>
      <c r="AH4" s="1" t="s">
        <v>15</v>
      </c>
      <c r="AI4">
        <v>3</v>
      </c>
      <c r="AJ4" s="1">
        <v>0</v>
      </c>
      <c r="AK4" s="1">
        <v>0</v>
      </c>
      <c r="AL4" s="1">
        <v>0</v>
      </c>
      <c r="AM4">
        <v>2</v>
      </c>
      <c r="AN4">
        <v>3</v>
      </c>
      <c r="AO4">
        <v>3</v>
      </c>
      <c r="AP4">
        <v>0</v>
      </c>
      <c r="AQ4" s="1"/>
      <c r="AR4" s="1" t="s">
        <v>34</v>
      </c>
      <c r="AS4" t="s">
        <v>105</v>
      </c>
      <c r="AT4" t="s">
        <v>115</v>
      </c>
      <c r="AU4" t="s">
        <v>24</v>
      </c>
      <c r="AV4" t="s">
        <v>124</v>
      </c>
      <c r="AW4" t="s">
        <v>117</v>
      </c>
      <c r="AX4" t="s">
        <v>24</v>
      </c>
      <c r="AY4" t="s">
        <v>118</v>
      </c>
      <c r="AZ4" t="s">
        <v>119</v>
      </c>
      <c r="BA4" t="s">
        <v>34</v>
      </c>
      <c r="BB4" t="s">
        <v>125</v>
      </c>
      <c r="BC4" t="s">
        <v>126</v>
      </c>
      <c r="BE4">
        <v>2017</v>
      </c>
    </row>
    <row r="5" spans="1:57" x14ac:dyDescent="0.2">
      <c r="A5" t="s">
        <v>127</v>
      </c>
      <c r="B5" s="115">
        <v>50</v>
      </c>
      <c r="C5" s="115">
        <v>50</v>
      </c>
      <c r="D5" s="115">
        <v>30</v>
      </c>
      <c r="E5" s="115">
        <v>0</v>
      </c>
      <c r="F5" s="115">
        <v>0</v>
      </c>
      <c r="G5" s="115">
        <v>0</v>
      </c>
      <c r="H5" s="115"/>
      <c r="I5" s="115">
        <v>0</v>
      </c>
      <c r="J5" s="115">
        <v>0</v>
      </c>
      <c r="K5" s="115">
        <v>0</v>
      </c>
      <c r="L5">
        <v>0</v>
      </c>
      <c r="M5">
        <v>80</v>
      </c>
      <c r="N5" s="115">
        <v>0</v>
      </c>
      <c r="O5" s="115">
        <v>0</v>
      </c>
      <c r="P5" s="1">
        <v>0.8</v>
      </c>
      <c r="Q5" s="1">
        <v>0.2</v>
      </c>
      <c r="R5" s="1">
        <v>1345000</v>
      </c>
      <c r="S5" s="1">
        <v>1334000</v>
      </c>
      <c r="T5" s="1">
        <v>1867000</v>
      </c>
      <c r="U5" s="1">
        <v>7468000</v>
      </c>
      <c r="V5" s="1">
        <v>3734000</v>
      </c>
      <c r="W5" s="1">
        <v>0</v>
      </c>
      <c r="X5" s="1">
        <v>1</v>
      </c>
      <c r="Y5" s="1">
        <v>0</v>
      </c>
      <c r="Z5" s="1">
        <v>2</v>
      </c>
      <c r="AA5" s="1">
        <v>1</v>
      </c>
      <c r="AB5" s="1">
        <v>0</v>
      </c>
      <c r="AC5" t="s">
        <v>11</v>
      </c>
      <c r="AD5" t="s">
        <v>16</v>
      </c>
      <c r="AF5">
        <v>0.64274236743438673</v>
      </c>
      <c r="AG5" t="s">
        <v>24</v>
      </c>
      <c r="AH5" s="1" t="s">
        <v>12</v>
      </c>
      <c r="AI5" s="1" t="s">
        <v>128</v>
      </c>
      <c r="AJ5" s="1" t="s">
        <v>128</v>
      </c>
      <c r="AK5" s="1" t="s">
        <v>128</v>
      </c>
      <c r="AL5" s="1" t="s">
        <v>128</v>
      </c>
      <c r="AM5" s="1" t="s">
        <v>128</v>
      </c>
      <c r="AN5" s="1" t="s">
        <v>128</v>
      </c>
      <c r="AO5" s="1" t="s">
        <v>128</v>
      </c>
      <c r="AP5" s="1" t="s">
        <v>128</v>
      </c>
      <c r="AQ5" s="1" t="s">
        <v>128</v>
      </c>
      <c r="AR5" s="1" t="s">
        <v>128</v>
      </c>
      <c r="AS5" s="1" t="s">
        <v>128</v>
      </c>
      <c r="AT5" s="1" t="s">
        <v>128</v>
      </c>
      <c r="AU5" s="1" t="s">
        <v>128</v>
      </c>
      <c r="AV5" s="1" t="s">
        <v>128</v>
      </c>
      <c r="AW5" s="1" t="s">
        <v>128</v>
      </c>
      <c r="AX5" s="1" t="s">
        <v>128</v>
      </c>
      <c r="AY5" s="1" t="s">
        <v>128</v>
      </c>
      <c r="AZ5" s="1" t="s">
        <v>128</v>
      </c>
      <c r="BA5" s="1" t="s">
        <v>128</v>
      </c>
      <c r="BB5" s="1" t="s">
        <v>128</v>
      </c>
      <c r="BC5" s="1" t="s">
        <v>128</v>
      </c>
      <c r="BD5" s="1" t="s">
        <v>128</v>
      </c>
    </row>
    <row r="6" spans="1:57" x14ac:dyDescent="0.2">
      <c r="A6" t="s">
        <v>129</v>
      </c>
      <c r="B6" s="115">
        <v>20</v>
      </c>
      <c r="C6" s="115">
        <v>60</v>
      </c>
      <c r="D6" s="115">
        <v>60</v>
      </c>
      <c r="E6" s="115">
        <v>0</v>
      </c>
      <c r="F6" s="115">
        <v>60</v>
      </c>
      <c r="G6" s="115">
        <v>0</v>
      </c>
      <c r="H6" s="115"/>
      <c r="I6" s="115">
        <v>0</v>
      </c>
      <c r="J6" s="115">
        <v>0</v>
      </c>
      <c r="K6" s="115">
        <v>0</v>
      </c>
      <c r="L6" s="115">
        <v>0</v>
      </c>
      <c r="M6">
        <v>140</v>
      </c>
      <c r="N6" s="115">
        <v>0</v>
      </c>
      <c r="O6" s="115">
        <v>0</v>
      </c>
      <c r="P6" s="1">
        <v>1.4</v>
      </c>
      <c r="Q6" s="1">
        <v>0.7</v>
      </c>
      <c r="R6" s="1">
        <v>608333.33333333326</v>
      </c>
      <c r="S6" s="1">
        <v>597333.33333333326</v>
      </c>
      <c r="T6" s="1">
        <v>1018666.6666666666</v>
      </c>
      <c r="U6" s="1">
        <v>3395555.5555555555</v>
      </c>
      <c r="V6" s="1">
        <v>2037333.3333333333</v>
      </c>
      <c r="W6" s="1">
        <v>1</v>
      </c>
      <c r="X6" s="1">
        <v>1</v>
      </c>
      <c r="Y6" s="1">
        <v>2</v>
      </c>
      <c r="Z6" s="1">
        <v>2</v>
      </c>
      <c r="AA6" s="1">
        <v>0</v>
      </c>
      <c r="AB6" s="1">
        <v>0</v>
      </c>
      <c r="AC6" t="s">
        <v>11</v>
      </c>
      <c r="AD6" t="s">
        <v>16</v>
      </c>
      <c r="AF6">
        <v>0</v>
      </c>
      <c r="AG6" t="s">
        <v>34</v>
      </c>
      <c r="AH6" s="1" t="s">
        <v>12</v>
      </c>
      <c r="AI6" s="1" t="s">
        <v>128</v>
      </c>
      <c r="AJ6" s="1" t="s">
        <v>128</v>
      </c>
      <c r="AK6" s="1" t="s">
        <v>128</v>
      </c>
      <c r="AL6" s="1" t="s">
        <v>128</v>
      </c>
      <c r="AM6" s="1" t="s">
        <v>128</v>
      </c>
      <c r="AN6" s="1" t="s">
        <v>128</v>
      </c>
      <c r="AO6" s="1" t="s">
        <v>128</v>
      </c>
      <c r="AP6" s="1" t="s">
        <v>128</v>
      </c>
      <c r="AQ6" s="1" t="s">
        <v>128</v>
      </c>
      <c r="AR6" s="1" t="s">
        <v>128</v>
      </c>
      <c r="AS6" s="1" t="s">
        <v>128</v>
      </c>
      <c r="AT6" s="1" t="s">
        <v>128</v>
      </c>
      <c r="AU6" s="1" t="s">
        <v>128</v>
      </c>
      <c r="AV6" s="1" t="s">
        <v>128</v>
      </c>
      <c r="AW6" s="1" t="s">
        <v>128</v>
      </c>
      <c r="AX6" s="1" t="s">
        <v>128</v>
      </c>
      <c r="AY6" s="1" t="s">
        <v>128</v>
      </c>
      <c r="AZ6" s="1" t="s">
        <v>128</v>
      </c>
      <c r="BA6" s="1" t="s">
        <v>128</v>
      </c>
      <c r="BB6" s="1" t="s">
        <v>128</v>
      </c>
      <c r="BC6" s="1" t="s">
        <v>128</v>
      </c>
      <c r="BD6" s="1" t="s">
        <v>128</v>
      </c>
    </row>
    <row r="7" spans="1:57" x14ac:dyDescent="0.2">
      <c r="A7" t="s">
        <v>130</v>
      </c>
      <c r="B7">
        <v>50</v>
      </c>
      <c r="C7" s="3">
        <v>20</v>
      </c>
      <c r="D7">
        <v>25</v>
      </c>
      <c r="E7" s="115">
        <v>25</v>
      </c>
      <c r="F7">
        <v>25</v>
      </c>
      <c r="G7">
        <v>20</v>
      </c>
      <c r="I7">
        <v>0</v>
      </c>
      <c r="J7">
        <v>50</v>
      </c>
      <c r="K7">
        <v>0</v>
      </c>
      <c r="L7">
        <v>0</v>
      </c>
      <c r="M7">
        <v>95</v>
      </c>
      <c r="N7" s="115">
        <v>0</v>
      </c>
      <c r="O7" s="115">
        <v>0</v>
      </c>
      <c r="P7">
        <v>1</v>
      </c>
      <c r="Q7">
        <v>0.5</v>
      </c>
      <c r="R7">
        <v>186500</v>
      </c>
      <c r="S7">
        <v>115500</v>
      </c>
      <c r="T7">
        <v>1389250</v>
      </c>
      <c r="U7">
        <v>2924736.8421052634</v>
      </c>
      <c r="V7">
        <v>2778500</v>
      </c>
      <c r="W7">
        <v>0</v>
      </c>
      <c r="X7" s="115">
        <v>0</v>
      </c>
      <c r="Y7" s="1">
        <v>0</v>
      </c>
      <c r="Z7">
        <v>2</v>
      </c>
      <c r="AA7">
        <v>0</v>
      </c>
      <c r="AB7">
        <v>1</v>
      </c>
      <c r="AC7" s="1" t="s">
        <v>11</v>
      </c>
      <c r="AD7" s="1" t="s">
        <v>16</v>
      </c>
      <c r="AF7">
        <v>0.95843080798992264</v>
      </c>
      <c r="AG7" s="1" t="s">
        <v>105</v>
      </c>
      <c r="AH7" s="1" t="s">
        <v>12</v>
      </c>
      <c r="AI7">
        <v>3</v>
      </c>
      <c r="AJ7" s="1">
        <v>6000</v>
      </c>
      <c r="AK7" s="1">
        <v>200</v>
      </c>
      <c r="AL7" s="1">
        <v>60</v>
      </c>
      <c r="AM7">
        <v>2</v>
      </c>
      <c r="AN7">
        <v>2</v>
      </c>
      <c r="AO7">
        <v>2</v>
      </c>
      <c r="AP7">
        <v>0</v>
      </c>
      <c r="AQ7" s="1"/>
      <c r="AR7" s="1" t="s">
        <v>34</v>
      </c>
      <c r="AS7">
        <v>41</v>
      </c>
      <c r="AT7" t="s">
        <v>131</v>
      </c>
      <c r="AU7" t="s">
        <v>24</v>
      </c>
      <c r="AV7" t="s">
        <v>124</v>
      </c>
      <c r="AW7" t="s">
        <v>117</v>
      </c>
      <c r="AX7" t="s">
        <v>24</v>
      </c>
      <c r="AY7" t="s">
        <v>118</v>
      </c>
      <c r="AZ7" t="s">
        <v>119</v>
      </c>
      <c r="BA7" t="s">
        <v>34</v>
      </c>
      <c r="BB7" t="s">
        <v>120</v>
      </c>
      <c r="BC7" t="s">
        <v>126</v>
      </c>
      <c r="BE7" s="1">
        <v>2006</v>
      </c>
    </row>
    <row r="8" spans="1:57" x14ac:dyDescent="0.2">
      <c r="A8" t="s">
        <v>132</v>
      </c>
      <c r="B8">
        <v>40</v>
      </c>
      <c r="C8">
        <v>20</v>
      </c>
      <c r="D8">
        <v>20</v>
      </c>
      <c r="E8">
        <v>15</v>
      </c>
      <c r="F8">
        <v>0</v>
      </c>
      <c r="G8">
        <v>0</v>
      </c>
      <c r="I8">
        <v>10</v>
      </c>
      <c r="J8">
        <v>0</v>
      </c>
      <c r="K8">
        <v>0</v>
      </c>
      <c r="L8">
        <v>0</v>
      </c>
      <c r="M8">
        <v>95</v>
      </c>
      <c r="N8" s="115">
        <v>6</v>
      </c>
      <c r="O8" s="115">
        <v>0</v>
      </c>
      <c r="P8">
        <v>1</v>
      </c>
      <c r="Q8">
        <v>0.25</v>
      </c>
      <c r="R8">
        <v>439833.33333333337</v>
      </c>
      <c r="S8">
        <v>368833.33333333337</v>
      </c>
      <c r="T8">
        <v>1171916.6666666667</v>
      </c>
      <c r="U8">
        <v>2467192.9824561407</v>
      </c>
      <c r="V8">
        <v>2343833.3333333335</v>
      </c>
      <c r="W8">
        <v>1</v>
      </c>
      <c r="X8">
        <v>1</v>
      </c>
      <c r="Y8" s="1">
        <v>0</v>
      </c>
      <c r="Z8">
        <v>3</v>
      </c>
      <c r="AA8">
        <v>0</v>
      </c>
      <c r="AB8">
        <v>0</v>
      </c>
      <c r="AC8" s="1" t="s">
        <v>11</v>
      </c>
      <c r="AD8" s="1" t="s">
        <v>16</v>
      </c>
      <c r="AF8">
        <v>0.8426367062504444</v>
      </c>
      <c r="AG8" s="1" t="s">
        <v>105</v>
      </c>
      <c r="AH8" s="1" t="s">
        <v>15</v>
      </c>
      <c r="AI8">
        <v>3</v>
      </c>
      <c r="AJ8" s="1">
        <v>0</v>
      </c>
      <c r="AK8" s="1">
        <v>0</v>
      </c>
      <c r="AL8" s="1">
        <v>0</v>
      </c>
      <c r="AM8">
        <v>2</v>
      </c>
      <c r="AN8">
        <v>2</v>
      </c>
      <c r="AO8">
        <v>2</v>
      </c>
      <c r="AP8">
        <v>0</v>
      </c>
      <c r="AQ8" s="1"/>
      <c r="AR8" s="1" t="s">
        <v>34</v>
      </c>
      <c r="AS8">
        <v>42</v>
      </c>
      <c r="AT8" t="s">
        <v>131</v>
      </c>
      <c r="AU8" t="s">
        <v>24</v>
      </c>
      <c r="AV8" t="s">
        <v>124</v>
      </c>
      <c r="AW8" t="s">
        <v>117</v>
      </c>
      <c r="AX8" t="s">
        <v>24</v>
      </c>
      <c r="AY8" t="s">
        <v>118</v>
      </c>
      <c r="AZ8" t="s">
        <v>34</v>
      </c>
      <c r="BA8" t="s">
        <v>34</v>
      </c>
      <c r="BB8" s="3" t="s">
        <v>120</v>
      </c>
      <c r="BC8" t="s">
        <v>133</v>
      </c>
      <c r="BE8" s="1">
        <v>2007</v>
      </c>
    </row>
    <row r="9" spans="1:57" x14ac:dyDescent="0.2">
      <c r="A9" t="s">
        <v>134</v>
      </c>
      <c r="B9">
        <v>140</v>
      </c>
      <c r="C9">
        <v>40</v>
      </c>
      <c r="D9">
        <v>100</v>
      </c>
      <c r="E9">
        <v>0</v>
      </c>
      <c r="F9">
        <v>100</v>
      </c>
      <c r="G9">
        <v>0</v>
      </c>
      <c r="H9">
        <v>0</v>
      </c>
      <c r="I9">
        <v>0</v>
      </c>
      <c r="J9">
        <v>0</v>
      </c>
      <c r="K9">
        <v>0</v>
      </c>
      <c r="L9" s="1">
        <v>0</v>
      </c>
      <c r="M9">
        <v>280</v>
      </c>
      <c r="N9" s="115">
        <v>0</v>
      </c>
      <c r="O9" s="115">
        <v>12</v>
      </c>
      <c r="P9">
        <v>3</v>
      </c>
      <c r="Q9">
        <v>1.5</v>
      </c>
      <c r="R9">
        <v>628000</v>
      </c>
      <c r="S9">
        <v>604000</v>
      </c>
      <c r="T9">
        <v>302000</v>
      </c>
      <c r="U9">
        <v>635789.47368421056</v>
      </c>
      <c r="V9">
        <v>604000</v>
      </c>
      <c r="W9">
        <v>1</v>
      </c>
      <c r="X9">
        <v>1</v>
      </c>
      <c r="Y9" s="1">
        <v>2</v>
      </c>
      <c r="Z9">
        <v>2</v>
      </c>
      <c r="AA9">
        <v>0</v>
      </c>
      <c r="AB9">
        <v>0</v>
      </c>
      <c r="AC9" s="1" t="s">
        <v>11</v>
      </c>
      <c r="AD9">
        <v>0</v>
      </c>
      <c r="AF9">
        <v>0</v>
      </c>
      <c r="AG9" t="s">
        <v>34</v>
      </c>
      <c r="AH9" s="1" t="s">
        <v>17</v>
      </c>
      <c r="AI9">
        <v>3</v>
      </c>
      <c r="AJ9" s="117">
        <v>5250</v>
      </c>
      <c r="AK9" s="1">
        <v>57.5</v>
      </c>
      <c r="AL9" s="1">
        <v>25</v>
      </c>
      <c r="AM9">
        <v>2</v>
      </c>
      <c r="AN9">
        <v>3</v>
      </c>
      <c r="AO9">
        <v>0</v>
      </c>
      <c r="AP9">
        <v>0</v>
      </c>
      <c r="AQ9" s="1"/>
      <c r="AR9" s="1" t="s">
        <v>34</v>
      </c>
      <c r="AS9">
        <v>42</v>
      </c>
      <c r="AT9" t="s">
        <v>131</v>
      </c>
      <c r="AU9" t="s">
        <v>24</v>
      </c>
      <c r="AV9" t="s">
        <v>135</v>
      </c>
      <c r="AW9" t="s">
        <v>117</v>
      </c>
      <c r="AX9" t="s">
        <v>24</v>
      </c>
      <c r="AY9" t="s">
        <v>118</v>
      </c>
      <c r="AZ9" t="s">
        <v>119</v>
      </c>
      <c r="BA9" t="s">
        <v>34</v>
      </c>
      <c r="BB9" t="s">
        <v>125</v>
      </c>
      <c r="BC9" t="s">
        <v>126</v>
      </c>
      <c r="BE9" s="1">
        <v>2006</v>
      </c>
    </row>
    <row r="10" spans="1:57" s="121" customFormat="1" x14ac:dyDescent="0.2">
      <c r="A10" s="121" t="s">
        <v>136</v>
      </c>
      <c r="B10" s="121">
        <v>40</v>
      </c>
      <c r="C10" s="121">
        <v>100</v>
      </c>
      <c r="D10" s="121">
        <v>0</v>
      </c>
      <c r="E10" s="122">
        <v>0</v>
      </c>
      <c r="F10" s="121">
        <v>60</v>
      </c>
      <c r="G10" s="121">
        <v>0</v>
      </c>
      <c r="H10" s="121">
        <v>0</v>
      </c>
      <c r="I10" s="121">
        <v>0</v>
      </c>
      <c r="J10" s="121">
        <v>0</v>
      </c>
      <c r="K10" s="121">
        <v>0</v>
      </c>
      <c r="L10" s="121">
        <v>0.2</v>
      </c>
      <c r="P10" s="121">
        <v>1.4</v>
      </c>
      <c r="Q10" s="121">
        <v>0.46666666666666662</v>
      </c>
      <c r="R10" s="121">
        <v>1250700</v>
      </c>
      <c r="S10" s="121">
        <v>1205900</v>
      </c>
      <c r="T10" s="121">
        <v>401966.66666666669</v>
      </c>
      <c r="U10" s="121">
        <v>1205900</v>
      </c>
      <c r="V10" s="121">
        <v>1205900</v>
      </c>
      <c r="W10" s="121">
        <v>2</v>
      </c>
      <c r="X10" s="121">
        <v>1</v>
      </c>
      <c r="Y10" s="121">
        <v>2</v>
      </c>
      <c r="Z10" s="121">
        <v>3</v>
      </c>
      <c r="AA10" s="121">
        <v>0</v>
      </c>
      <c r="AB10" s="121">
        <v>1</v>
      </c>
      <c r="AC10" s="121" t="s">
        <v>11</v>
      </c>
      <c r="AD10" s="121" t="s">
        <v>16</v>
      </c>
      <c r="AF10" s="121">
        <v>0</v>
      </c>
      <c r="AG10" s="121" t="s">
        <v>24</v>
      </c>
      <c r="AH10" s="121" t="s">
        <v>12</v>
      </c>
      <c r="AI10" s="121" t="s">
        <v>128</v>
      </c>
      <c r="AJ10" s="121" t="s">
        <v>128</v>
      </c>
      <c r="AK10" s="121" t="s">
        <v>128</v>
      </c>
      <c r="AL10" s="121" t="s">
        <v>128</v>
      </c>
      <c r="AM10" s="121" t="s">
        <v>128</v>
      </c>
      <c r="AN10" s="121" t="s">
        <v>128</v>
      </c>
      <c r="AO10" s="121" t="s">
        <v>128</v>
      </c>
      <c r="AP10" s="121" t="s">
        <v>128</v>
      </c>
      <c r="AQ10" s="121" t="s">
        <v>128</v>
      </c>
      <c r="AR10" s="121" t="s">
        <v>128</v>
      </c>
      <c r="AS10" s="121" t="s">
        <v>128</v>
      </c>
      <c r="AT10" s="121" t="s">
        <v>128</v>
      </c>
      <c r="AU10" s="121" t="s">
        <v>128</v>
      </c>
      <c r="AV10" s="121" t="s">
        <v>128</v>
      </c>
      <c r="AW10" s="121" t="s">
        <v>128</v>
      </c>
      <c r="AX10" s="121" t="s">
        <v>128</v>
      </c>
      <c r="AY10" s="121" t="s">
        <v>128</v>
      </c>
      <c r="AZ10" s="121" t="s">
        <v>128</v>
      </c>
      <c r="BA10" s="121" t="s">
        <v>128</v>
      </c>
      <c r="BB10" s="121" t="s">
        <v>128</v>
      </c>
      <c r="BC10" s="121" t="s">
        <v>128</v>
      </c>
      <c r="BD10" s="121" t="s">
        <v>128</v>
      </c>
    </row>
    <row r="11" spans="1:57" x14ac:dyDescent="0.2">
      <c r="A11" t="s">
        <v>137</v>
      </c>
      <c r="B11" s="3">
        <v>30</v>
      </c>
      <c r="C11" s="3">
        <v>50</v>
      </c>
      <c r="D11" s="3">
        <v>20</v>
      </c>
      <c r="E11" s="3">
        <v>0</v>
      </c>
      <c r="F11" s="3">
        <v>15</v>
      </c>
      <c r="G11" s="3">
        <v>0</v>
      </c>
      <c r="H11" s="3">
        <v>10</v>
      </c>
      <c r="I11" s="3">
        <v>30</v>
      </c>
      <c r="J11" s="3">
        <v>0</v>
      </c>
      <c r="K11" s="3">
        <v>0</v>
      </c>
      <c r="L11" s="1">
        <v>0</v>
      </c>
      <c r="M11" s="3">
        <v>140</v>
      </c>
      <c r="O11" s="115">
        <v>0</v>
      </c>
      <c r="P11">
        <v>1.4</v>
      </c>
      <c r="Q11">
        <v>0.7</v>
      </c>
      <c r="R11">
        <v>289166.66666666669</v>
      </c>
      <c r="S11">
        <v>261166.66666666669</v>
      </c>
      <c r="T11">
        <v>130583.33333333334</v>
      </c>
      <c r="U11">
        <v>274912.28070175444</v>
      </c>
      <c r="V11">
        <v>261166.66666666669</v>
      </c>
      <c r="W11">
        <v>1</v>
      </c>
      <c r="X11" s="115">
        <v>0</v>
      </c>
      <c r="Y11" s="1">
        <v>0</v>
      </c>
      <c r="Z11">
        <v>2</v>
      </c>
      <c r="AA11">
        <v>0</v>
      </c>
      <c r="AB11">
        <v>0</v>
      </c>
      <c r="AC11" s="1" t="s">
        <v>11</v>
      </c>
      <c r="AD11" t="s">
        <v>16</v>
      </c>
      <c r="AF11">
        <v>0</v>
      </c>
      <c r="AG11" t="s">
        <v>24</v>
      </c>
      <c r="AH11" s="1" t="s">
        <v>12</v>
      </c>
      <c r="AI11" s="115">
        <v>3</v>
      </c>
      <c r="AJ11" s="1">
        <v>6000</v>
      </c>
      <c r="AK11" s="1">
        <v>133.33333333333334</v>
      </c>
      <c r="AL11" s="1">
        <v>133.33333333333334</v>
      </c>
      <c r="AM11">
        <v>2</v>
      </c>
      <c r="AN11">
        <v>1</v>
      </c>
      <c r="AO11">
        <v>0</v>
      </c>
      <c r="AP11">
        <v>0</v>
      </c>
      <c r="AQ11" s="1"/>
      <c r="AR11" s="1" t="s">
        <v>34</v>
      </c>
      <c r="AS11">
        <v>46</v>
      </c>
      <c r="AT11" t="s">
        <v>115</v>
      </c>
      <c r="AU11" t="s">
        <v>24</v>
      </c>
      <c r="AV11" t="s">
        <v>138</v>
      </c>
      <c r="AW11" t="s">
        <v>117</v>
      </c>
      <c r="AX11" t="s">
        <v>24</v>
      </c>
      <c r="AY11" t="s">
        <v>139</v>
      </c>
      <c r="AZ11" t="s">
        <v>119</v>
      </c>
      <c r="BA11" t="s">
        <v>34</v>
      </c>
      <c r="BB11" t="s">
        <v>125</v>
      </c>
      <c r="BC11" t="s">
        <v>140</v>
      </c>
      <c r="BD11" t="s">
        <v>141</v>
      </c>
      <c r="BE11">
        <v>2006</v>
      </c>
    </row>
    <row r="12" spans="1:57" x14ac:dyDescent="0.2">
      <c r="A12" t="s">
        <v>142</v>
      </c>
      <c r="B12">
        <v>110</v>
      </c>
      <c r="C12">
        <v>80</v>
      </c>
      <c r="D12">
        <v>50</v>
      </c>
      <c r="E12">
        <v>0</v>
      </c>
      <c r="F12">
        <v>20</v>
      </c>
      <c r="G12">
        <v>10</v>
      </c>
      <c r="H12">
        <v>0</v>
      </c>
      <c r="I12">
        <v>50</v>
      </c>
      <c r="J12">
        <v>0</v>
      </c>
      <c r="K12">
        <v>0</v>
      </c>
      <c r="L12" s="1">
        <v>0</v>
      </c>
      <c r="O12" s="115">
        <v>0</v>
      </c>
      <c r="P12">
        <v>1.4</v>
      </c>
      <c r="Q12">
        <v>0.7</v>
      </c>
      <c r="R12">
        <v>1657316.6666666665</v>
      </c>
      <c r="S12">
        <v>1641916.6666666665</v>
      </c>
      <c r="T12">
        <v>1248458.3333333333</v>
      </c>
      <c r="U12">
        <v>1783511.9047619049</v>
      </c>
      <c r="V12">
        <v>2496916.6666666665</v>
      </c>
      <c r="W12">
        <v>1</v>
      </c>
      <c r="X12">
        <v>1</v>
      </c>
      <c r="Y12" s="1">
        <v>0</v>
      </c>
      <c r="Z12">
        <v>2</v>
      </c>
      <c r="AA12">
        <v>0</v>
      </c>
      <c r="AB12">
        <v>1</v>
      </c>
      <c r="AC12" s="1" t="s">
        <v>11</v>
      </c>
      <c r="AD12" t="s">
        <v>16</v>
      </c>
      <c r="AF12">
        <v>0.34242232086239699</v>
      </c>
      <c r="AG12" t="s">
        <v>24</v>
      </c>
      <c r="AH12" s="1" t="s">
        <v>15</v>
      </c>
      <c r="AI12" s="115">
        <v>3</v>
      </c>
      <c r="AJ12" s="1">
        <v>0</v>
      </c>
      <c r="AK12" s="1">
        <v>166.66666666666669</v>
      </c>
      <c r="AL12" s="1">
        <v>166.66666666666669</v>
      </c>
      <c r="AM12">
        <v>2</v>
      </c>
      <c r="AN12">
        <v>2</v>
      </c>
      <c r="AO12">
        <v>1</v>
      </c>
      <c r="AP12">
        <v>0</v>
      </c>
      <c r="AQ12" s="1"/>
      <c r="AR12" s="1" t="s">
        <v>34</v>
      </c>
      <c r="AS12">
        <v>45</v>
      </c>
      <c r="AT12" t="s">
        <v>115</v>
      </c>
      <c r="AU12" t="s">
        <v>24</v>
      </c>
      <c r="AV12" t="s">
        <v>124</v>
      </c>
      <c r="AW12" t="s">
        <v>117</v>
      </c>
      <c r="AX12" t="s">
        <v>24</v>
      </c>
      <c r="AY12" t="s">
        <v>118</v>
      </c>
      <c r="AZ12" t="s">
        <v>119</v>
      </c>
      <c r="BA12" t="s">
        <v>34</v>
      </c>
      <c r="BB12" t="s">
        <v>143</v>
      </c>
      <c r="BC12" t="s">
        <v>133</v>
      </c>
      <c r="BE12">
        <v>2006</v>
      </c>
    </row>
    <row r="13" spans="1:57" x14ac:dyDescent="0.2">
      <c r="A13" t="s">
        <v>144</v>
      </c>
      <c r="B13">
        <v>30</v>
      </c>
      <c r="C13">
        <v>0</v>
      </c>
      <c r="D13">
        <v>60</v>
      </c>
      <c r="E13">
        <v>60</v>
      </c>
      <c r="F13">
        <v>0</v>
      </c>
      <c r="G13">
        <v>0</v>
      </c>
      <c r="H13">
        <v>0</v>
      </c>
      <c r="I13">
        <v>30</v>
      </c>
      <c r="J13">
        <v>0</v>
      </c>
      <c r="K13">
        <v>0</v>
      </c>
      <c r="L13" s="1">
        <v>0</v>
      </c>
      <c r="M13" s="1">
        <v>135</v>
      </c>
      <c r="O13" s="115">
        <v>0</v>
      </c>
      <c r="P13">
        <v>1.35</v>
      </c>
      <c r="Q13">
        <v>0.33750000000000002</v>
      </c>
      <c r="R13">
        <v>1028300</v>
      </c>
      <c r="S13">
        <v>1013800</v>
      </c>
      <c r="T13" s="1">
        <v>506900</v>
      </c>
      <c r="U13" s="1">
        <v>750962.96296296292</v>
      </c>
      <c r="V13" s="1">
        <v>1013800</v>
      </c>
      <c r="W13" s="1">
        <v>1</v>
      </c>
      <c r="X13" s="1">
        <v>1</v>
      </c>
      <c r="Y13" s="1">
        <v>0</v>
      </c>
      <c r="Z13">
        <v>2</v>
      </c>
      <c r="AA13">
        <v>0</v>
      </c>
      <c r="AB13">
        <v>0</v>
      </c>
      <c r="AC13" s="1" t="s">
        <v>11</v>
      </c>
      <c r="AD13" s="1">
        <v>0</v>
      </c>
      <c r="AF13">
        <v>0</v>
      </c>
      <c r="AG13" t="s">
        <v>24</v>
      </c>
      <c r="AH13" s="1" t="s">
        <v>17</v>
      </c>
      <c r="AI13" s="115">
        <v>3</v>
      </c>
      <c r="AJ13" s="1">
        <v>0</v>
      </c>
      <c r="AK13" s="1">
        <v>0</v>
      </c>
      <c r="AL13" s="1">
        <v>0</v>
      </c>
      <c r="AM13">
        <v>1</v>
      </c>
      <c r="AN13">
        <v>3</v>
      </c>
      <c r="AO13">
        <v>0</v>
      </c>
      <c r="AP13">
        <v>0</v>
      </c>
      <c r="AQ13" s="1"/>
      <c r="AR13" s="1" t="s">
        <v>34</v>
      </c>
      <c r="AS13">
        <v>54</v>
      </c>
      <c r="AT13" t="s">
        <v>115</v>
      </c>
      <c r="AU13" t="s">
        <v>24</v>
      </c>
      <c r="AV13" t="s">
        <v>124</v>
      </c>
      <c r="AW13" t="s">
        <v>117</v>
      </c>
      <c r="AX13" t="s">
        <v>24</v>
      </c>
      <c r="AY13" t="s">
        <v>118</v>
      </c>
      <c r="AZ13" t="s">
        <v>119</v>
      </c>
      <c r="BA13" t="s">
        <v>24</v>
      </c>
      <c r="BB13" t="s">
        <v>125</v>
      </c>
      <c r="BC13" t="s">
        <v>133</v>
      </c>
      <c r="BE13">
        <v>2015</v>
      </c>
    </row>
    <row r="15" spans="1:57" x14ac:dyDescent="0.2">
      <c r="B15">
        <f t="shared" ref="B15:O15" si="0">AVERAGE(B3:B13)</f>
        <v>53.636363636363633</v>
      </c>
      <c r="C15">
        <f t="shared" si="0"/>
        <v>41.363636363636367</v>
      </c>
      <c r="D15">
        <f t="shared" si="0"/>
        <v>35</v>
      </c>
      <c r="E15">
        <f t="shared" si="0"/>
        <v>9.0909090909090917</v>
      </c>
      <c r="F15">
        <f t="shared" si="0"/>
        <v>25.454545454545453</v>
      </c>
      <c r="G15">
        <f t="shared" si="0"/>
        <v>2.7272727272727271</v>
      </c>
      <c r="H15">
        <f t="shared" si="0"/>
        <v>2</v>
      </c>
      <c r="I15">
        <f t="shared" si="0"/>
        <v>18.181818181818183</v>
      </c>
      <c r="J15">
        <f t="shared" si="0"/>
        <v>4.5454545454545459</v>
      </c>
      <c r="K15">
        <f t="shared" si="0"/>
        <v>0</v>
      </c>
      <c r="M15">
        <f t="shared" si="0"/>
        <v>122.22222222222223</v>
      </c>
      <c r="O15">
        <f t="shared" si="0"/>
        <v>3.6</v>
      </c>
      <c r="P15">
        <f>AVERAGE(P3:P13)</f>
        <v>1.2863636363636364</v>
      </c>
      <c r="Q15">
        <f t="shared" ref="Q15:AF15" si="1">AVERAGE(Q3:Q13)</f>
        <v>0.5397727272727274</v>
      </c>
      <c r="R15">
        <f t="shared" si="1"/>
        <v>861050</v>
      </c>
      <c r="S15">
        <f t="shared" si="1"/>
        <v>797468.18181818177</v>
      </c>
      <c r="T15">
        <f t="shared" si="1"/>
        <v>863725</v>
      </c>
      <c r="U15">
        <f t="shared" si="1"/>
        <v>2439648.4937090199</v>
      </c>
      <c r="V15">
        <f t="shared" si="1"/>
        <v>1864104.5454545459</v>
      </c>
      <c r="W15">
        <f t="shared" si="1"/>
        <v>0.90909090909090906</v>
      </c>
      <c r="X15">
        <f t="shared" si="1"/>
        <v>0.81818181818181823</v>
      </c>
      <c r="Y15">
        <f t="shared" si="1"/>
        <v>0.72727272727272729</v>
      </c>
      <c r="Z15">
        <f t="shared" si="1"/>
        <v>2.1818181818181817</v>
      </c>
      <c r="AA15">
        <f t="shared" si="1"/>
        <v>0.18181818181818182</v>
      </c>
      <c r="AB15">
        <f t="shared" si="1"/>
        <v>0.45454545454545453</v>
      </c>
      <c r="AD15">
        <f t="shared" si="1"/>
        <v>0</v>
      </c>
      <c r="AF15">
        <f t="shared" si="1"/>
        <v>0.31933549236866615</v>
      </c>
    </row>
    <row r="18" spans="1:57" x14ac:dyDescent="0.2">
      <c r="A18" t="s">
        <v>185</v>
      </c>
      <c r="B18" s="122">
        <v>20</v>
      </c>
      <c r="C18" s="123">
        <v>30</v>
      </c>
      <c r="D18" s="122">
        <v>0</v>
      </c>
      <c r="E18" s="123">
        <v>0</v>
      </c>
      <c r="F18" s="122">
        <v>50</v>
      </c>
      <c r="G18" s="123">
        <v>0</v>
      </c>
      <c r="H18" s="123"/>
      <c r="I18" s="123">
        <v>20</v>
      </c>
      <c r="J18" s="123"/>
      <c r="K18" s="123">
        <v>30</v>
      </c>
      <c r="L18" s="1">
        <v>0</v>
      </c>
      <c r="M18">
        <v>100</v>
      </c>
      <c r="P18">
        <v>1</v>
      </c>
      <c r="Q18" s="124">
        <v>0.5</v>
      </c>
      <c r="R18">
        <v>3239000</v>
      </c>
      <c r="S18">
        <v>3221100</v>
      </c>
      <c r="T18" s="1">
        <v>1610550</v>
      </c>
      <c r="U18" s="1">
        <v>3221100</v>
      </c>
      <c r="V18" s="1">
        <v>3221100</v>
      </c>
      <c r="W18" s="1">
        <v>2</v>
      </c>
      <c r="X18" s="1">
        <v>0</v>
      </c>
      <c r="Y18" s="1">
        <v>2</v>
      </c>
      <c r="Z18" s="1">
        <v>1</v>
      </c>
      <c r="AA18" s="1">
        <v>1</v>
      </c>
      <c r="AB18" s="1">
        <v>1</v>
      </c>
      <c r="AC18" s="1" t="s">
        <v>11</v>
      </c>
      <c r="AD18" s="1">
        <v>0</v>
      </c>
      <c r="AF18">
        <v>0</v>
      </c>
      <c r="AG18" t="s">
        <v>24</v>
      </c>
      <c r="AH18" s="1" t="s">
        <v>12</v>
      </c>
      <c r="AI18">
        <v>3</v>
      </c>
      <c r="AJ18">
        <v>0</v>
      </c>
      <c r="AK18" s="1">
        <v>0</v>
      </c>
      <c r="AL18" s="1">
        <v>0</v>
      </c>
      <c r="AM18">
        <v>3</v>
      </c>
      <c r="AN18">
        <v>2</v>
      </c>
      <c r="AO18">
        <v>2</v>
      </c>
      <c r="AP18">
        <v>0</v>
      </c>
      <c r="AQ18" s="1"/>
      <c r="AR18" s="1" t="s">
        <v>23</v>
      </c>
      <c r="AS18">
        <v>66</v>
      </c>
      <c r="AT18" t="s">
        <v>131</v>
      </c>
      <c r="AU18" t="s">
        <v>24</v>
      </c>
      <c r="AV18" t="s">
        <v>135</v>
      </c>
      <c r="AW18" t="s">
        <v>117</v>
      </c>
      <c r="AX18" t="s">
        <v>24</v>
      </c>
      <c r="AY18" t="s">
        <v>118</v>
      </c>
      <c r="AZ18" t="s">
        <v>119</v>
      </c>
      <c r="BA18" t="s">
        <v>34</v>
      </c>
      <c r="BB18" t="s">
        <v>143</v>
      </c>
      <c r="BC18" t="s">
        <v>121</v>
      </c>
      <c r="BD18" t="s">
        <v>186</v>
      </c>
      <c r="BE18">
        <v>2008</v>
      </c>
    </row>
    <row r="19" spans="1:57" x14ac:dyDescent="0.2">
      <c r="A19" t="s">
        <v>187</v>
      </c>
      <c r="B19" s="128">
        <v>20</v>
      </c>
      <c r="C19" s="129">
        <v>60</v>
      </c>
      <c r="D19" s="128">
        <v>0</v>
      </c>
      <c r="E19" s="125">
        <v>0</v>
      </c>
      <c r="F19" s="128">
        <v>40</v>
      </c>
      <c r="G19" s="125">
        <v>0</v>
      </c>
      <c r="H19" s="125"/>
      <c r="I19" s="125">
        <v>20</v>
      </c>
      <c r="J19" s="125">
        <v>0</v>
      </c>
      <c r="K19" s="125">
        <v>0</v>
      </c>
      <c r="L19">
        <v>150</v>
      </c>
      <c r="M19">
        <v>120</v>
      </c>
      <c r="N19" s="125">
        <v>24</v>
      </c>
      <c r="O19" s="125">
        <v>12</v>
      </c>
      <c r="P19">
        <v>2.7</v>
      </c>
      <c r="Q19" s="23">
        <v>0.67500000000000004</v>
      </c>
      <c r="R19">
        <v>1187100</v>
      </c>
      <c r="S19">
        <v>1184100</v>
      </c>
      <c r="T19">
        <v>296025</v>
      </c>
      <c r="U19">
        <v>986750</v>
      </c>
      <c r="V19">
        <v>1184100</v>
      </c>
      <c r="W19" s="1">
        <v>0</v>
      </c>
      <c r="X19">
        <v>0</v>
      </c>
      <c r="Y19" s="1">
        <v>0</v>
      </c>
      <c r="Z19">
        <v>4</v>
      </c>
      <c r="AA19">
        <v>0</v>
      </c>
      <c r="AB19">
        <v>1</v>
      </c>
      <c r="AC19" t="s">
        <v>11</v>
      </c>
      <c r="AD19" t="s">
        <v>16</v>
      </c>
      <c r="AF19">
        <v>0</v>
      </c>
      <c r="AG19" t="s">
        <v>24</v>
      </c>
      <c r="AH19" s="1" t="s">
        <v>12</v>
      </c>
      <c r="AI19">
        <v>3</v>
      </c>
      <c r="AJ19" s="1">
        <v>6000</v>
      </c>
      <c r="AK19" s="1">
        <v>40</v>
      </c>
      <c r="AL19" s="1">
        <v>40</v>
      </c>
      <c r="AM19" s="1"/>
      <c r="AN19">
        <v>2</v>
      </c>
      <c r="AO19">
        <v>0</v>
      </c>
      <c r="AP19">
        <v>0</v>
      </c>
      <c r="AQ19" s="1"/>
      <c r="AR19" s="1" t="s">
        <v>23</v>
      </c>
      <c r="AS19" s="126">
        <v>48</v>
      </c>
      <c r="AT19" s="127" t="s">
        <v>115</v>
      </c>
      <c r="AU19" t="s">
        <v>24</v>
      </c>
      <c r="AV19" t="s">
        <v>124</v>
      </c>
      <c r="AW19" t="s">
        <v>117</v>
      </c>
      <c r="AX19" t="s">
        <v>24</v>
      </c>
      <c r="AY19" t="s">
        <v>118</v>
      </c>
      <c r="AZ19" t="s">
        <v>119</v>
      </c>
      <c r="BA19" t="s">
        <v>34</v>
      </c>
      <c r="BB19" t="s">
        <v>143</v>
      </c>
      <c r="BC19" t="s">
        <v>133</v>
      </c>
      <c r="BE19" s="1">
        <v>2006</v>
      </c>
    </row>
    <row r="20" spans="1:57" x14ac:dyDescent="0.2">
      <c r="A20" t="s">
        <v>188</v>
      </c>
      <c r="B20" s="122">
        <v>30</v>
      </c>
      <c r="C20" s="115">
        <v>0</v>
      </c>
      <c r="D20" s="115">
        <v>70</v>
      </c>
      <c r="E20" s="115">
        <v>70</v>
      </c>
      <c r="F20" s="122">
        <v>0</v>
      </c>
      <c r="G20" s="115">
        <v>0</v>
      </c>
      <c r="H20" s="115"/>
      <c r="I20" s="115">
        <v>0</v>
      </c>
      <c r="J20" s="115">
        <v>0</v>
      </c>
      <c r="K20" s="115">
        <v>0</v>
      </c>
      <c r="L20">
        <v>0</v>
      </c>
      <c r="M20">
        <v>100</v>
      </c>
      <c r="N20" s="115">
        <v>0</v>
      </c>
      <c r="O20" s="115">
        <v>0</v>
      </c>
      <c r="P20" s="1">
        <v>1</v>
      </c>
      <c r="Q20" s="1">
        <v>0.2</v>
      </c>
      <c r="R20" s="1">
        <v>1879100</v>
      </c>
      <c r="S20" s="1">
        <v>1819133.3333333333</v>
      </c>
      <c r="T20" s="1">
        <v>363826.66666666663</v>
      </c>
      <c r="U20" s="1">
        <v>1819133.3333333333</v>
      </c>
      <c r="V20" s="1">
        <v>1819133.3333333333</v>
      </c>
      <c r="W20" s="1">
        <v>2</v>
      </c>
      <c r="X20" s="1">
        <v>0</v>
      </c>
      <c r="Y20" s="1">
        <v>2</v>
      </c>
      <c r="Z20" s="1">
        <v>5</v>
      </c>
      <c r="AA20" s="1">
        <v>0</v>
      </c>
      <c r="AB20" s="1">
        <v>1</v>
      </c>
      <c r="AC20" t="s">
        <v>11</v>
      </c>
      <c r="AD20" t="s">
        <v>19</v>
      </c>
      <c r="AF20">
        <v>0</v>
      </c>
      <c r="AG20" t="s">
        <v>24</v>
      </c>
      <c r="AH20" s="1" t="s">
        <v>12</v>
      </c>
      <c r="AI20" s="1" t="s">
        <v>128</v>
      </c>
      <c r="AJ20" s="1" t="s">
        <v>128</v>
      </c>
      <c r="AK20" s="1" t="s">
        <v>128</v>
      </c>
      <c r="AL20" s="1" t="s">
        <v>128</v>
      </c>
      <c r="AM20" s="1" t="s">
        <v>128</v>
      </c>
      <c r="AN20" s="1" t="s">
        <v>128</v>
      </c>
      <c r="AO20" s="1" t="s">
        <v>128</v>
      </c>
      <c r="AP20" s="1" t="s">
        <v>128</v>
      </c>
      <c r="AQ20" s="1" t="s">
        <v>128</v>
      </c>
      <c r="AR20" s="1" t="s">
        <v>128</v>
      </c>
      <c r="AS20" s="1" t="s">
        <v>128</v>
      </c>
      <c r="AT20" s="1" t="s">
        <v>128</v>
      </c>
      <c r="AU20" s="1" t="s">
        <v>128</v>
      </c>
      <c r="AV20" s="1" t="s">
        <v>128</v>
      </c>
      <c r="AW20" s="1" t="s">
        <v>128</v>
      </c>
      <c r="AX20" s="1" t="s">
        <v>128</v>
      </c>
      <c r="AY20" s="1" t="s">
        <v>128</v>
      </c>
      <c r="AZ20" s="1" t="s">
        <v>128</v>
      </c>
      <c r="BA20" s="1" t="s">
        <v>128</v>
      </c>
      <c r="BB20" s="1" t="s">
        <v>128</v>
      </c>
      <c r="BC20" s="1" t="s">
        <v>128</v>
      </c>
      <c r="BD20" s="1" t="s">
        <v>128</v>
      </c>
    </row>
    <row r="21" spans="1:57" x14ac:dyDescent="0.2">
      <c r="A21" t="s">
        <v>189</v>
      </c>
      <c r="B21" s="115">
        <v>100</v>
      </c>
      <c r="C21" s="115">
        <v>20</v>
      </c>
      <c r="D21" s="115">
        <v>50</v>
      </c>
      <c r="E21" s="115">
        <v>0</v>
      </c>
      <c r="F21" s="122">
        <v>50</v>
      </c>
      <c r="G21" s="115">
        <v>0</v>
      </c>
      <c r="H21" s="115"/>
      <c r="I21" s="115">
        <v>120</v>
      </c>
      <c r="J21" s="115">
        <v>0</v>
      </c>
      <c r="K21" s="115">
        <v>0</v>
      </c>
      <c r="L21">
        <v>0</v>
      </c>
      <c r="M21">
        <v>340</v>
      </c>
      <c r="N21" s="115">
        <v>24</v>
      </c>
      <c r="O21" s="115">
        <v>12</v>
      </c>
      <c r="P21" s="1">
        <v>3.4</v>
      </c>
      <c r="Q21" s="1">
        <v>0.85</v>
      </c>
      <c r="R21" s="1">
        <v>3566150</v>
      </c>
      <c r="S21" s="1">
        <v>3511950</v>
      </c>
      <c r="T21" s="1">
        <v>877987.5</v>
      </c>
      <c r="U21" s="1">
        <v>1300722.2222222222</v>
      </c>
      <c r="V21" s="1">
        <v>3511950</v>
      </c>
      <c r="W21" s="1">
        <v>0</v>
      </c>
      <c r="X21" s="1">
        <v>0</v>
      </c>
      <c r="Y21" s="1">
        <v>2</v>
      </c>
      <c r="Z21" s="1">
        <v>4</v>
      </c>
      <c r="AA21" s="1">
        <v>1</v>
      </c>
      <c r="AB21" s="1">
        <v>1</v>
      </c>
      <c r="AC21" t="s">
        <v>11</v>
      </c>
      <c r="AD21" t="s">
        <v>16</v>
      </c>
      <c r="AF21">
        <v>0</v>
      </c>
      <c r="AG21" t="s">
        <v>24</v>
      </c>
      <c r="AH21" s="1" t="s">
        <v>12</v>
      </c>
      <c r="AI21">
        <v>3</v>
      </c>
      <c r="AJ21" s="1">
        <v>1500</v>
      </c>
      <c r="AK21" s="1">
        <v>0</v>
      </c>
      <c r="AL21" s="1">
        <v>0</v>
      </c>
      <c r="AM21">
        <v>2</v>
      </c>
      <c r="AN21">
        <v>2</v>
      </c>
      <c r="AO21">
        <v>3</v>
      </c>
      <c r="AP21">
        <v>0</v>
      </c>
      <c r="AQ21" s="1"/>
      <c r="AR21" s="1" t="s">
        <v>34</v>
      </c>
      <c r="AS21">
        <v>63</v>
      </c>
      <c r="AT21" t="s">
        <v>115</v>
      </c>
      <c r="AU21" t="s">
        <v>24</v>
      </c>
      <c r="AV21" t="s">
        <v>135</v>
      </c>
      <c r="AW21" t="s">
        <v>117</v>
      </c>
      <c r="AX21" t="s">
        <v>24</v>
      </c>
      <c r="AY21" t="s">
        <v>118</v>
      </c>
      <c r="AZ21" t="s">
        <v>119</v>
      </c>
      <c r="BA21" t="s">
        <v>34</v>
      </c>
      <c r="BB21" t="s">
        <v>143</v>
      </c>
      <c r="BC21" t="s">
        <v>121</v>
      </c>
      <c r="BD21" t="s">
        <v>190</v>
      </c>
      <c r="BE21">
        <v>2006</v>
      </c>
    </row>
    <row r="22" spans="1:57" x14ac:dyDescent="0.2">
      <c r="A22" t="s">
        <v>191</v>
      </c>
      <c r="B22" s="115">
        <v>40</v>
      </c>
      <c r="C22" s="115">
        <v>50</v>
      </c>
      <c r="D22" s="115">
        <v>50</v>
      </c>
      <c r="E22" s="115">
        <v>0</v>
      </c>
      <c r="F22" s="122">
        <v>0</v>
      </c>
      <c r="G22" s="115">
        <v>0</v>
      </c>
      <c r="H22" s="115"/>
      <c r="I22" s="115">
        <v>0</v>
      </c>
      <c r="J22" s="115">
        <v>0</v>
      </c>
      <c r="K22" s="115">
        <v>0</v>
      </c>
      <c r="L22" s="23">
        <v>50</v>
      </c>
      <c r="M22">
        <v>90</v>
      </c>
      <c r="N22" s="115">
        <v>0</v>
      </c>
      <c r="O22" s="115">
        <v>0</v>
      </c>
      <c r="P22" s="1">
        <v>1.4</v>
      </c>
      <c r="Q22" s="1">
        <v>0.35</v>
      </c>
      <c r="R22" s="1">
        <v>3273800</v>
      </c>
      <c r="S22" s="1">
        <v>3189400</v>
      </c>
      <c r="T22" s="1">
        <v>1063133.3333333333</v>
      </c>
      <c r="U22" s="1">
        <v>3543777.7777777775</v>
      </c>
      <c r="V22" s="1">
        <v>3189400</v>
      </c>
      <c r="W22" s="1">
        <v>1</v>
      </c>
      <c r="X22" s="115">
        <v>0</v>
      </c>
      <c r="Y22" s="1">
        <v>0</v>
      </c>
      <c r="Z22" s="1">
        <v>2</v>
      </c>
      <c r="AA22" s="1">
        <v>0</v>
      </c>
      <c r="AB22" s="1">
        <v>0</v>
      </c>
      <c r="AC22" t="s">
        <v>11</v>
      </c>
      <c r="AD22" t="s">
        <v>20</v>
      </c>
      <c r="AF22">
        <v>0</v>
      </c>
      <c r="AG22" t="s">
        <v>24</v>
      </c>
      <c r="AH22" s="1" t="s">
        <v>12</v>
      </c>
      <c r="AI22" s="1" t="s">
        <v>128</v>
      </c>
      <c r="AJ22" s="1" t="s">
        <v>128</v>
      </c>
      <c r="AK22" s="1" t="s">
        <v>128</v>
      </c>
      <c r="AL22" s="1" t="s">
        <v>128</v>
      </c>
      <c r="AM22" s="1" t="s">
        <v>128</v>
      </c>
      <c r="AN22" s="1" t="s">
        <v>128</v>
      </c>
      <c r="AO22" s="1" t="s">
        <v>128</v>
      </c>
      <c r="AP22" s="1" t="s">
        <v>128</v>
      </c>
      <c r="AQ22" s="1" t="s">
        <v>128</v>
      </c>
      <c r="AR22" s="1" t="s">
        <v>128</v>
      </c>
      <c r="AS22" s="1" t="s">
        <v>128</v>
      </c>
      <c r="AT22" s="1" t="s">
        <v>128</v>
      </c>
      <c r="AU22" s="1" t="s">
        <v>128</v>
      </c>
      <c r="AV22" s="1" t="s">
        <v>128</v>
      </c>
      <c r="AW22" s="1" t="s">
        <v>128</v>
      </c>
      <c r="AX22" s="1" t="s">
        <v>128</v>
      </c>
      <c r="AY22" s="1" t="s">
        <v>128</v>
      </c>
      <c r="AZ22" s="1" t="s">
        <v>128</v>
      </c>
      <c r="BA22" s="1" t="s">
        <v>128</v>
      </c>
      <c r="BB22" s="1" t="s">
        <v>128</v>
      </c>
      <c r="BC22" s="1" t="s">
        <v>128</v>
      </c>
      <c r="BD22" s="1" t="s">
        <v>128</v>
      </c>
    </row>
    <row r="23" spans="1:57" x14ac:dyDescent="0.2">
      <c r="A23" t="s">
        <v>192</v>
      </c>
      <c r="B23">
        <v>25</v>
      </c>
      <c r="C23">
        <v>25</v>
      </c>
      <c r="D23">
        <v>50</v>
      </c>
      <c r="E23" s="23">
        <v>25</v>
      </c>
      <c r="G23" s="23">
        <v>13</v>
      </c>
      <c r="H23" s="23">
        <v>0</v>
      </c>
      <c r="I23">
        <v>25</v>
      </c>
      <c r="J23">
        <v>0</v>
      </c>
      <c r="K23">
        <v>0</v>
      </c>
      <c r="L23" s="1">
        <v>0.5</v>
      </c>
      <c r="M23">
        <v>95</v>
      </c>
      <c r="N23" s="115">
        <v>10</v>
      </c>
      <c r="O23" s="115">
        <v>0</v>
      </c>
      <c r="P23">
        <v>1.45</v>
      </c>
      <c r="Q23" s="23">
        <v>0.72499999999999998</v>
      </c>
      <c r="R23">
        <v>260000</v>
      </c>
      <c r="S23">
        <v>211000</v>
      </c>
      <c r="T23">
        <v>105500</v>
      </c>
      <c r="U23">
        <v>222105.26315789475</v>
      </c>
      <c r="V23">
        <v>211000</v>
      </c>
      <c r="W23">
        <v>0</v>
      </c>
      <c r="X23" s="115">
        <v>0</v>
      </c>
      <c r="Y23" s="1">
        <v>0</v>
      </c>
      <c r="Z23">
        <v>1</v>
      </c>
      <c r="AA23">
        <v>0</v>
      </c>
      <c r="AB23">
        <v>0</v>
      </c>
      <c r="AC23" s="1" t="s">
        <v>11</v>
      </c>
      <c r="AD23" s="1">
        <v>0</v>
      </c>
      <c r="AF23">
        <v>0</v>
      </c>
      <c r="AG23" t="s">
        <v>24</v>
      </c>
      <c r="AH23" s="1" t="s">
        <v>12</v>
      </c>
      <c r="AI23">
        <v>3</v>
      </c>
      <c r="AJ23" s="1">
        <v>1800</v>
      </c>
      <c r="AK23" s="1">
        <v>20</v>
      </c>
      <c r="AL23" s="1">
        <v>6</v>
      </c>
      <c r="AM23">
        <v>2</v>
      </c>
      <c r="AN23">
        <v>2</v>
      </c>
      <c r="AO23">
        <v>0</v>
      </c>
      <c r="AP23">
        <v>0</v>
      </c>
      <c r="AQ23" s="1"/>
      <c r="AR23" s="1" t="s">
        <v>34</v>
      </c>
      <c r="AS23">
        <v>41</v>
      </c>
      <c r="AT23" t="s">
        <v>115</v>
      </c>
      <c r="AU23" t="s">
        <v>24</v>
      </c>
      <c r="AV23" t="s">
        <v>124</v>
      </c>
      <c r="AW23" t="s">
        <v>117</v>
      </c>
      <c r="AX23" t="s">
        <v>24</v>
      </c>
      <c r="AY23" t="s">
        <v>118</v>
      </c>
      <c r="AZ23" t="s">
        <v>119</v>
      </c>
      <c r="BA23" t="s">
        <v>34</v>
      </c>
      <c r="BB23" t="s">
        <v>143</v>
      </c>
      <c r="BC23" t="s">
        <v>126</v>
      </c>
      <c r="BE23" s="1">
        <v>2005</v>
      </c>
    </row>
    <row r="24" spans="1:57" x14ac:dyDescent="0.2">
      <c r="A24" t="s">
        <v>193</v>
      </c>
      <c r="B24">
        <v>30</v>
      </c>
      <c r="C24">
        <v>30</v>
      </c>
      <c r="D24" s="23">
        <v>20</v>
      </c>
      <c r="E24">
        <v>0</v>
      </c>
      <c r="F24" s="23">
        <v>20</v>
      </c>
      <c r="G24">
        <v>0</v>
      </c>
      <c r="H24" s="23">
        <v>0</v>
      </c>
      <c r="I24">
        <v>0</v>
      </c>
      <c r="J24">
        <v>0</v>
      </c>
      <c r="K24">
        <v>0</v>
      </c>
      <c r="L24">
        <v>0</v>
      </c>
      <c r="M24" s="23">
        <v>100</v>
      </c>
      <c r="O24" s="115">
        <v>0</v>
      </c>
      <c r="P24">
        <v>1</v>
      </c>
      <c r="Q24" s="23">
        <v>0.5</v>
      </c>
      <c r="R24">
        <v>760000</v>
      </c>
      <c r="S24">
        <v>744000</v>
      </c>
      <c r="T24" s="1">
        <v>372000</v>
      </c>
      <c r="U24" s="1">
        <v>826666.66666666674</v>
      </c>
      <c r="V24" s="1">
        <v>744000</v>
      </c>
      <c r="W24" s="1">
        <v>0</v>
      </c>
      <c r="X24" s="1">
        <v>0</v>
      </c>
      <c r="Y24">
        <v>0</v>
      </c>
      <c r="Z24">
        <v>2</v>
      </c>
      <c r="AA24">
        <v>0</v>
      </c>
      <c r="AB24">
        <v>0</v>
      </c>
      <c r="AC24" t="s">
        <v>11</v>
      </c>
      <c r="AD24">
        <v>0</v>
      </c>
      <c r="AF24">
        <v>0</v>
      </c>
      <c r="AG24" t="s">
        <v>24</v>
      </c>
      <c r="AH24" s="1" t="s">
        <v>17</v>
      </c>
      <c r="AI24" s="115">
        <v>3</v>
      </c>
      <c r="AJ24" s="1">
        <v>0</v>
      </c>
      <c r="AK24" s="1">
        <v>0</v>
      </c>
      <c r="AL24" s="1">
        <v>0</v>
      </c>
      <c r="AM24">
        <v>3</v>
      </c>
      <c r="AN24">
        <v>0</v>
      </c>
      <c r="AO24">
        <v>0</v>
      </c>
      <c r="AP24">
        <v>0</v>
      </c>
      <c r="AQ24" s="1"/>
      <c r="AR24" s="1" t="s">
        <v>34</v>
      </c>
      <c r="AS24">
        <v>37</v>
      </c>
      <c r="AT24" t="s">
        <v>131</v>
      </c>
      <c r="AU24" t="s">
        <v>24</v>
      </c>
      <c r="AV24" t="s">
        <v>138</v>
      </c>
      <c r="AW24" t="s">
        <v>117</v>
      </c>
      <c r="AX24" t="s">
        <v>24</v>
      </c>
      <c r="AY24" t="s">
        <v>139</v>
      </c>
      <c r="AZ24" t="s">
        <v>119</v>
      </c>
      <c r="BA24" t="s">
        <v>34</v>
      </c>
      <c r="BB24" t="s">
        <v>143</v>
      </c>
      <c r="BC24" t="s">
        <v>140</v>
      </c>
      <c r="BD24" t="s">
        <v>194</v>
      </c>
      <c r="BE24">
        <v>2014</v>
      </c>
    </row>
    <row r="25" spans="1:57" x14ac:dyDescent="0.2">
      <c r="A25" t="s">
        <v>195</v>
      </c>
      <c r="B25" s="23">
        <v>80</v>
      </c>
      <c r="C25">
        <v>120</v>
      </c>
      <c r="D25">
        <v>120</v>
      </c>
      <c r="E25">
        <v>0</v>
      </c>
      <c r="F25">
        <v>0</v>
      </c>
      <c r="G25">
        <v>0</v>
      </c>
      <c r="H25" s="23">
        <v>0</v>
      </c>
      <c r="I25">
        <v>20</v>
      </c>
      <c r="J25">
        <v>0</v>
      </c>
      <c r="K25">
        <v>0</v>
      </c>
      <c r="L25">
        <v>0</v>
      </c>
      <c r="M25" s="23">
        <v>200</v>
      </c>
      <c r="O25" s="115">
        <v>0</v>
      </c>
      <c r="P25" s="23">
        <v>2</v>
      </c>
      <c r="Q25" s="23">
        <v>0.4</v>
      </c>
      <c r="R25">
        <v>1781250</v>
      </c>
      <c r="S25">
        <v>1733750</v>
      </c>
      <c r="T25" s="1">
        <v>346750</v>
      </c>
      <c r="U25" s="1">
        <v>912499.99999999988</v>
      </c>
      <c r="V25" s="1">
        <v>1733750</v>
      </c>
      <c r="W25" s="1">
        <v>2</v>
      </c>
      <c r="X25" s="115">
        <v>0</v>
      </c>
      <c r="Y25">
        <v>2</v>
      </c>
      <c r="Z25">
        <v>5</v>
      </c>
      <c r="AA25">
        <v>0</v>
      </c>
      <c r="AB25">
        <v>1</v>
      </c>
      <c r="AC25" t="s">
        <v>11</v>
      </c>
      <c r="AD25" t="s">
        <v>16</v>
      </c>
      <c r="AF25">
        <v>0</v>
      </c>
      <c r="AG25" t="s">
        <v>24</v>
      </c>
      <c r="AH25" s="1" t="s">
        <v>17</v>
      </c>
      <c r="AI25" s="115">
        <v>3</v>
      </c>
      <c r="AJ25" s="1">
        <v>0</v>
      </c>
      <c r="AK25" s="1">
        <v>0</v>
      </c>
      <c r="AL25" s="1">
        <v>0</v>
      </c>
      <c r="AM25">
        <v>3</v>
      </c>
      <c r="AN25">
        <v>3</v>
      </c>
      <c r="AO25">
        <v>3</v>
      </c>
      <c r="AP25">
        <v>0</v>
      </c>
      <c r="AQ25" s="1"/>
      <c r="AR25" s="1" t="s">
        <v>34</v>
      </c>
      <c r="AS25">
        <v>48</v>
      </c>
      <c r="AT25" t="s">
        <v>131</v>
      </c>
      <c r="AU25" t="s">
        <v>24</v>
      </c>
      <c r="AV25" t="s">
        <v>124</v>
      </c>
      <c r="AW25" t="s">
        <v>117</v>
      </c>
      <c r="AX25" t="s">
        <v>24</v>
      </c>
      <c r="AY25" t="s">
        <v>118</v>
      </c>
      <c r="AZ25" t="s">
        <v>119</v>
      </c>
      <c r="BA25" t="s">
        <v>34</v>
      </c>
      <c r="BB25" t="s">
        <v>125</v>
      </c>
      <c r="BC25" t="s">
        <v>126</v>
      </c>
      <c r="BE25">
        <v>2015</v>
      </c>
    </row>
    <row r="26" spans="1:57" x14ac:dyDescent="0.2">
      <c r="A26" t="s">
        <v>196</v>
      </c>
      <c r="B26">
        <v>20</v>
      </c>
      <c r="C26">
        <v>50</v>
      </c>
      <c r="D26">
        <v>0</v>
      </c>
      <c r="E26">
        <v>0</v>
      </c>
      <c r="F26">
        <v>0</v>
      </c>
      <c r="G26">
        <v>0</v>
      </c>
      <c r="H26" s="23">
        <v>0</v>
      </c>
      <c r="I26">
        <v>20</v>
      </c>
      <c r="J26">
        <v>0</v>
      </c>
      <c r="K26">
        <v>0</v>
      </c>
      <c r="L26">
        <v>0.3</v>
      </c>
      <c r="M26" s="23">
        <v>100</v>
      </c>
      <c r="O26" s="115">
        <v>0</v>
      </c>
      <c r="P26" s="23">
        <v>1.5</v>
      </c>
      <c r="Q26" s="23">
        <v>0.75</v>
      </c>
      <c r="R26">
        <v>979517.85714285716</v>
      </c>
      <c r="S26">
        <v>948684.52380952379</v>
      </c>
      <c r="T26" s="1">
        <v>474342.26190476189</v>
      </c>
      <c r="U26" s="1">
        <v>948684.52380952379</v>
      </c>
      <c r="V26" s="1">
        <v>948684.52380952379</v>
      </c>
      <c r="W26" s="1">
        <v>2</v>
      </c>
      <c r="X26" s="1">
        <v>1</v>
      </c>
      <c r="Y26">
        <v>2</v>
      </c>
      <c r="Z26">
        <v>2</v>
      </c>
      <c r="AA26">
        <v>0</v>
      </c>
      <c r="AB26">
        <v>0</v>
      </c>
      <c r="AC26" t="s">
        <v>11</v>
      </c>
      <c r="AD26" t="s">
        <v>16</v>
      </c>
      <c r="AF26">
        <v>0</v>
      </c>
      <c r="AG26" t="s">
        <v>24</v>
      </c>
      <c r="AH26" s="1" t="s">
        <v>12</v>
      </c>
      <c r="AI26" s="115">
        <v>3</v>
      </c>
      <c r="AJ26" s="1">
        <v>0</v>
      </c>
      <c r="AK26" s="1">
        <v>0.25</v>
      </c>
      <c r="AL26" s="1">
        <v>0</v>
      </c>
      <c r="AM26">
        <v>0</v>
      </c>
      <c r="AN26">
        <v>1</v>
      </c>
      <c r="AO26">
        <v>3</v>
      </c>
      <c r="AP26">
        <v>0</v>
      </c>
      <c r="AQ26" s="1"/>
      <c r="AR26" s="1" t="s">
        <v>34</v>
      </c>
      <c r="AS26">
        <v>42</v>
      </c>
      <c r="AT26" t="s">
        <v>131</v>
      </c>
      <c r="AU26" t="s">
        <v>24</v>
      </c>
      <c r="AV26" t="s">
        <v>135</v>
      </c>
      <c r="AW26" t="s">
        <v>197</v>
      </c>
      <c r="AX26" t="s">
        <v>24</v>
      </c>
      <c r="AY26" t="s">
        <v>118</v>
      </c>
      <c r="AZ26" t="s">
        <v>119</v>
      </c>
      <c r="BA26" t="s">
        <v>34</v>
      </c>
      <c r="BB26" t="s">
        <v>143</v>
      </c>
      <c r="BC26" t="s">
        <v>133</v>
      </c>
      <c r="BE26">
        <v>2005</v>
      </c>
    </row>
    <row r="27" spans="1:57" x14ac:dyDescent="0.2">
      <c r="A27" t="s">
        <v>198</v>
      </c>
      <c r="B27">
        <v>30</v>
      </c>
      <c r="C27">
        <v>50</v>
      </c>
      <c r="D27">
        <v>50</v>
      </c>
      <c r="E27">
        <v>0</v>
      </c>
      <c r="F27" s="23">
        <v>20</v>
      </c>
      <c r="G27">
        <v>0</v>
      </c>
      <c r="H27" s="23">
        <v>0</v>
      </c>
      <c r="I27">
        <v>15</v>
      </c>
      <c r="J27">
        <v>0</v>
      </c>
      <c r="K27">
        <v>0</v>
      </c>
      <c r="L27">
        <v>0</v>
      </c>
      <c r="M27" s="1">
        <v>80</v>
      </c>
      <c r="O27" s="115">
        <v>0</v>
      </c>
      <c r="P27">
        <v>0.8</v>
      </c>
      <c r="Q27">
        <v>0.8</v>
      </c>
      <c r="R27">
        <v>706250</v>
      </c>
      <c r="S27">
        <v>700916.66666666663</v>
      </c>
      <c r="T27" s="1">
        <v>700916.66666666663</v>
      </c>
      <c r="U27" s="1">
        <v>876145.83333333326</v>
      </c>
      <c r="V27" s="1">
        <v>700916.66666666663</v>
      </c>
      <c r="W27" s="1">
        <v>0</v>
      </c>
      <c r="X27" s="1">
        <v>0</v>
      </c>
      <c r="Y27">
        <v>0</v>
      </c>
      <c r="Z27">
        <v>1</v>
      </c>
      <c r="AA27">
        <v>0</v>
      </c>
      <c r="AB27">
        <v>0</v>
      </c>
      <c r="AC27" t="s">
        <v>11</v>
      </c>
      <c r="AD27" t="s">
        <v>20</v>
      </c>
      <c r="AF27">
        <v>0</v>
      </c>
      <c r="AG27" t="s">
        <v>34</v>
      </c>
      <c r="AH27" s="1" t="s">
        <v>12</v>
      </c>
      <c r="AI27" s="115">
        <v>3</v>
      </c>
      <c r="AJ27" s="1">
        <v>0</v>
      </c>
      <c r="AK27" s="1">
        <v>0</v>
      </c>
      <c r="AL27" s="1">
        <v>0</v>
      </c>
      <c r="AM27">
        <v>0</v>
      </c>
      <c r="AN27">
        <v>3</v>
      </c>
      <c r="AO27">
        <v>0</v>
      </c>
      <c r="AP27">
        <v>0</v>
      </c>
      <c r="AQ27" s="1"/>
      <c r="AR27" s="1" t="s">
        <v>34</v>
      </c>
      <c r="AS27">
        <v>45</v>
      </c>
      <c r="AT27" t="s">
        <v>115</v>
      </c>
      <c r="AU27" t="s">
        <v>24</v>
      </c>
      <c r="AV27" t="s">
        <v>138</v>
      </c>
      <c r="AW27" t="s">
        <v>117</v>
      </c>
      <c r="AX27" t="s">
        <v>24</v>
      </c>
      <c r="AY27" t="s">
        <v>118</v>
      </c>
      <c r="AZ27" t="s">
        <v>119</v>
      </c>
      <c r="BA27" t="s">
        <v>34</v>
      </c>
      <c r="BB27" t="s">
        <v>120</v>
      </c>
      <c r="BC27" t="s">
        <v>126</v>
      </c>
      <c r="BE27">
        <v>2015</v>
      </c>
    </row>
    <row r="28" spans="1:57" x14ac:dyDescent="0.2">
      <c r="A28" t="s">
        <v>199</v>
      </c>
      <c r="B28">
        <v>60</v>
      </c>
      <c r="C28">
        <v>20</v>
      </c>
      <c r="D28" s="23">
        <v>20</v>
      </c>
      <c r="E28" s="23">
        <v>10</v>
      </c>
      <c r="F28">
        <v>0</v>
      </c>
      <c r="G28">
        <v>0</v>
      </c>
      <c r="H28" s="23">
        <v>0</v>
      </c>
      <c r="I28" s="23">
        <v>60</v>
      </c>
      <c r="J28">
        <v>0</v>
      </c>
      <c r="K28">
        <v>20</v>
      </c>
      <c r="L28">
        <v>0</v>
      </c>
      <c r="M28" s="23">
        <v>150</v>
      </c>
      <c r="O28" s="115">
        <v>0</v>
      </c>
      <c r="P28">
        <v>1.5</v>
      </c>
      <c r="Q28">
        <v>0.34883720930232559</v>
      </c>
      <c r="R28">
        <v>3086700</v>
      </c>
      <c r="S28">
        <v>3062366.6666666665</v>
      </c>
      <c r="T28">
        <v>1328457.3643410851</v>
      </c>
      <c r="U28">
        <v>3808244.444444444</v>
      </c>
      <c r="V28">
        <v>5712366.666666666</v>
      </c>
      <c r="W28">
        <v>2</v>
      </c>
      <c r="X28">
        <v>1</v>
      </c>
      <c r="Y28">
        <v>2</v>
      </c>
      <c r="Z28">
        <v>2</v>
      </c>
      <c r="AA28">
        <v>0</v>
      </c>
      <c r="AB28">
        <v>1</v>
      </c>
      <c r="AC28" t="s">
        <v>11</v>
      </c>
      <c r="AD28" t="s">
        <v>20</v>
      </c>
      <c r="AF28">
        <v>0.46390579502949747</v>
      </c>
      <c r="AG28" t="s">
        <v>24</v>
      </c>
      <c r="AH28" s="1" t="s">
        <v>15</v>
      </c>
      <c r="AI28" s="115">
        <v>3</v>
      </c>
      <c r="AJ28" s="1">
        <v>3000</v>
      </c>
      <c r="AK28" s="1">
        <v>0</v>
      </c>
      <c r="AL28" s="1">
        <v>0</v>
      </c>
      <c r="AM28">
        <v>2</v>
      </c>
      <c r="AN28">
        <v>2</v>
      </c>
      <c r="AO28">
        <v>0</v>
      </c>
      <c r="AP28">
        <v>0</v>
      </c>
      <c r="AQ28" s="1"/>
      <c r="AR28" s="1" t="s">
        <v>34</v>
      </c>
      <c r="AS28">
        <v>56</v>
      </c>
      <c r="AT28" t="s">
        <v>115</v>
      </c>
      <c r="AU28" t="s">
        <v>24</v>
      </c>
      <c r="AV28" t="s">
        <v>124</v>
      </c>
      <c r="AW28" t="s">
        <v>197</v>
      </c>
      <c r="AX28" t="s">
        <v>24</v>
      </c>
      <c r="AY28" t="s">
        <v>139</v>
      </c>
      <c r="AZ28" t="s">
        <v>23</v>
      </c>
      <c r="BA28" t="s">
        <v>34</v>
      </c>
      <c r="BB28" t="s">
        <v>143</v>
      </c>
      <c r="BC28" t="s">
        <v>133</v>
      </c>
      <c r="BE28">
        <v>2006</v>
      </c>
    </row>
    <row r="29" spans="1:57" x14ac:dyDescent="0.2">
      <c r="A29" t="s">
        <v>200</v>
      </c>
      <c r="B29">
        <v>50</v>
      </c>
      <c r="C29">
        <v>10</v>
      </c>
      <c r="D29">
        <v>0</v>
      </c>
      <c r="E29">
        <v>0</v>
      </c>
      <c r="F29">
        <v>0</v>
      </c>
      <c r="G29">
        <v>0</v>
      </c>
      <c r="H29" s="23">
        <v>0</v>
      </c>
      <c r="I29" s="23">
        <v>60</v>
      </c>
      <c r="J29">
        <v>0</v>
      </c>
      <c r="K29">
        <v>0</v>
      </c>
      <c r="L29">
        <v>0</v>
      </c>
      <c r="M29" s="1">
        <v>80</v>
      </c>
      <c r="O29" s="115">
        <v>0</v>
      </c>
      <c r="P29">
        <v>0.8</v>
      </c>
      <c r="Q29">
        <v>0.4</v>
      </c>
      <c r="R29">
        <v>1154000</v>
      </c>
      <c r="S29">
        <v>1729666.6666666667</v>
      </c>
      <c r="T29">
        <v>864833.33333333337</v>
      </c>
      <c r="U29">
        <v>2162083.3333333335</v>
      </c>
      <c r="V29">
        <v>1729666.6666666667</v>
      </c>
      <c r="W29">
        <v>2</v>
      </c>
      <c r="X29" s="115">
        <v>0</v>
      </c>
      <c r="Y29">
        <v>2</v>
      </c>
      <c r="Z29">
        <v>2</v>
      </c>
      <c r="AA29">
        <v>0</v>
      </c>
      <c r="AB29">
        <v>1</v>
      </c>
      <c r="AC29" t="s">
        <v>11</v>
      </c>
      <c r="AD29" t="s">
        <v>16</v>
      </c>
      <c r="AF29">
        <v>0.34688764694546154</v>
      </c>
      <c r="AG29" t="s">
        <v>24</v>
      </c>
      <c r="AH29" s="1" t="s">
        <v>15</v>
      </c>
      <c r="AI29" s="115">
        <v>3</v>
      </c>
      <c r="AJ29" s="1">
        <v>5000</v>
      </c>
      <c r="AK29" s="1">
        <v>0</v>
      </c>
      <c r="AL29" s="1">
        <v>0</v>
      </c>
      <c r="AM29">
        <v>2</v>
      </c>
      <c r="AN29">
        <v>2</v>
      </c>
      <c r="AO29">
        <v>2</v>
      </c>
      <c r="AP29">
        <v>1</v>
      </c>
      <c r="AQ29" s="1"/>
      <c r="AR29" s="1" t="s">
        <v>34</v>
      </c>
      <c r="AS29">
        <v>41</v>
      </c>
      <c r="AT29" t="s">
        <v>131</v>
      </c>
      <c r="AU29" t="s">
        <v>24</v>
      </c>
      <c r="AV29" t="s">
        <v>138</v>
      </c>
      <c r="AW29" t="s">
        <v>117</v>
      </c>
      <c r="AX29" t="s">
        <v>24</v>
      </c>
      <c r="AY29" t="s">
        <v>118</v>
      </c>
      <c r="AZ29" t="s">
        <v>119</v>
      </c>
      <c r="BA29" t="s">
        <v>24</v>
      </c>
      <c r="BB29" t="s">
        <v>125</v>
      </c>
      <c r="BC29" t="s">
        <v>140</v>
      </c>
      <c r="BD29" t="s">
        <v>201</v>
      </c>
      <c r="BE29">
        <v>2005</v>
      </c>
    </row>
    <row r="30" spans="1:57" x14ac:dyDescent="0.2">
      <c r="A30" t="s">
        <v>202</v>
      </c>
      <c r="B30">
        <v>50</v>
      </c>
      <c r="C30">
        <v>30</v>
      </c>
      <c r="D30">
        <v>60</v>
      </c>
      <c r="E30">
        <v>20</v>
      </c>
      <c r="F30">
        <v>40</v>
      </c>
      <c r="G30">
        <v>0</v>
      </c>
      <c r="H30" s="23">
        <v>0</v>
      </c>
      <c r="I30" s="23">
        <v>50</v>
      </c>
      <c r="J30">
        <v>0</v>
      </c>
      <c r="K30">
        <v>30</v>
      </c>
      <c r="L30">
        <v>0</v>
      </c>
      <c r="M30" s="1">
        <v>400</v>
      </c>
      <c r="O30" s="115">
        <v>0</v>
      </c>
      <c r="P30">
        <v>4</v>
      </c>
      <c r="Q30">
        <v>1</v>
      </c>
      <c r="R30">
        <v>843000</v>
      </c>
      <c r="S30">
        <v>829333.33333333337</v>
      </c>
      <c r="T30">
        <v>207333.33333333334</v>
      </c>
      <c r="U30">
        <v>207333.33333333334</v>
      </c>
      <c r="V30">
        <v>829333.33333333337</v>
      </c>
      <c r="W30">
        <v>1</v>
      </c>
      <c r="X30">
        <v>0</v>
      </c>
      <c r="Y30">
        <v>0</v>
      </c>
      <c r="Z30">
        <v>4</v>
      </c>
      <c r="AA30">
        <v>0</v>
      </c>
      <c r="AB30">
        <v>1</v>
      </c>
      <c r="AC30" t="s">
        <v>11</v>
      </c>
      <c r="AD30">
        <v>0</v>
      </c>
      <c r="AF30">
        <v>0</v>
      </c>
      <c r="AG30" t="s">
        <v>24</v>
      </c>
      <c r="AH30" s="1" t="s">
        <v>17</v>
      </c>
      <c r="AI30" s="115">
        <v>3</v>
      </c>
      <c r="AJ30" s="1">
        <v>0</v>
      </c>
      <c r="AK30" s="115">
        <v>0</v>
      </c>
      <c r="AL30" s="1">
        <v>0</v>
      </c>
      <c r="AM30">
        <v>3</v>
      </c>
      <c r="AN30">
        <v>2</v>
      </c>
      <c r="AO30">
        <v>1</v>
      </c>
      <c r="AP30">
        <v>1</v>
      </c>
      <c r="AQ30" s="1"/>
      <c r="AR30" s="1" t="s">
        <v>34</v>
      </c>
      <c r="AS30">
        <v>48</v>
      </c>
      <c r="AT30" t="s">
        <v>115</v>
      </c>
      <c r="AU30" t="s">
        <v>24</v>
      </c>
      <c r="AV30" t="s">
        <v>116</v>
      </c>
      <c r="AW30" t="s">
        <v>117</v>
      </c>
      <c r="AX30" t="s">
        <v>24</v>
      </c>
      <c r="AY30" t="s">
        <v>139</v>
      </c>
      <c r="AZ30" t="s">
        <v>119</v>
      </c>
      <c r="BA30" t="s">
        <v>34</v>
      </c>
      <c r="BB30" t="s">
        <v>143</v>
      </c>
      <c r="BC30" t="s">
        <v>121</v>
      </c>
      <c r="BD30" t="s">
        <v>203</v>
      </c>
      <c r="BE30">
        <v>2012</v>
      </c>
    </row>
    <row r="31" spans="1:57" x14ac:dyDescent="0.2">
      <c r="A31" t="s">
        <v>204</v>
      </c>
      <c r="B31">
        <v>500</v>
      </c>
      <c r="C31">
        <v>500</v>
      </c>
      <c r="D31">
        <v>0</v>
      </c>
      <c r="E31">
        <v>0</v>
      </c>
      <c r="F31">
        <v>0</v>
      </c>
      <c r="G31">
        <v>75</v>
      </c>
      <c r="H31" s="23">
        <v>0</v>
      </c>
      <c r="I31">
        <v>500</v>
      </c>
      <c r="J31">
        <v>0</v>
      </c>
      <c r="K31">
        <v>0</v>
      </c>
      <c r="L31">
        <v>0</v>
      </c>
      <c r="O31" s="115">
        <v>12</v>
      </c>
      <c r="P31">
        <v>7</v>
      </c>
      <c r="Q31">
        <v>1.75</v>
      </c>
      <c r="R31">
        <v>4709000</v>
      </c>
      <c r="S31">
        <v>4661333.333333333</v>
      </c>
      <c r="T31">
        <v>1496583.3333333333</v>
      </c>
      <c r="U31">
        <v>855190.4761904761</v>
      </c>
      <c r="V31">
        <v>5986333.333333333</v>
      </c>
      <c r="W31">
        <v>2</v>
      </c>
      <c r="X31">
        <v>0</v>
      </c>
      <c r="Y31">
        <v>4</v>
      </c>
      <c r="Z31">
        <v>4</v>
      </c>
      <c r="AA31">
        <v>0</v>
      </c>
      <c r="AB31">
        <v>1</v>
      </c>
      <c r="AC31" t="s">
        <v>11</v>
      </c>
      <c r="AD31" t="s">
        <v>16</v>
      </c>
      <c r="AF31">
        <v>0.22133749095161201</v>
      </c>
      <c r="AG31" t="s">
        <v>34</v>
      </c>
      <c r="AH31" s="1" t="s">
        <v>12</v>
      </c>
      <c r="AI31" s="115">
        <v>3</v>
      </c>
      <c r="AJ31" s="1">
        <v>11.111111111111111</v>
      </c>
      <c r="AK31" s="1">
        <v>11.111111111111111</v>
      </c>
      <c r="AL31" s="1">
        <v>0</v>
      </c>
      <c r="AM31">
        <v>1</v>
      </c>
      <c r="AN31">
        <v>3</v>
      </c>
      <c r="AO31">
        <v>1</v>
      </c>
      <c r="AP31">
        <v>0</v>
      </c>
      <c r="AQ31" s="1"/>
      <c r="AR31" s="1" t="s">
        <v>34</v>
      </c>
      <c r="AS31">
        <v>63</v>
      </c>
      <c r="AT31" t="s">
        <v>115</v>
      </c>
      <c r="AU31" t="s">
        <v>24</v>
      </c>
      <c r="AV31" t="s">
        <v>138</v>
      </c>
      <c r="AW31" t="s">
        <v>117</v>
      </c>
      <c r="AX31" t="s">
        <v>24</v>
      </c>
      <c r="AY31" t="s">
        <v>118</v>
      </c>
      <c r="AZ31" t="s">
        <v>119</v>
      </c>
      <c r="BA31" t="s">
        <v>23</v>
      </c>
      <c r="BB31" t="s">
        <v>120</v>
      </c>
      <c r="BC31" t="s">
        <v>126</v>
      </c>
      <c r="BE31">
        <v>2015</v>
      </c>
    </row>
    <row r="33" spans="1:57" x14ac:dyDescent="0.2">
      <c r="B33">
        <f>AVERAGE(B18:B31)</f>
        <v>75.357142857142861</v>
      </c>
      <c r="C33">
        <f t="shared" ref="C33:AF33" si="2">AVERAGE(C18:C31)</f>
        <v>71.071428571428569</v>
      </c>
      <c r="D33">
        <f t="shared" si="2"/>
        <v>35</v>
      </c>
      <c r="E33">
        <f t="shared" si="2"/>
        <v>8.9285714285714288</v>
      </c>
      <c r="F33">
        <f t="shared" si="2"/>
        <v>16.923076923076923</v>
      </c>
      <c r="G33">
        <f t="shared" si="2"/>
        <v>6.2857142857142856</v>
      </c>
      <c r="H33">
        <f t="shared" si="2"/>
        <v>0</v>
      </c>
      <c r="I33">
        <f t="shared" si="2"/>
        <v>65</v>
      </c>
      <c r="J33">
        <f t="shared" si="2"/>
        <v>0</v>
      </c>
      <c r="K33">
        <f t="shared" si="2"/>
        <v>5.7142857142857144</v>
      </c>
      <c r="L33">
        <f t="shared" si="2"/>
        <v>14.342857142857143</v>
      </c>
      <c r="M33">
        <f t="shared" si="2"/>
        <v>150.38461538461539</v>
      </c>
      <c r="N33">
        <f t="shared" si="2"/>
        <v>11.6</v>
      </c>
      <c r="O33">
        <f t="shared" si="2"/>
        <v>2.7692307692307692</v>
      </c>
      <c r="P33">
        <f t="shared" si="2"/>
        <v>2.1107142857142858</v>
      </c>
      <c r="Q33">
        <f t="shared" si="2"/>
        <v>0.66063122923588047</v>
      </c>
      <c r="R33">
        <f t="shared" si="2"/>
        <v>1958919.1326530613</v>
      </c>
      <c r="S33">
        <f t="shared" si="2"/>
        <v>1967623.894557823</v>
      </c>
      <c r="T33">
        <f t="shared" si="2"/>
        <v>722017.05663660821</v>
      </c>
      <c r="U33">
        <f t="shared" si="2"/>
        <v>1549316.9434001669</v>
      </c>
      <c r="V33">
        <f t="shared" si="2"/>
        <v>2251552.4659863943</v>
      </c>
      <c r="W33">
        <f t="shared" si="2"/>
        <v>1.1428571428571428</v>
      </c>
      <c r="X33">
        <f t="shared" si="2"/>
        <v>0.14285714285714285</v>
      </c>
      <c r="Y33">
        <f t="shared" si="2"/>
        <v>1.2857142857142858</v>
      </c>
      <c r="Z33">
        <f t="shared" si="2"/>
        <v>2.7857142857142856</v>
      </c>
      <c r="AA33">
        <f t="shared" si="2"/>
        <v>0.14285714285714285</v>
      </c>
      <c r="AB33">
        <f t="shared" si="2"/>
        <v>0.6428571428571429</v>
      </c>
      <c r="AF33">
        <f t="shared" si="2"/>
        <v>7.3723638066183636E-2</v>
      </c>
    </row>
    <row r="36" spans="1:57" s="1" customFormat="1" x14ac:dyDescent="0.2">
      <c r="A36" s="1" t="s">
        <v>205</v>
      </c>
      <c r="B36" s="130">
        <v>20</v>
      </c>
      <c r="C36" s="115">
        <v>10</v>
      </c>
      <c r="D36" s="115">
        <v>0</v>
      </c>
      <c r="E36" s="115">
        <v>0</v>
      </c>
      <c r="F36" s="115">
        <v>0</v>
      </c>
      <c r="G36" s="115">
        <v>0</v>
      </c>
      <c r="H36" s="115"/>
      <c r="I36" s="115">
        <v>320</v>
      </c>
      <c r="J36" s="115">
        <v>0</v>
      </c>
      <c r="K36" s="115">
        <v>0</v>
      </c>
      <c r="L36" s="1">
        <v>50</v>
      </c>
      <c r="M36">
        <v>400</v>
      </c>
      <c r="N36" s="116">
        <v>36</v>
      </c>
      <c r="O36" s="130">
        <v>12</v>
      </c>
      <c r="P36" s="1">
        <v>4.5</v>
      </c>
      <c r="Q36" s="1">
        <v>1.5</v>
      </c>
      <c r="R36" s="1">
        <v>4142600</v>
      </c>
      <c r="S36" s="1">
        <v>4106600</v>
      </c>
      <c r="T36" s="1">
        <v>2053300</v>
      </c>
      <c r="U36" s="1">
        <v>2415647.0588235296</v>
      </c>
      <c r="V36" s="1">
        <v>4106600</v>
      </c>
      <c r="W36" s="1">
        <v>2</v>
      </c>
      <c r="X36" s="1">
        <v>0</v>
      </c>
      <c r="Y36" s="1">
        <v>2</v>
      </c>
      <c r="Z36" s="1">
        <v>2</v>
      </c>
      <c r="AA36" s="1">
        <v>0</v>
      </c>
      <c r="AB36" s="1">
        <v>1</v>
      </c>
      <c r="AC36" s="1" t="s">
        <v>11</v>
      </c>
      <c r="AD36" s="1" t="s">
        <v>13</v>
      </c>
      <c r="AF36" s="1">
        <v>0</v>
      </c>
      <c r="AG36" s="1" t="s">
        <v>24</v>
      </c>
      <c r="AH36" s="1" t="s">
        <v>12</v>
      </c>
      <c r="AI36">
        <v>3</v>
      </c>
      <c r="AJ36" s="1">
        <v>6000</v>
      </c>
      <c r="AK36" s="1">
        <v>30</v>
      </c>
      <c r="AL36" s="1">
        <v>0</v>
      </c>
      <c r="AM36">
        <v>2</v>
      </c>
      <c r="AN36">
        <v>2</v>
      </c>
      <c r="AO36">
        <v>2</v>
      </c>
      <c r="AP36">
        <v>0</v>
      </c>
      <c r="AR36" s="1" t="s">
        <v>23</v>
      </c>
      <c r="AS36">
        <v>47</v>
      </c>
      <c r="AT36" t="s">
        <v>115</v>
      </c>
      <c r="AU36" t="s">
        <v>24</v>
      </c>
      <c r="AV36" t="s">
        <v>116</v>
      </c>
      <c r="AW36" t="s">
        <v>117</v>
      </c>
      <c r="AX36" t="s">
        <v>24</v>
      </c>
      <c r="AY36" t="s">
        <v>118</v>
      </c>
      <c r="AZ36" t="s">
        <v>119</v>
      </c>
      <c r="BA36" t="s">
        <v>23</v>
      </c>
      <c r="BB36" t="s">
        <v>143</v>
      </c>
      <c r="BC36" t="s">
        <v>126</v>
      </c>
      <c r="BD36"/>
      <c r="BE36" s="1">
        <v>2005</v>
      </c>
    </row>
    <row r="37" spans="1:57" x14ac:dyDescent="0.2">
      <c r="A37" t="s">
        <v>206</v>
      </c>
      <c r="B37" s="130">
        <v>30</v>
      </c>
      <c r="C37" s="115">
        <v>20</v>
      </c>
      <c r="D37" s="115">
        <v>30</v>
      </c>
      <c r="E37" s="130">
        <v>20</v>
      </c>
      <c r="F37" s="130">
        <v>20</v>
      </c>
      <c r="G37" s="115">
        <v>0</v>
      </c>
      <c r="H37" s="115"/>
      <c r="I37" s="115">
        <v>0</v>
      </c>
      <c r="J37" s="115">
        <v>0</v>
      </c>
      <c r="K37" s="115">
        <v>0</v>
      </c>
      <c r="L37" s="1">
        <v>0.3</v>
      </c>
      <c r="M37">
        <v>70</v>
      </c>
      <c r="N37" s="115">
        <v>0</v>
      </c>
      <c r="O37" s="115">
        <v>0</v>
      </c>
      <c r="P37">
        <v>1</v>
      </c>
      <c r="Q37" s="23">
        <v>0.5</v>
      </c>
      <c r="R37">
        <v>782000</v>
      </c>
      <c r="S37">
        <v>773600</v>
      </c>
      <c r="T37">
        <v>386800</v>
      </c>
      <c r="U37">
        <v>1105142.8571428573</v>
      </c>
      <c r="V37">
        <v>773600</v>
      </c>
      <c r="W37" s="1">
        <v>2</v>
      </c>
      <c r="X37" s="115">
        <v>0</v>
      </c>
      <c r="Y37" s="1">
        <v>2</v>
      </c>
      <c r="Z37">
        <v>2</v>
      </c>
      <c r="AA37">
        <v>0</v>
      </c>
      <c r="AB37">
        <v>1</v>
      </c>
      <c r="AC37" t="s">
        <v>11</v>
      </c>
      <c r="AD37" t="s">
        <v>16</v>
      </c>
      <c r="AF37">
        <v>0</v>
      </c>
      <c r="AG37" t="s">
        <v>24</v>
      </c>
      <c r="AH37" s="1" t="s">
        <v>17</v>
      </c>
      <c r="AI37" s="1" t="s">
        <v>128</v>
      </c>
      <c r="AJ37" s="1" t="s">
        <v>128</v>
      </c>
      <c r="AK37" s="1" t="s">
        <v>128</v>
      </c>
      <c r="AL37" s="1" t="s">
        <v>128</v>
      </c>
      <c r="AM37" s="1" t="s">
        <v>128</v>
      </c>
      <c r="AN37" s="1" t="s">
        <v>128</v>
      </c>
      <c r="AO37" s="1" t="s">
        <v>128</v>
      </c>
      <c r="AP37" s="1" t="s">
        <v>128</v>
      </c>
      <c r="AQ37" s="1" t="s">
        <v>128</v>
      </c>
      <c r="AR37" s="1" t="s">
        <v>128</v>
      </c>
      <c r="AS37" s="1" t="s">
        <v>128</v>
      </c>
      <c r="AT37" s="1" t="s">
        <v>128</v>
      </c>
      <c r="AU37" s="1" t="s">
        <v>128</v>
      </c>
      <c r="AV37" s="1" t="s">
        <v>128</v>
      </c>
      <c r="AW37" s="1" t="s">
        <v>128</v>
      </c>
      <c r="AX37" s="1" t="s">
        <v>128</v>
      </c>
      <c r="AY37" s="1" t="s">
        <v>128</v>
      </c>
      <c r="AZ37" s="1" t="s">
        <v>128</v>
      </c>
      <c r="BA37" s="1" t="s">
        <v>128</v>
      </c>
      <c r="BB37" s="1" t="s">
        <v>128</v>
      </c>
      <c r="BC37" s="1" t="s">
        <v>128</v>
      </c>
      <c r="BD37" s="1" t="s">
        <v>128</v>
      </c>
    </row>
    <row r="38" spans="1:57" x14ac:dyDescent="0.2">
      <c r="A38" t="s">
        <v>207</v>
      </c>
      <c r="B38" s="115">
        <v>80</v>
      </c>
      <c r="C38" s="115">
        <v>70</v>
      </c>
      <c r="D38" s="115">
        <v>0</v>
      </c>
      <c r="E38" s="115">
        <v>30</v>
      </c>
      <c r="F38" s="115">
        <v>70</v>
      </c>
      <c r="G38" s="115">
        <v>0</v>
      </c>
      <c r="H38" s="115"/>
      <c r="I38" s="115">
        <v>0</v>
      </c>
      <c r="J38" s="115">
        <v>0</v>
      </c>
      <c r="K38" s="115">
        <v>0</v>
      </c>
      <c r="L38" s="23">
        <v>40</v>
      </c>
      <c r="M38" s="23">
        <v>180</v>
      </c>
      <c r="P38" s="1">
        <v>2.1</v>
      </c>
      <c r="Q38" s="1">
        <v>1.05</v>
      </c>
      <c r="R38" s="1">
        <v>1214000</v>
      </c>
      <c r="S38" s="1">
        <v>1205000</v>
      </c>
      <c r="T38" s="1">
        <v>401666.66666666669</v>
      </c>
      <c r="U38" s="1">
        <v>669444.44444444438</v>
      </c>
      <c r="V38" s="1">
        <v>1205000</v>
      </c>
      <c r="W38" s="1">
        <v>2</v>
      </c>
      <c r="X38" s="115">
        <v>0</v>
      </c>
      <c r="Y38" s="1">
        <v>2</v>
      </c>
      <c r="Z38" s="1">
        <v>2</v>
      </c>
      <c r="AA38" s="1">
        <v>0</v>
      </c>
      <c r="AB38" s="1">
        <v>1</v>
      </c>
      <c r="AC38" t="s">
        <v>11</v>
      </c>
      <c r="AD38" t="s">
        <v>14</v>
      </c>
      <c r="AF38">
        <v>0</v>
      </c>
      <c r="AG38" t="s">
        <v>24</v>
      </c>
      <c r="AH38" s="1" t="s">
        <v>12</v>
      </c>
      <c r="AI38" s="1" t="s">
        <v>128</v>
      </c>
      <c r="AJ38" s="1" t="s">
        <v>128</v>
      </c>
      <c r="AK38" s="1" t="s">
        <v>128</v>
      </c>
      <c r="AL38" s="1" t="s">
        <v>128</v>
      </c>
      <c r="AM38" s="1" t="s">
        <v>128</v>
      </c>
      <c r="AN38" s="1" t="s">
        <v>128</v>
      </c>
      <c r="AO38" s="1" t="s">
        <v>128</v>
      </c>
      <c r="AP38" s="1" t="s">
        <v>128</v>
      </c>
      <c r="AQ38" s="1" t="s">
        <v>128</v>
      </c>
      <c r="AR38" s="1" t="s">
        <v>128</v>
      </c>
      <c r="AS38" s="1" t="s">
        <v>128</v>
      </c>
      <c r="AT38" s="1" t="s">
        <v>128</v>
      </c>
      <c r="AU38" s="1" t="s">
        <v>128</v>
      </c>
      <c r="AV38" s="1" t="s">
        <v>128</v>
      </c>
      <c r="AW38" s="1" t="s">
        <v>128</v>
      </c>
      <c r="AX38" s="1" t="s">
        <v>128</v>
      </c>
      <c r="AY38" s="1" t="s">
        <v>128</v>
      </c>
      <c r="AZ38" s="1" t="s">
        <v>128</v>
      </c>
      <c r="BA38" s="1" t="s">
        <v>128</v>
      </c>
      <c r="BB38" s="1" t="s">
        <v>128</v>
      </c>
      <c r="BC38" s="1" t="s">
        <v>128</v>
      </c>
      <c r="BD38" s="1" t="s">
        <v>128</v>
      </c>
    </row>
    <row r="39" spans="1:57" x14ac:dyDescent="0.2">
      <c r="A39" t="s">
        <v>208</v>
      </c>
      <c r="B39" s="130">
        <v>20</v>
      </c>
      <c r="C39" s="130">
        <v>40</v>
      </c>
      <c r="D39" s="130">
        <v>30</v>
      </c>
      <c r="E39" s="115">
        <v>0</v>
      </c>
      <c r="F39" s="115">
        <v>0</v>
      </c>
      <c r="G39" s="115">
        <v>0</v>
      </c>
      <c r="H39" s="115"/>
      <c r="I39" s="115">
        <v>0</v>
      </c>
      <c r="J39" s="115">
        <v>0</v>
      </c>
      <c r="K39" s="115">
        <v>0</v>
      </c>
      <c r="L39" s="23">
        <v>25</v>
      </c>
      <c r="M39">
        <v>90</v>
      </c>
      <c r="N39" s="115">
        <v>0</v>
      </c>
      <c r="O39" s="115">
        <v>0</v>
      </c>
      <c r="P39" s="23">
        <v>1.2</v>
      </c>
      <c r="Q39" s="23">
        <v>0.39999999999999997</v>
      </c>
      <c r="R39" s="1">
        <v>2567200</v>
      </c>
      <c r="S39" s="1">
        <v>2524533.3333333335</v>
      </c>
      <c r="T39" s="1">
        <v>841511.11111111112</v>
      </c>
      <c r="U39" s="1">
        <v>2805037.0370370373</v>
      </c>
      <c r="V39" s="1">
        <v>2524533.3333333335</v>
      </c>
      <c r="W39" s="1">
        <v>2</v>
      </c>
      <c r="X39" s="1">
        <v>1</v>
      </c>
      <c r="Y39" s="1">
        <v>2</v>
      </c>
      <c r="Z39" s="1">
        <v>3</v>
      </c>
      <c r="AA39" s="1">
        <v>0</v>
      </c>
      <c r="AB39" s="1">
        <v>0</v>
      </c>
      <c r="AC39" t="s">
        <v>11</v>
      </c>
      <c r="AD39" t="s">
        <v>13</v>
      </c>
      <c r="AF39">
        <v>0</v>
      </c>
      <c r="AG39" t="s">
        <v>24</v>
      </c>
      <c r="AH39" s="1" t="s">
        <v>12</v>
      </c>
      <c r="AI39" s="1" t="s">
        <v>128</v>
      </c>
      <c r="AJ39" s="1" t="s">
        <v>128</v>
      </c>
      <c r="AK39" s="1" t="s">
        <v>128</v>
      </c>
      <c r="AL39" s="1" t="s">
        <v>128</v>
      </c>
      <c r="AM39" s="1" t="s">
        <v>128</v>
      </c>
      <c r="AN39" s="1" t="s">
        <v>128</v>
      </c>
      <c r="AO39" s="1" t="s">
        <v>128</v>
      </c>
      <c r="AP39" s="1" t="s">
        <v>128</v>
      </c>
      <c r="AQ39" s="1" t="s">
        <v>128</v>
      </c>
      <c r="AR39" s="1" t="s">
        <v>128</v>
      </c>
      <c r="AS39" s="1" t="s">
        <v>128</v>
      </c>
      <c r="AT39" s="1" t="s">
        <v>128</v>
      </c>
      <c r="AU39" s="1" t="s">
        <v>128</v>
      </c>
      <c r="AV39" s="1" t="s">
        <v>128</v>
      </c>
      <c r="AW39" s="1" t="s">
        <v>128</v>
      </c>
      <c r="AX39" s="1" t="s">
        <v>128</v>
      </c>
      <c r="AY39" s="1" t="s">
        <v>128</v>
      </c>
      <c r="AZ39" s="1" t="s">
        <v>128</v>
      </c>
      <c r="BA39" s="1" t="s">
        <v>128</v>
      </c>
      <c r="BB39" s="1" t="s">
        <v>128</v>
      </c>
      <c r="BC39" s="1" t="s">
        <v>128</v>
      </c>
      <c r="BD39" s="1" t="s">
        <v>128</v>
      </c>
    </row>
    <row r="40" spans="1:57" x14ac:dyDescent="0.2">
      <c r="A40" t="s">
        <v>209</v>
      </c>
      <c r="B40" s="115">
        <v>0</v>
      </c>
      <c r="C40" s="130">
        <v>30</v>
      </c>
      <c r="D40" s="115">
        <v>50</v>
      </c>
      <c r="E40" s="115">
        <v>0</v>
      </c>
      <c r="F40" s="130">
        <v>30</v>
      </c>
      <c r="G40" s="115">
        <v>0</v>
      </c>
      <c r="H40" s="115"/>
      <c r="I40" s="115">
        <v>0</v>
      </c>
      <c r="J40" s="115">
        <v>0</v>
      </c>
      <c r="K40" s="115">
        <v>0</v>
      </c>
      <c r="L40">
        <v>50</v>
      </c>
      <c r="M40">
        <v>80</v>
      </c>
      <c r="N40" s="115">
        <v>0</v>
      </c>
      <c r="O40" s="115">
        <v>0</v>
      </c>
      <c r="P40" s="23">
        <v>1.4</v>
      </c>
      <c r="Q40" s="1">
        <v>0.35</v>
      </c>
      <c r="R40" s="1">
        <v>283000</v>
      </c>
      <c r="S40" s="1">
        <v>251866.66666666666</v>
      </c>
      <c r="T40" s="1">
        <v>251866.66666666666</v>
      </c>
      <c r="U40" s="1">
        <v>839555.5555555555</v>
      </c>
      <c r="V40" s="1">
        <v>251866.66666666666</v>
      </c>
      <c r="W40" s="1">
        <v>2</v>
      </c>
      <c r="X40" s="1">
        <v>1</v>
      </c>
      <c r="Y40" s="1">
        <v>2</v>
      </c>
      <c r="Z40" s="1">
        <v>1</v>
      </c>
      <c r="AA40" s="1">
        <v>2</v>
      </c>
      <c r="AB40" s="1">
        <v>1</v>
      </c>
      <c r="AC40" t="s">
        <v>11</v>
      </c>
      <c r="AD40" t="s">
        <v>14</v>
      </c>
      <c r="AF40">
        <v>0</v>
      </c>
      <c r="AG40" t="s">
        <v>34</v>
      </c>
      <c r="AH40" s="1" t="s">
        <v>17</v>
      </c>
      <c r="AI40" s="1" t="s">
        <v>128</v>
      </c>
      <c r="AJ40" s="1" t="s">
        <v>128</v>
      </c>
      <c r="AK40" s="1" t="s">
        <v>128</v>
      </c>
      <c r="AL40" s="1" t="s">
        <v>128</v>
      </c>
      <c r="AM40" s="1" t="s">
        <v>128</v>
      </c>
      <c r="AN40" s="1" t="s">
        <v>128</v>
      </c>
      <c r="AO40" s="1" t="s">
        <v>128</v>
      </c>
      <c r="AP40" s="1" t="s">
        <v>128</v>
      </c>
      <c r="AQ40" s="1" t="s">
        <v>128</v>
      </c>
      <c r="AR40" s="1" t="s">
        <v>128</v>
      </c>
      <c r="AS40" s="1" t="s">
        <v>128</v>
      </c>
      <c r="AT40" s="1" t="s">
        <v>128</v>
      </c>
      <c r="AU40" s="1" t="s">
        <v>128</v>
      </c>
      <c r="AV40" s="1" t="s">
        <v>128</v>
      </c>
      <c r="AW40" s="1" t="s">
        <v>128</v>
      </c>
      <c r="AX40" s="1" t="s">
        <v>128</v>
      </c>
      <c r="AY40" s="1" t="s">
        <v>128</v>
      </c>
      <c r="AZ40" s="1" t="s">
        <v>128</v>
      </c>
      <c r="BA40" s="1" t="s">
        <v>128</v>
      </c>
      <c r="BB40" s="1" t="s">
        <v>128</v>
      </c>
      <c r="BC40" s="1" t="s">
        <v>128</v>
      </c>
      <c r="BD40" s="1" t="s">
        <v>128</v>
      </c>
    </row>
    <row r="41" spans="1:57" s="1" customFormat="1" x14ac:dyDescent="0.2">
      <c r="A41" s="1" t="s">
        <v>210</v>
      </c>
      <c r="B41" s="130">
        <v>20</v>
      </c>
      <c r="C41" s="115">
        <v>20</v>
      </c>
      <c r="D41" s="115">
        <v>0</v>
      </c>
      <c r="E41" s="115">
        <v>0</v>
      </c>
      <c r="F41" s="115">
        <v>0</v>
      </c>
      <c r="G41" s="115">
        <v>0</v>
      </c>
      <c r="H41" s="115"/>
      <c r="I41" s="130">
        <v>20</v>
      </c>
      <c r="J41" s="115">
        <v>0</v>
      </c>
      <c r="K41" s="115">
        <v>0</v>
      </c>
      <c r="L41" s="23">
        <v>40</v>
      </c>
      <c r="M41">
        <v>60</v>
      </c>
      <c r="N41" s="130">
        <v>24</v>
      </c>
      <c r="O41" s="130">
        <v>12</v>
      </c>
      <c r="P41" s="1">
        <v>1</v>
      </c>
      <c r="Q41" s="23">
        <v>0.5</v>
      </c>
      <c r="R41" s="1">
        <v>1683000</v>
      </c>
      <c r="S41" s="1">
        <v>1664333.3333333333</v>
      </c>
      <c r="T41" s="1">
        <v>1274111.111111111</v>
      </c>
      <c r="U41" s="1">
        <v>9555833.3333333321</v>
      </c>
      <c r="V41" s="1">
        <v>3822333.333333333</v>
      </c>
      <c r="W41" s="1">
        <v>2</v>
      </c>
      <c r="X41" s="1">
        <v>1</v>
      </c>
      <c r="Y41" s="1">
        <v>2</v>
      </c>
      <c r="Z41" s="1">
        <v>3</v>
      </c>
      <c r="AA41" s="1">
        <v>1</v>
      </c>
      <c r="AB41" s="1">
        <v>0</v>
      </c>
      <c r="AC41" s="1" t="s">
        <v>21</v>
      </c>
      <c r="AD41" s="1" t="s">
        <v>16</v>
      </c>
      <c r="AF41" s="1">
        <v>0.56457661114502489</v>
      </c>
      <c r="AG41" s="1" t="s">
        <v>24</v>
      </c>
      <c r="AH41" s="1" t="s">
        <v>12</v>
      </c>
      <c r="AI41">
        <v>3</v>
      </c>
      <c r="AJ41" s="1">
        <v>6000</v>
      </c>
      <c r="AK41" s="1">
        <v>0</v>
      </c>
      <c r="AL41" s="1">
        <v>0</v>
      </c>
      <c r="AM41">
        <v>2</v>
      </c>
      <c r="AN41">
        <v>2</v>
      </c>
      <c r="AO41">
        <v>3</v>
      </c>
      <c r="AP41">
        <v>0</v>
      </c>
      <c r="AR41" s="1" t="s">
        <v>34</v>
      </c>
      <c r="AS41">
        <v>58</v>
      </c>
      <c r="AT41" t="s">
        <v>115</v>
      </c>
      <c r="AU41" t="s">
        <v>24</v>
      </c>
      <c r="AV41" t="s">
        <v>116</v>
      </c>
      <c r="AW41" t="s">
        <v>197</v>
      </c>
      <c r="AX41" t="s">
        <v>24</v>
      </c>
      <c r="AY41" t="s">
        <v>118</v>
      </c>
      <c r="AZ41" t="s">
        <v>119</v>
      </c>
      <c r="BA41" t="s">
        <v>34</v>
      </c>
      <c r="BB41" t="s">
        <v>125</v>
      </c>
      <c r="BC41" t="s">
        <v>126</v>
      </c>
      <c r="BD41"/>
      <c r="BE41" s="1">
        <v>2005</v>
      </c>
    </row>
    <row r="42" spans="1:57" x14ac:dyDescent="0.2">
      <c r="A42" t="s">
        <v>211</v>
      </c>
      <c r="B42">
        <v>60</v>
      </c>
      <c r="C42">
        <v>20</v>
      </c>
      <c r="D42" s="23">
        <v>20</v>
      </c>
      <c r="E42">
        <v>0</v>
      </c>
      <c r="F42">
        <v>40</v>
      </c>
      <c r="G42">
        <v>30</v>
      </c>
      <c r="I42">
        <v>0</v>
      </c>
      <c r="J42">
        <v>0</v>
      </c>
      <c r="K42">
        <v>0</v>
      </c>
      <c r="L42">
        <v>0</v>
      </c>
      <c r="M42" s="23">
        <v>150</v>
      </c>
      <c r="N42" s="115">
        <v>36</v>
      </c>
      <c r="O42" s="130">
        <v>12</v>
      </c>
      <c r="P42" s="23">
        <v>1.5</v>
      </c>
      <c r="Q42">
        <v>0.3</v>
      </c>
      <c r="R42">
        <v>549400</v>
      </c>
      <c r="S42">
        <v>354626.19047619047</v>
      </c>
      <c r="T42">
        <v>177313.09523809524</v>
      </c>
      <c r="U42">
        <v>443282.73809523805</v>
      </c>
      <c r="V42">
        <v>354626.19047619047</v>
      </c>
      <c r="W42">
        <v>1</v>
      </c>
      <c r="X42">
        <v>1</v>
      </c>
      <c r="Y42" s="1">
        <v>2</v>
      </c>
      <c r="Z42">
        <v>2</v>
      </c>
      <c r="AA42">
        <v>3</v>
      </c>
      <c r="AB42">
        <v>0</v>
      </c>
      <c r="AC42" s="1" t="s">
        <v>11</v>
      </c>
      <c r="AD42" s="1" t="s">
        <v>14</v>
      </c>
      <c r="AF42">
        <v>0</v>
      </c>
      <c r="AG42" s="1" t="s">
        <v>34</v>
      </c>
      <c r="AH42" s="1" t="s">
        <v>12</v>
      </c>
      <c r="AI42">
        <v>3</v>
      </c>
      <c r="AJ42" s="1">
        <v>6000</v>
      </c>
      <c r="AK42" s="1">
        <v>0</v>
      </c>
      <c r="AL42" s="1">
        <v>0</v>
      </c>
      <c r="AM42">
        <v>2</v>
      </c>
      <c r="AN42">
        <v>2</v>
      </c>
      <c r="AO42">
        <v>1</v>
      </c>
      <c r="AP42">
        <v>0</v>
      </c>
      <c r="AQ42" s="1"/>
      <c r="AR42" s="1" t="s">
        <v>34</v>
      </c>
      <c r="AS42">
        <v>64</v>
      </c>
      <c r="AT42" t="s">
        <v>115</v>
      </c>
      <c r="AU42" t="s">
        <v>119</v>
      </c>
      <c r="AV42" t="s">
        <v>138</v>
      </c>
      <c r="AW42" t="s">
        <v>117</v>
      </c>
      <c r="AX42" t="s">
        <v>24</v>
      </c>
      <c r="AY42" t="s">
        <v>118</v>
      </c>
      <c r="AZ42" t="s">
        <v>119</v>
      </c>
      <c r="BA42" t="s">
        <v>24</v>
      </c>
      <c r="BB42" t="s">
        <v>143</v>
      </c>
      <c r="BC42" t="s">
        <v>126</v>
      </c>
      <c r="BE42" s="1">
        <v>2005</v>
      </c>
    </row>
    <row r="43" spans="1:57" x14ac:dyDescent="0.2">
      <c r="A43" t="s">
        <v>196</v>
      </c>
      <c r="B43" s="23">
        <v>20</v>
      </c>
      <c r="C43">
        <v>50</v>
      </c>
      <c r="D43">
        <v>0</v>
      </c>
      <c r="E43">
        <v>0</v>
      </c>
      <c r="F43">
        <v>0</v>
      </c>
      <c r="G43">
        <v>0</v>
      </c>
      <c r="H43">
        <v>0</v>
      </c>
      <c r="I43" s="23">
        <v>20</v>
      </c>
      <c r="J43">
        <v>0</v>
      </c>
      <c r="K43">
        <v>0</v>
      </c>
      <c r="L43">
        <v>0.3</v>
      </c>
      <c r="M43" s="23">
        <v>100</v>
      </c>
      <c r="O43" s="115">
        <v>0</v>
      </c>
      <c r="P43" s="23">
        <v>1.5</v>
      </c>
      <c r="Q43" s="23">
        <v>0.75</v>
      </c>
      <c r="R43">
        <v>979517.85714285716</v>
      </c>
      <c r="S43">
        <v>948684.52380952379</v>
      </c>
      <c r="T43" s="1">
        <v>474342.26190476189</v>
      </c>
      <c r="U43" s="1">
        <v>948684.52380952379</v>
      </c>
      <c r="V43" s="1">
        <v>948684.52380952379</v>
      </c>
      <c r="W43" s="1">
        <v>2</v>
      </c>
      <c r="X43" s="1">
        <v>1</v>
      </c>
      <c r="Y43">
        <v>2</v>
      </c>
      <c r="Z43">
        <v>2</v>
      </c>
      <c r="AA43">
        <v>0</v>
      </c>
      <c r="AB43">
        <v>0</v>
      </c>
      <c r="AC43" t="s">
        <v>11</v>
      </c>
      <c r="AD43" t="s">
        <v>16</v>
      </c>
      <c r="AF43">
        <v>0</v>
      </c>
      <c r="AG43" t="s">
        <v>24</v>
      </c>
      <c r="AH43" s="1" t="s">
        <v>12</v>
      </c>
      <c r="AI43" s="115">
        <v>3</v>
      </c>
      <c r="AJ43" s="1">
        <v>0</v>
      </c>
      <c r="AK43" s="1">
        <v>0.25</v>
      </c>
      <c r="AL43" s="1">
        <v>0</v>
      </c>
      <c r="AM43">
        <v>0</v>
      </c>
      <c r="AN43">
        <v>1</v>
      </c>
      <c r="AO43">
        <v>3</v>
      </c>
      <c r="AP43">
        <v>0</v>
      </c>
      <c r="AQ43" s="1"/>
      <c r="AR43" s="1" t="s">
        <v>34</v>
      </c>
      <c r="AS43">
        <v>42</v>
      </c>
      <c r="AT43" t="s">
        <v>131</v>
      </c>
      <c r="AU43" t="s">
        <v>24</v>
      </c>
      <c r="AV43" t="s">
        <v>135</v>
      </c>
      <c r="AW43" t="s">
        <v>197</v>
      </c>
      <c r="AX43" t="s">
        <v>24</v>
      </c>
      <c r="AY43" t="s">
        <v>118</v>
      </c>
      <c r="AZ43" t="s">
        <v>119</v>
      </c>
      <c r="BA43" t="s">
        <v>34</v>
      </c>
      <c r="BB43" t="s">
        <v>143</v>
      </c>
      <c r="BC43" t="s">
        <v>133</v>
      </c>
      <c r="BE43">
        <v>2005</v>
      </c>
    </row>
    <row r="45" spans="1:57" x14ac:dyDescent="0.2">
      <c r="B45">
        <f>AVERAGE(B36:B43)</f>
        <v>31.25</v>
      </c>
      <c r="C45">
        <f t="shared" ref="C45:AB45" si="3">AVERAGE(C36:C43)</f>
        <v>32.5</v>
      </c>
      <c r="D45">
        <f t="shared" si="3"/>
        <v>16.25</v>
      </c>
      <c r="E45">
        <f t="shared" si="3"/>
        <v>6.25</v>
      </c>
      <c r="F45">
        <f t="shared" si="3"/>
        <v>20</v>
      </c>
      <c r="G45">
        <f t="shared" si="3"/>
        <v>3.75</v>
      </c>
      <c r="H45">
        <f t="shared" si="3"/>
        <v>0</v>
      </c>
      <c r="I45">
        <f t="shared" si="3"/>
        <v>45</v>
      </c>
      <c r="J45">
        <f t="shared" si="3"/>
        <v>0</v>
      </c>
      <c r="K45">
        <f t="shared" si="3"/>
        <v>0</v>
      </c>
      <c r="L45">
        <f t="shared" si="3"/>
        <v>25.700000000000003</v>
      </c>
      <c r="M45">
        <f t="shared" si="3"/>
        <v>141.25</v>
      </c>
      <c r="N45">
        <f t="shared" si="3"/>
        <v>16</v>
      </c>
      <c r="O45">
        <f t="shared" si="3"/>
        <v>5.1428571428571432</v>
      </c>
      <c r="P45">
        <f t="shared" si="3"/>
        <v>1.7749999999999999</v>
      </c>
      <c r="Q45">
        <f t="shared" si="3"/>
        <v>0.66874999999999996</v>
      </c>
      <c r="R45">
        <f t="shared" si="3"/>
        <v>1525089.732142857</v>
      </c>
      <c r="S45">
        <f t="shared" si="3"/>
        <v>1478655.5059523811</v>
      </c>
      <c r="T45">
        <f t="shared" si="3"/>
        <v>732613.86408730154</v>
      </c>
      <c r="U45">
        <f t="shared" si="3"/>
        <v>2347828.4435301898</v>
      </c>
      <c r="V45">
        <f t="shared" si="3"/>
        <v>1748405.5059523808</v>
      </c>
      <c r="W45">
        <f t="shared" si="3"/>
        <v>1.875</v>
      </c>
      <c r="X45">
        <f t="shared" si="3"/>
        <v>0.625</v>
      </c>
      <c r="Y45">
        <f t="shared" si="3"/>
        <v>2</v>
      </c>
      <c r="Z45">
        <f t="shared" si="3"/>
        <v>2.125</v>
      </c>
      <c r="AA45">
        <f t="shared" si="3"/>
        <v>0.75</v>
      </c>
      <c r="AB45">
        <f t="shared" si="3"/>
        <v>0.5</v>
      </c>
    </row>
    <row r="48" spans="1:57" x14ac:dyDescent="0.2">
      <c r="A48" t="s">
        <v>212</v>
      </c>
      <c r="B48" s="130">
        <v>50</v>
      </c>
      <c r="C48" s="115">
        <v>50</v>
      </c>
      <c r="D48" s="115">
        <v>0</v>
      </c>
      <c r="E48" s="115">
        <v>0</v>
      </c>
      <c r="F48" s="115">
        <v>0</v>
      </c>
      <c r="G48" s="115">
        <v>0</v>
      </c>
      <c r="H48" s="115"/>
      <c r="I48" s="115">
        <v>50</v>
      </c>
      <c r="J48" s="130">
        <v>7</v>
      </c>
      <c r="K48" s="115">
        <v>50</v>
      </c>
      <c r="L48" s="23">
        <v>50</v>
      </c>
      <c r="M48" s="23">
        <v>157</v>
      </c>
      <c r="O48" s="23">
        <v>12</v>
      </c>
      <c r="P48" s="23">
        <v>2</v>
      </c>
      <c r="Q48">
        <v>0.66666666666666663</v>
      </c>
      <c r="R48">
        <v>735600</v>
      </c>
      <c r="S48">
        <v>662333.33333333337</v>
      </c>
      <c r="T48">
        <v>220777.77777777778</v>
      </c>
      <c r="U48">
        <v>441555.55555555556</v>
      </c>
      <c r="V48">
        <v>662333.33333333337</v>
      </c>
      <c r="W48" s="1">
        <v>1</v>
      </c>
      <c r="X48">
        <v>0</v>
      </c>
      <c r="Y48">
        <v>2</v>
      </c>
      <c r="Z48">
        <v>3</v>
      </c>
      <c r="AA48">
        <v>0</v>
      </c>
      <c r="AB48">
        <v>0</v>
      </c>
      <c r="AC48" t="s">
        <v>11</v>
      </c>
      <c r="AD48" t="s">
        <v>14</v>
      </c>
      <c r="AF48">
        <v>0</v>
      </c>
      <c r="AG48" s="1" t="s">
        <v>24</v>
      </c>
      <c r="AH48" s="1" t="s">
        <v>15</v>
      </c>
      <c r="AI48">
        <v>3</v>
      </c>
      <c r="AJ48" s="1">
        <v>4800</v>
      </c>
      <c r="AK48" s="1">
        <v>1.6666666666666667</v>
      </c>
      <c r="AL48" s="1">
        <v>0</v>
      </c>
      <c r="AM48">
        <v>1</v>
      </c>
      <c r="AN48">
        <v>2</v>
      </c>
      <c r="AO48">
        <v>3</v>
      </c>
      <c r="AP48">
        <v>0</v>
      </c>
      <c r="AQ48" s="1"/>
      <c r="AR48" s="1" t="s">
        <v>23</v>
      </c>
      <c r="AS48">
        <v>54</v>
      </c>
      <c r="AT48" t="s">
        <v>115</v>
      </c>
      <c r="AU48" t="s">
        <v>24</v>
      </c>
      <c r="AV48" t="s">
        <v>138</v>
      </c>
      <c r="AW48" t="s">
        <v>117</v>
      </c>
      <c r="AX48" t="s">
        <v>24</v>
      </c>
      <c r="AY48" t="s">
        <v>118</v>
      </c>
      <c r="AZ48" t="s">
        <v>23</v>
      </c>
      <c r="BA48" t="s">
        <v>24</v>
      </c>
      <c r="BB48" t="s">
        <v>120</v>
      </c>
      <c r="BC48" t="s">
        <v>126</v>
      </c>
      <c r="BE48" s="1">
        <v>2005</v>
      </c>
    </row>
    <row r="49" spans="1:57" x14ac:dyDescent="0.2">
      <c r="A49" t="s">
        <v>213</v>
      </c>
      <c r="B49" s="130">
        <v>60</v>
      </c>
      <c r="C49" s="115">
        <v>120</v>
      </c>
      <c r="D49" s="115">
        <v>100</v>
      </c>
      <c r="E49" s="115">
        <v>0</v>
      </c>
      <c r="F49" s="130">
        <v>20</v>
      </c>
      <c r="G49" s="115">
        <v>0</v>
      </c>
      <c r="H49" s="115"/>
      <c r="I49" s="130">
        <v>20</v>
      </c>
      <c r="J49" s="115">
        <v>20</v>
      </c>
      <c r="K49" s="115">
        <v>0</v>
      </c>
      <c r="L49">
        <v>200</v>
      </c>
      <c r="M49" s="23">
        <v>200</v>
      </c>
      <c r="N49" s="130">
        <v>24</v>
      </c>
      <c r="O49" s="130">
        <v>12</v>
      </c>
      <c r="P49" s="1">
        <v>4</v>
      </c>
      <c r="Q49" s="1">
        <v>0.66666666666666663</v>
      </c>
      <c r="R49" s="1">
        <v>3433600</v>
      </c>
      <c r="S49" s="1">
        <v>3354070</v>
      </c>
      <c r="T49" s="1">
        <v>634011.66666666663</v>
      </c>
      <c r="U49" s="1">
        <v>2377543.75</v>
      </c>
      <c r="V49" s="1">
        <v>3804070</v>
      </c>
      <c r="W49" s="1">
        <v>3</v>
      </c>
      <c r="X49" s="115">
        <v>0</v>
      </c>
      <c r="Y49" s="1">
        <v>2</v>
      </c>
      <c r="Z49" s="1">
        <v>6</v>
      </c>
      <c r="AA49" s="1">
        <v>0</v>
      </c>
      <c r="AB49" s="1">
        <v>1</v>
      </c>
      <c r="AC49" t="s">
        <v>11</v>
      </c>
      <c r="AD49" t="s">
        <v>14</v>
      </c>
      <c r="AF49">
        <v>0.11829435315333314</v>
      </c>
      <c r="AG49" t="s">
        <v>24</v>
      </c>
      <c r="AH49" s="1" t="s">
        <v>15</v>
      </c>
      <c r="AI49">
        <v>3</v>
      </c>
      <c r="AJ49" s="117">
        <v>4500</v>
      </c>
      <c r="AK49" s="1">
        <v>0</v>
      </c>
      <c r="AL49" s="1">
        <v>0</v>
      </c>
      <c r="AM49">
        <v>1</v>
      </c>
      <c r="AN49">
        <v>2</v>
      </c>
      <c r="AO49">
        <v>2</v>
      </c>
      <c r="AP49">
        <v>0</v>
      </c>
      <c r="AQ49" s="1"/>
      <c r="AR49" s="1" t="s">
        <v>34</v>
      </c>
      <c r="AS49">
        <v>47</v>
      </c>
      <c r="AT49" t="s">
        <v>115</v>
      </c>
      <c r="AU49" t="s">
        <v>24</v>
      </c>
      <c r="AV49" t="s">
        <v>124</v>
      </c>
      <c r="AW49" t="s">
        <v>117</v>
      </c>
      <c r="AX49" t="s">
        <v>24</v>
      </c>
      <c r="AY49" t="s">
        <v>118</v>
      </c>
      <c r="AZ49" t="s">
        <v>119</v>
      </c>
      <c r="BA49" t="s">
        <v>34</v>
      </c>
      <c r="BB49" t="s">
        <v>125</v>
      </c>
      <c r="BC49" t="s">
        <v>140</v>
      </c>
      <c r="BD49" t="s">
        <v>214</v>
      </c>
      <c r="BE49">
        <v>2012</v>
      </c>
    </row>
    <row r="50" spans="1:57" x14ac:dyDescent="0.2">
      <c r="A50" t="s">
        <v>215</v>
      </c>
      <c r="B50" s="115">
        <v>0</v>
      </c>
      <c r="C50" s="115">
        <v>50</v>
      </c>
      <c r="D50" s="115">
        <v>0</v>
      </c>
      <c r="E50" s="115">
        <v>0</v>
      </c>
      <c r="F50" s="115">
        <v>50</v>
      </c>
      <c r="G50" s="130">
        <v>20</v>
      </c>
      <c r="H50" s="115"/>
      <c r="I50" s="115">
        <v>0</v>
      </c>
      <c r="J50" s="115">
        <v>0</v>
      </c>
      <c r="K50" s="115">
        <v>50</v>
      </c>
      <c r="L50">
        <v>0</v>
      </c>
      <c r="M50">
        <v>120</v>
      </c>
      <c r="N50" s="115">
        <v>0</v>
      </c>
      <c r="O50" s="115">
        <v>0</v>
      </c>
      <c r="P50" s="1">
        <v>1.2</v>
      </c>
      <c r="Q50" s="1">
        <v>0.17142857142857143</v>
      </c>
      <c r="R50" s="1">
        <v>3278000</v>
      </c>
      <c r="S50" s="1">
        <v>3259333.3333333335</v>
      </c>
      <c r="T50" s="1">
        <v>894190.47619047633</v>
      </c>
      <c r="U50" s="1">
        <v>7824166.666666667</v>
      </c>
      <c r="V50" s="1">
        <v>6259333.333333334</v>
      </c>
      <c r="W50" s="1">
        <v>1</v>
      </c>
      <c r="X50" s="1">
        <v>1</v>
      </c>
      <c r="Y50" s="1">
        <v>0</v>
      </c>
      <c r="Z50" s="1">
        <v>7</v>
      </c>
      <c r="AA50" s="1">
        <v>0</v>
      </c>
      <c r="AB50" s="1">
        <v>1</v>
      </c>
      <c r="AC50" t="s">
        <v>11</v>
      </c>
      <c r="AD50" t="s">
        <v>14</v>
      </c>
      <c r="AF50">
        <v>0.47928426882522096</v>
      </c>
      <c r="AG50" t="s">
        <v>24</v>
      </c>
      <c r="AH50" s="1" t="s">
        <v>15</v>
      </c>
      <c r="AI50" s="115">
        <v>3</v>
      </c>
      <c r="AJ50" s="1">
        <v>0</v>
      </c>
      <c r="AK50" s="1">
        <v>0</v>
      </c>
      <c r="AL50" s="1">
        <v>0</v>
      </c>
      <c r="AM50">
        <v>3</v>
      </c>
      <c r="AN50">
        <v>2</v>
      </c>
      <c r="AO50">
        <v>2</v>
      </c>
      <c r="AP50">
        <v>0</v>
      </c>
      <c r="AQ50" s="1"/>
      <c r="AR50" s="1" t="s">
        <v>34</v>
      </c>
      <c r="AS50">
        <v>41</v>
      </c>
      <c r="AT50" t="s">
        <v>115</v>
      </c>
      <c r="AU50" t="s">
        <v>24</v>
      </c>
      <c r="AV50" t="s">
        <v>116</v>
      </c>
      <c r="AW50" t="s">
        <v>216</v>
      </c>
      <c r="AX50" t="s">
        <v>24</v>
      </c>
      <c r="AY50" t="s">
        <v>118</v>
      </c>
      <c r="AZ50" t="s">
        <v>34</v>
      </c>
      <c r="BA50" t="s">
        <v>34</v>
      </c>
      <c r="BB50" t="s">
        <v>217</v>
      </c>
      <c r="BC50" t="s">
        <v>121</v>
      </c>
      <c r="BD50" t="s">
        <v>218</v>
      </c>
      <c r="BE50">
        <v>2014</v>
      </c>
    </row>
    <row r="51" spans="1:57" x14ac:dyDescent="0.2">
      <c r="A51" t="s">
        <v>219</v>
      </c>
      <c r="B51">
        <v>150</v>
      </c>
      <c r="C51">
        <v>120</v>
      </c>
      <c r="D51" s="23">
        <v>20</v>
      </c>
      <c r="E51">
        <v>30</v>
      </c>
      <c r="F51">
        <v>0</v>
      </c>
      <c r="G51">
        <v>30</v>
      </c>
      <c r="H51">
        <v>0</v>
      </c>
      <c r="I51">
        <v>50</v>
      </c>
      <c r="J51">
        <v>0</v>
      </c>
      <c r="K51">
        <v>0</v>
      </c>
      <c r="L51" s="1">
        <v>0</v>
      </c>
      <c r="M51" s="1">
        <v>220</v>
      </c>
      <c r="O51" s="115">
        <v>0</v>
      </c>
      <c r="P51" s="23">
        <v>2.2000000000000002</v>
      </c>
      <c r="Q51" s="23">
        <v>0.31428571428571433</v>
      </c>
      <c r="R51">
        <v>3169700</v>
      </c>
      <c r="S51">
        <v>3098700</v>
      </c>
      <c r="T51">
        <v>442671.42857142858</v>
      </c>
      <c r="U51">
        <v>1408500</v>
      </c>
      <c r="V51">
        <v>3098700</v>
      </c>
      <c r="W51">
        <v>2</v>
      </c>
      <c r="X51" s="115">
        <v>0</v>
      </c>
      <c r="Y51" s="1">
        <v>2</v>
      </c>
      <c r="Z51">
        <v>7</v>
      </c>
      <c r="AA51">
        <v>0</v>
      </c>
      <c r="AB51">
        <v>0</v>
      </c>
      <c r="AC51" s="1" t="s">
        <v>11</v>
      </c>
      <c r="AD51">
        <v>0</v>
      </c>
      <c r="AF51">
        <v>0</v>
      </c>
      <c r="AG51" t="s">
        <v>24</v>
      </c>
      <c r="AH51" s="1" t="s">
        <v>12</v>
      </c>
      <c r="AI51">
        <v>3</v>
      </c>
      <c r="AJ51" s="1">
        <v>1000</v>
      </c>
      <c r="AK51" s="1">
        <v>200</v>
      </c>
      <c r="AL51" s="1">
        <v>60</v>
      </c>
      <c r="AM51">
        <v>2</v>
      </c>
      <c r="AN51">
        <v>2</v>
      </c>
      <c r="AO51">
        <v>0</v>
      </c>
      <c r="AP51">
        <v>0</v>
      </c>
      <c r="AQ51" s="1"/>
      <c r="AR51" s="1" t="s">
        <v>34</v>
      </c>
      <c r="AS51">
        <v>46</v>
      </c>
      <c r="AT51" t="s">
        <v>115</v>
      </c>
      <c r="AU51" t="s">
        <v>24</v>
      </c>
      <c r="AV51" t="s">
        <v>124</v>
      </c>
      <c r="AW51" t="s">
        <v>117</v>
      </c>
      <c r="AX51" t="s">
        <v>24</v>
      </c>
      <c r="AY51" t="s">
        <v>118</v>
      </c>
      <c r="AZ51" t="s">
        <v>119</v>
      </c>
      <c r="BA51" t="s">
        <v>34</v>
      </c>
      <c r="BB51" t="s">
        <v>143</v>
      </c>
      <c r="BC51" t="s">
        <v>121</v>
      </c>
      <c r="BD51" t="s">
        <v>203</v>
      </c>
      <c r="BE51">
        <v>2006</v>
      </c>
    </row>
    <row r="53" spans="1:57" x14ac:dyDescent="0.2">
      <c r="B53">
        <f>AVERAGE(B48:B51)</f>
        <v>65</v>
      </c>
      <c r="C53">
        <f t="shared" ref="C53:AF53" si="4">AVERAGE(C48:C51)</f>
        <v>85</v>
      </c>
      <c r="D53">
        <f t="shared" si="4"/>
        <v>30</v>
      </c>
      <c r="E53">
        <f t="shared" si="4"/>
        <v>7.5</v>
      </c>
      <c r="F53">
        <f t="shared" si="4"/>
        <v>17.5</v>
      </c>
      <c r="G53">
        <f t="shared" si="4"/>
        <v>12.5</v>
      </c>
      <c r="H53">
        <f t="shared" si="4"/>
        <v>0</v>
      </c>
      <c r="I53">
        <f t="shared" si="4"/>
        <v>30</v>
      </c>
      <c r="J53">
        <f t="shared" si="4"/>
        <v>6.75</v>
      </c>
      <c r="K53">
        <f t="shared" si="4"/>
        <v>25</v>
      </c>
      <c r="L53">
        <f t="shared" si="4"/>
        <v>62.5</v>
      </c>
      <c r="M53">
        <f t="shared" si="4"/>
        <v>174.25</v>
      </c>
      <c r="N53">
        <f t="shared" si="4"/>
        <v>12</v>
      </c>
      <c r="O53">
        <f t="shared" si="4"/>
        <v>6</v>
      </c>
      <c r="P53">
        <f t="shared" si="4"/>
        <v>2.35</v>
      </c>
      <c r="Q53">
        <f t="shared" si="4"/>
        <v>0.45476190476190476</v>
      </c>
      <c r="R53">
        <f t="shared" si="4"/>
        <v>2654225</v>
      </c>
      <c r="S53">
        <f t="shared" si="4"/>
        <v>2593609.166666667</v>
      </c>
      <c r="T53">
        <f t="shared" si="4"/>
        <v>547912.83730158734</v>
      </c>
      <c r="U53">
        <f t="shared" si="4"/>
        <v>3012941.4930555555</v>
      </c>
      <c r="V53">
        <f t="shared" si="4"/>
        <v>3456109.166666667</v>
      </c>
      <c r="W53">
        <f t="shared" si="4"/>
        <v>1.75</v>
      </c>
      <c r="X53">
        <f t="shared" si="4"/>
        <v>0.25</v>
      </c>
      <c r="Y53">
        <f t="shared" si="4"/>
        <v>1.5</v>
      </c>
      <c r="Z53">
        <f t="shared" si="4"/>
        <v>5.75</v>
      </c>
      <c r="AA53">
        <f t="shared" si="4"/>
        <v>0</v>
      </c>
      <c r="AB53">
        <f t="shared" si="4"/>
        <v>0.5</v>
      </c>
      <c r="AC53" t="e">
        <f t="shared" si="4"/>
        <v>#DIV/0!</v>
      </c>
      <c r="AD53">
        <f t="shared" si="4"/>
        <v>0</v>
      </c>
      <c r="AE53" t="e">
        <f t="shared" si="4"/>
        <v>#DIV/0!</v>
      </c>
      <c r="AF53">
        <f t="shared" si="4"/>
        <v>0.14939465549463854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7"/>
  <sheetViews>
    <sheetView topLeftCell="S10" zoomScale="101" workbookViewId="0">
      <selection activeCell="C57" sqref="C57"/>
    </sheetView>
  </sheetViews>
  <sheetFormatPr baseColWidth="10" defaultRowHeight="16" x14ac:dyDescent="0.2"/>
  <cols>
    <col min="2" max="2" width="17.6640625" customWidth="1"/>
    <col min="3" max="3" width="13.83203125" customWidth="1"/>
    <col min="4" max="4" width="15.33203125" customWidth="1"/>
    <col min="9" max="9" width="14.1640625" customWidth="1"/>
    <col min="10" max="10" width="15.1640625" customWidth="1"/>
    <col min="11" max="11" width="21.1640625" customWidth="1"/>
    <col min="16" max="16" width="15.6640625" customWidth="1"/>
    <col min="17" max="17" width="15.1640625" customWidth="1"/>
    <col min="18" max="18" width="16.1640625" customWidth="1"/>
    <col min="23" max="23" width="16.1640625" customWidth="1"/>
    <col min="24" max="24" width="14.5" customWidth="1"/>
    <col min="25" max="25" width="18.5" customWidth="1"/>
  </cols>
  <sheetData>
    <row r="1" spans="1:31" x14ac:dyDescent="0.2">
      <c r="A1" t="s">
        <v>326</v>
      </c>
      <c r="B1" t="s">
        <v>358</v>
      </c>
      <c r="C1" t="s">
        <v>359</v>
      </c>
      <c r="D1" s="1" t="s">
        <v>324</v>
      </c>
      <c r="H1" t="s">
        <v>327</v>
      </c>
      <c r="I1" t="s">
        <v>358</v>
      </c>
      <c r="J1" t="s">
        <v>359</v>
      </c>
      <c r="K1" s="1" t="s">
        <v>324</v>
      </c>
      <c r="O1" t="s">
        <v>328</v>
      </c>
      <c r="P1" t="s">
        <v>322</v>
      </c>
      <c r="Q1" t="s">
        <v>323</v>
      </c>
      <c r="R1" s="1" t="s">
        <v>324</v>
      </c>
      <c r="V1" t="s">
        <v>329</v>
      </c>
      <c r="W1" t="s">
        <v>322</v>
      </c>
      <c r="X1" t="s">
        <v>323</v>
      </c>
      <c r="Y1" s="1" t="s">
        <v>324</v>
      </c>
    </row>
    <row r="2" spans="1:31" x14ac:dyDescent="0.2">
      <c r="A2" t="s">
        <v>243</v>
      </c>
      <c r="B2" s="163">
        <v>5426194.4444444403</v>
      </c>
      <c r="C2" s="163">
        <v>7037.727814823078</v>
      </c>
      <c r="D2" s="164">
        <v>43786071</v>
      </c>
      <c r="H2" t="s">
        <v>114</v>
      </c>
      <c r="I2" s="163">
        <v>3969066.666666667</v>
      </c>
      <c r="J2" s="165">
        <v>11746.975546975547</v>
      </c>
      <c r="K2" s="163">
        <v>1103233</v>
      </c>
      <c r="O2" s="1" t="s">
        <v>205</v>
      </c>
      <c r="P2" s="163">
        <v>3611414.2857142859</v>
      </c>
      <c r="Q2" s="165">
        <v>123365.21518987342</v>
      </c>
      <c r="R2" s="163">
        <v>2053300</v>
      </c>
      <c r="V2" t="s">
        <v>212</v>
      </c>
      <c r="W2" s="163">
        <v>1471200</v>
      </c>
      <c r="X2" s="165">
        <v>12570.036231884058</v>
      </c>
      <c r="Y2" s="163">
        <v>220778</v>
      </c>
    </row>
    <row r="3" spans="1:31" x14ac:dyDescent="0.2">
      <c r="H3" t="s">
        <v>123</v>
      </c>
      <c r="I3" s="163">
        <v>7060000</v>
      </c>
      <c r="J3" s="165">
        <v>15191.44385026738</v>
      </c>
      <c r="K3" s="166">
        <v>363000</v>
      </c>
      <c r="O3" s="1" t="s">
        <v>210</v>
      </c>
      <c r="P3" s="163">
        <v>2600000</v>
      </c>
      <c r="Q3" s="165">
        <v>8933.3333333333339</v>
      </c>
      <c r="R3" s="166">
        <v>1274111</v>
      </c>
      <c r="V3" t="s">
        <v>215</v>
      </c>
      <c r="W3" s="163">
        <v>2419750</v>
      </c>
      <c r="X3" s="165">
        <v>22063.65521327014</v>
      </c>
      <c r="Y3" s="166">
        <v>634012</v>
      </c>
    </row>
    <row r="4" spans="1:31" x14ac:dyDescent="0.2">
      <c r="A4" t="s">
        <v>326</v>
      </c>
      <c r="B4" t="s">
        <v>358</v>
      </c>
      <c r="C4" t="s">
        <v>359</v>
      </c>
      <c r="D4" s="1" t="s">
        <v>324</v>
      </c>
      <c r="H4" t="s">
        <v>130</v>
      </c>
      <c r="I4" s="163">
        <v>1132500</v>
      </c>
      <c r="J4" s="163">
        <v>3112.2828784119106</v>
      </c>
      <c r="K4" s="164">
        <v>1389250</v>
      </c>
      <c r="O4" t="s">
        <v>211</v>
      </c>
      <c r="P4" s="163">
        <v>2753000</v>
      </c>
      <c r="Q4" s="163">
        <v>9244.4664031620541</v>
      </c>
      <c r="R4" s="164">
        <v>177313</v>
      </c>
      <c r="V4" t="s">
        <v>219</v>
      </c>
      <c r="W4" s="163">
        <v>6179833.6333333338</v>
      </c>
      <c r="X4" s="163">
        <v>5326.9527235354572</v>
      </c>
      <c r="Y4" s="164">
        <v>442671</v>
      </c>
    </row>
    <row r="5" spans="1:31" x14ac:dyDescent="0.2">
      <c r="A5" t="s">
        <v>243</v>
      </c>
      <c r="B5" s="163">
        <v>3</v>
      </c>
      <c r="C5" s="163">
        <v>1</v>
      </c>
      <c r="D5" s="164">
        <v>3</v>
      </c>
      <c r="H5" t="s">
        <v>132</v>
      </c>
      <c r="I5" s="163">
        <v>5950388.888888889</v>
      </c>
      <c r="J5" s="163">
        <v>15856.060606060606</v>
      </c>
      <c r="K5" s="164">
        <v>1171917</v>
      </c>
      <c r="O5" t="s">
        <v>196</v>
      </c>
      <c r="P5" s="163">
        <v>4026077.3809523806</v>
      </c>
      <c r="Q5" s="163">
        <v>7752.4032231940391</v>
      </c>
      <c r="R5" s="164">
        <v>474342</v>
      </c>
      <c r="V5" t="s">
        <v>213</v>
      </c>
      <c r="W5" s="163">
        <v>11280000</v>
      </c>
      <c r="X5" s="165">
        <v>14790.20979020979</v>
      </c>
      <c r="Y5" s="166">
        <v>894190</v>
      </c>
    </row>
    <row r="6" spans="1:31" x14ac:dyDescent="0.2">
      <c r="A6" t="s">
        <v>366</v>
      </c>
      <c r="H6" t="s">
        <v>134</v>
      </c>
      <c r="I6" s="163">
        <v>1925000</v>
      </c>
      <c r="J6" s="163">
        <v>8252.3017519999994</v>
      </c>
      <c r="K6" s="164">
        <v>302000</v>
      </c>
      <c r="O6" s="138" t="s">
        <v>206</v>
      </c>
      <c r="V6" t="s">
        <v>139</v>
      </c>
      <c r="W6" s="185">
        <f>AVERAGE(W2:W5)</f>
        <v>5337695.9083333332</v>
      </c>
      <c r="X6" s="185">
        <f>AVERAGE(X2:X5)</f>
        <v>13687.71348972486</v>
      </c>
      <c r="Y6" s="185">
        <f>AVERAGE(Y2:Y5)</f>
        <v>547912.75</v>
      </c>
    </row>
    <row r="7" spans="1:31" x14ac:dyDescent="0.2">
      <c r="H7" t="s">
        <v>137</v>
      </c>
      <c r="I7" s="163">
        <v>5954166.666666667</v>
      </c>
      <c r="J7" s="163">
        <v>8112.7450980392159</v>
      </c>
      <c r="K7" s="164">
        <v>130583</v>
      </c>
      <c r="O7" s="138" t="s">
        <v>207</v>
      </c>
    </row>
    <row r="8" spans="1:31" x14ac:dyDescent="0.2">
      <c r="H8" t="s">
        <v>142</v>
      </c>
      <c r="I8" s="163">
        <v>5027527.777777778</v>
      </c>
      <c r="J8" s="163">
        <v>10155.828373015873</v>
      </c>
      <c r="K8" s="164">
        <v>1248458</v>
      </c>
      <c r="O8" s="138" t="s">
        <v>208</v>
      </c>
    </row>
    <row r="9" spans="1:31" x14ac:dyDescent="0.2">
      <c r="H9" t="s">
        <v>144</v>
      </c>
      <c r="I9" s="163">
        <v>3119000</v>
      </c>
      <c r="J9" s="163">
        <v>21566.472457627118</v>
      </c>
      <c r="K9" s="164">
        <v>506900</v>
      </c>
      <c r="O9" s="138" t="s">
        <v>209</v>
      </c>
    </row>
    <row r="10" spans="1:31" x14ac:dyDescent="0.2">
      <c r="H10" s="138" t="s">
        <v>127</v>
      </c>
      <c r="O10" s="138" t="s">
        <v>371</v>
      </c>
      <c r="P10" s="185">
        <f>AVERAGE(P2:P5)</f>
        <v>3247622.9166666665</v>
      </c>
      <c r="Q10" s="185">
        <f>AVERAGE(Q2:Q5)</f>
        <v>37323.854537390711</v>
      </c>
      <c r="R10" s="185">
        <f>AVERAGE(R2:R5)</f>
        <v>994766.5</v>
      </c>
    </row>
    <row r="11" spans="1:31" x14ac:dyDescent="0.2">
      <c r="H11" s="138" t="s">
        <v>129</v>
      </c>
    </row>
    <row r="12" spans="1:31" x14ac:dyDescent="0.2">
      <c r="H12" t="s">
        <v>139</v>
      </c>
      <c r="I12" s="185">
        <f>AVERAGE(I2:I9)</f>
        <v>4267206.25</v>
      </c>
      <c r="J12" s="185">
        <f>AVERAGE(J2:J9)</f>
        <v>11749.263820299708</v>
      </c>
      <c r="K12" s="185">
        <f>AVERAGE(K2:K9)</f>
        <v>776917.625</v>
      </c>
    </row>
    <row r="13" spans="1:31" x14ac:dyDescent="0.2">
      <c r="T13" t="s">
        <v>322</v>
      </c>
      <c r="U13" t="s">
        <v>330</v>
      </c>
      <c r="V13" t="s">
        <v>331</v>
      </c>
      <c r="X13" t="s">
        <v>332</v>
      </c>
      <c r="Y13" t="s">
        <v>333</v>
      </c>
      <c r="Z13" t="s">
        <v>334</v>
      </c>
      <c r="AC13" s="1" t="s">
        <v>335</v>
      </c>
      <c r="AD13" s="1" t="s">
        <v>336</v>
      </c>
      <c r="AE13" t="s">
        <v>334</v>
      </c>
    </row>
    <row r="14" spans="1:31" x14ac:dyDescent="0.2">
      <c r="U14" t="s">
        <v>337</v>
      </c>
      <c r="V14" t="s">
        <v>338</v>
      </c>
      <c r="Y14" t="s">
        <v>339</v>
      </c>
      <c r="Z14" t="s">
        <v>340</v>
      </c>
      <c r="AD14" t="s">
        <v>341</v>
      </c>
      <c r="AE14" t="s">
        <v>342</v>
      </c>
    </row>
    <row r="15" spans="1:31" x14ac:dyDescent="0.2">
      <c r="H15" t="s">
        <v>358</v>
      </c>
      <c r="I15" t="s">
        <v>359</v>
      </c>
      <c r="L15" s="185">
        <f>K12/1000000</f>
        <v>0.77691762499999995</v>
      </c>
      <c r="U15" t="s">
        <v>343</v>
      </c>
      <c r="V15" t="s">
        <v>340</v>
      </c>
      <c r="Y15" t="s">
        <v>344</v>
      </c>
      <c r="Z15" t="s">
        <v>345</v>
      </c>
      <c r="AD15" t="s">
        <v>346</v>
      </c>
      <c r="AE15" t="s">
        <v>347</v>
      </c>
    </row>
    <row r="16" spans="1:31" x14ac:dyDescent="0.2">
      <c r="U16" t="s">
        <v>348</v>
      </c>
      <c r="V16" t="s">
        <v>118</v>
      </c>
      <c r="Y16" t="s">
        <v>349</v>
      </c>
      <c r="Z16" t="s">
        <v>350</v>
      </c>
      <c r="AD16" t="s">
        <v>351</v>
      </c>
      <c r="AE16" t="s">
        <v>352</v>
      </c>
    </row>
    <row r="19" spans="1:28" x14ac:dyDescent="0.2">
      <c r="F19" t="s">
        <v>322</v>
      </c>
      <c r="G19" t="s">
        <v>330</v>
      </c>
      <c r="H19" t="s">
        <v>331</v>
      </c>
      <c r="J19" t="s">
        <v>332</v>
      </c>
      <c r="K19" t="s">
        <v>333</v>
      </c>
      <c r="L19" t="s">
        <v>334</v>
      </c>
      <c r="O19" s="1" t="s">
        <v>335</v>
      </c>
      <c r="P19" s="1" t="s">
        <v>336</v>
      </c>
      <c r="Q19" t="s">
        <v>334</v>
      </c>
    </row>
    <row r="20" spans="1:28" x14ac:dyDescent="0.2">
      <c r="G20" t="s">
        <v>337</v>
      </c>
      <c r="H20" t="s">
        <v>338</v>
      </c>
      <c r="K20" t="s">
        <v>339</v>
      </c>
      <c r="L20" t="s">
        <v>340</v>
      </c>
      <c r="P20" t="s">
        <v>341</v>
      </c>
      <c r="Q20" t="s">
        <v>342</v>
      </c>
    </row>
    <row r="21" spans="1:28" x14ac:dyDescent="0.2">
      <c r="G21" t="s">
        <v>343</v>
      </c>
      <c r="H21" t="s">
        <v>340</v>
      </c>
      <c r="K21" t="s">
        <v>344</v>
      </c>
      <c r="L21" t="s">
        <v>345</v>
      </c>
      <c r="P21" t="s">
        <v>346</v>
      </c>
      <c r="Q21" t="s">
        <v>347</v>
      </c>
    </row>
    <row r="22" spans="1:28" x14ac:dyDescent="0.2">
      <c r="G22" t="s">
        <v>348</v>
      </c>
      <c r="H22" t="s">
        <v>118</v>
      </c>
      <c r="K22" t="s">
        <v>349</v>
      </c>
      <c r="L22" t="s">
        <v>350</v>
      </c>
      <c r="P22" t="s">
        <v>351</v>
      </c>
      <c r="Q22" t="s">
        <v>352</v>
      </c>
    </row>
    <row r="23" spans="1:28" x14ac:dyDescent="0.2">
      <c r="A23" t="s">
        <v>325</v>
      </c>
      <c r="B23" t="s">
        <v>322</v>
      </c>
      <c r="C23" t="s">
        <v>323</v>
      </c>
      <c r="D23" s="1" t="s">
        <v>324</v>
      </c>
      <c r="V23" t="s">
        <v>329</v>
      </c>
      <c r="W23" t="s">
        <v>358</v>
      </c>
      <c r="X23" t="s">
        <v>359</v>
      </c>
      <c r="Y23" s="1" t="s">
        <v>324</v>
      </c>
    </row>
    <row r="24" spans="1:28" x14ac:dyDescent="0.2">
      <c r="A24" t="s">
        <v>185</v>
      </c>
      <c r="B24" s="163">
        <v>11653500</v>
      </c>
      <c r="C24" s="165">
        <v>197343.11827956987</v>
      </c>
      <c r="D24" s="163">
        <v>1610550</v>
      </c>
      <c r="V24" t="s">
        <v>212</v>
      </c>
      <c r="W24" s="168">
        <v>2</v>
      </c>
      <c r="X24" s="168">
        <v>2</v>
      </c>
      <c r="Y24" s="168">
        <v>0</v>
      </c>
    </row>
    <row r="25" spans="1:28" x14ac:dyDescent="0.2">
      <c r="A25" t="s">
        <v>187</v>
      </c>
      <c r="B25" s="163">
        <v>7328250</v>
      </c>
      <c r="C25" s="165">
        <v>26565.95890410959</v>
      </c>
      <c r="D25" s="163">
        <v>296025</v>
      </c>
      <c r="H25" t="s">
        <v>327</v>
      </c>
      <c r="I25" t="s">
        <v>358</v>
      </c>
      <c r="J25" t="s">
        <v>359</v>
      </c>
      <c r="K25" s="1" t="s">
        <v>324</v>
      </c>
      <c r="O25" t="s">
        <v>328</v>
      </c>
      <c r="P25" t="s">
        <v>358</v>
      </c>
      <c r="Q25" t="s">
        <v>359</v>
      </c>
      <c r="R25" s="1" t="s">
        <v>324</v>
      </c>
      <c r="V25" t="s">
        <v>215</v>
      </c>
      <c r="W25" s="168">
        <v>3</v>
      </c>
      <c r="X25" s="168">
        <v>2</v>
      </c>
      <c r="Y25" s="168">
        <v>0</v>
      </c>
      <c r="AB25" s="171"/>
    </row>
    <row r="26" spans="1:28" x14ac:dyDescent="0.2">
      <c r="A26" t="s">
        <v>189</v>
      </c>
      <c r="B26" s="163">
        <v>10482250</v>
      </c>
      <c r="C26" s="165">
        <v>17721.314171314174</v>
      </c>
      <c r="D26" s="166">
        <v>877988</v>
      </c>
      <c r="H26" t="s">
        <v>114</v>
      </c>
      <c r="I26" s="163">
        <v>3</v>
      </c>
      <c r="J26" s="168">
        <v>2</v>
      </c>
      <c r="K26" s="168">
        <v>1</v>
      </c>
      <c r="O26" s="1" t="s">
        <v>205</v>
      </c>
      <c r="P26" s="163">
        <v>3</v>
      </c>
      <c r="Q26" s="165">
        <v>3</v>
      </c>
      <c r="R26" s="168">
        <v>3</v>
      </c>
      <c r="V26" t="s">
        <v>219</v>
      </c>
      <c r="W26" s="168">
        <v>3</v>
      </c>
      <c r="X26" s="168">
        <v>1</v>
      </c>
      <c r="Y26" s="168">
        <v>0</v>
      </c>
    </row>
    <row r="27" spans="1:28" x14ac:dyDescent="0.2">
      <c r="A27" t="s">
        <v>192</v>
      </c>
      <c r="B27" s="163">
        <v>1759000</v>
      </c>
      <c r="C27" s="167">
        <v>5028.0464220000003</v>
      </c>
      <c r="D27" s="164">
        <v>105500</v>
      </c>
      <c r="H27" t="s">
        <v>123</v>
      </c>
      <c r="I27" s="163">
        <v>3</v>
      </c>
      <c r="J27" s="168">
        <v>2</v>
      </c>
      <c r="K27" s="170">
        <v>0</v>
      </c>
      <c r="O27" s="1" t="s">
        <v>210</v>
      </c>
      <c r="P27" s="163">
        <v>3</v>
      </c>
      <c r="Q27" s="163">
        <v>1</v>
      </c>
      <c r="R27" s="170">
        <v>1</v>
      </c>
      <c r="V27" t="s">
        <v>213</v>
      </c>
      <c r="W27" s="168">
        <v>3</v>
      </c>
      <c r="X27" s="168">
        <v>2</v>
      </c>
      <c r="Y27" s="168">
        <v>0</v>
      </c>
    </row>
    <row r="28" spans="1:28" x14ac:dyDescent="0.2">
      <c r="A28" t="s">
        <v>193</v>
      </c>
      <c r="B28" s="163">
        <v>5720416.666666667</v>
      </c>
      <c r="C28" s="163">
        <v>6328.6033711730306</v>
      </c>
      <c r="D28" s="164">
        <v>372000</v>
      </c>
      <c r="H28" t="s">
        <v>130</v>
      </c>
      <c r="I28" s="163">
        <v>2</v>
      </c>
      <c r="J28" s="168">
        <v>0</v>
      </c>
      <c r="K28" s="169">
        <v>2</v>
      </c>
      <c r="O28" t="s">
        <v>211</v>
      </c>
      <c r="P28" s="163">
        <v>3</v>
      </c>
      <c r="Q28" s="163">
        <v>1</v>
      </c>
      <c r="R28" s="169">
        <v>0</v>
      </c>
      <c r="V28" t="s">
        <v>354</v>
      </c>
      <c r="W28" s="124">
        <f>AVERAGE(W24:W27)</f>
        <v>2.75</v>
      </c>
      <c r="X28" s="124">
        <f>AVERAGE(X24:X27)</f>
        <v>1.75</v>
      </c>
      <c r="Y28" s="124">
        <f>Y6/1000000</f>
        <v>0.54791274999999995</v>
      </c>
    </row>
    <row r="29" spans="1:28" x14ac:dyDescent="0.2">
      <c r="A29" t="s">
        <v>195</v>
      </c>
      <c r="B29" s="163">
        <v>7212812.5</v>
      </c>
      <c r="C29" s="163">
        <v>57413.685636856368</v>
      </c>
      <c r="D29" s="164">
        <v>346750</v>
      </c>
      <c r="H29" t="s">
        <v>132</v>
      </c>
      <c r="I29" s="163">
        <v>3</v>
      </c>
      <c r="J29" s="168">
        <v>2</v>
      </c>
      <c r="K29" s="169">
        <v>1</v>
      </c>
      <c r="O29" t="s">
        <v>196</v>
      </c>
      <c r="P29" s="163">
        <v>3</v>
      </c>
      <c r="Q29" s="163">
        <v>1</v>
      </c>
      <c r="R29" s="169">
        <v>0</v>
      </c>
      <c r="V29" s="3" t="s">
        <v>367</v>
      </c>
      <c r="W29">
        <f>STDEV(W24:W28)</f>
        <v>0.4330127018922193</v>
      </c>
      <c r="X29">
        <f>STDEV(X24:X28)</f>
        <v>0.4330127018922193</v>
      </c>
      <c r="Y29">
        <f>STDEV(Y24:Y28)</f>
        <v>0.24503403094776957</v>
      </c>
    </row>
    <row r="30" spans="1:28" x14ac:dyDescent="0.2">
      <c r="A30" t="s">
        <v>196</v>
      </c>
      <c r="B30" s="163">
        <v>4026077.3809523806</v>
      </c>
      <c r="C30" s="163">
        <v>7752.4032231940391</v>
      </c>
      <c r="D30" s="164">
        <v>474342</v>
      </c>
      <c r="H30" t="s">
        <v>134</v>
      </c>
      <c r="I30" s="163">
        <v>2</v>
      </c>
      <c r="J30" s="168">
        <v>1</v>
      </c>
      <c r="K30" s="169">
        <v>0</v>
      </c>
      <c r="O30" s="138" t="s">
        <v>206</v>
      </c>
    </row>
    <row r="31" spans="1:28" x14ac:dyDescent="0.2">
      <c r="A31" t="s">
        <v>198</v>
      </c>
      <c r="B31" s="163">
        <v>6857916.666666667</v>
      </c>
      <c r="C31" s="163">
        <v>5569.632132132132</v>
      </c>
      <c r="D31" s="164">
        <v>700917</v>
      </c>
      <c r="H31" t="s">
        <v>137</v>
      </c>
      <c r="I31" s="163">
        <v>3</v>
      </c>
      <c r="J31" s="168">
        <v>1</v>
      </c>
      <c r="K31" s="169">
        <v>0</v>
      </c>
      <c r="O31" s="138" t="s">
        <v>207</v>
      </c>
    </row>
    <row r="32" spans="1:28" x14ac:dyDescent="0.2">
      <c r="A32" t="s">
        <v>199</v>
      </c>
      <c r="B32" s="163">
        <v>35505000</v>
      </c>
      <c r="C32" s="163">
        <v>32915.28239202658</v>
      </c>
      <c r="D32" s="164">
        <v>1328457</v>
      </c>
      <c r="H32" t="s">
        <v>142</v>
      </c>
      <c r="I32" s="163">
        <v>3</v>
      </c>
      <c r="J32" s="168">
        <v>2</v>
      </c>
      <c r="K32" s="169">
        <v>1</v>
      </c>
      <c r="O32" s="138" t="s">
        <v>208</v>
      </c>
    </row>
    <row r="33" spans="1:18" x14ac:dyDescent="0.2">
      <c r="A33" t="s">
        <v>200</v>
      </c>
      <c r="B33" s="163">
        <v>8460000</v>
      </c>
      <c r="C33" s="163">
        <v>5507.8125</v>
      </c>
      <c r="D33" s="164">
        <v>864833</v>
      </c>
      <c r="H33" t="s">
        <v>144</v>
      </c>
      <c r="I33" s="163">
        <v>3</v>
      </c>
      <c r="J33" s="168">
        <v>2</v>
      </c>
      <c r="K33" s="169">
        <v>0</v>
      </c>
      <c r="O33" s="138" t="s">
        <v>209</v>
      </c>
    </row>
    <row r="34" spans="1:18" x14ac:dyDescent="0.2">
      <c r="A34" t="s">
        <v>202</v>
      </c>
      <c r="B34" s="163">
        <v>4150833.3333333335</v>
      </c>
      <c r="C34" s="163">
        <v>1752.5990903183883</v>
      </c>
      <c r="D34" s="164">
        <v>207333</v>
      </c>
      <c r="H34" s="138" t="s">
        <v>127</v>
      </c>
    </row>
    <row r="35" spans="1:18" x14ac:dyDescent="0.2">
      <c r="A35" t="s">
        <v>204</v>
      </c>
      <c r="B35" s="163">
        <v>2254466.666666667</v>
      </c>
      <c r="C35" s="163">
        <v>5646.3903743315514</v>
      </c>
      <c r="D35" s="164">
        <v>1496583</v>
      </c>
      <c r="H35" s="138" t="s">
        <v>129</v>
      </c>
      <c r="J35" s="171"/>
      <c r="O35" s="138" t="s">
        <v>353</v>
      </c>
      <c r="P35" s="185">
        <f>AVERAGE(P26:P29)</f>
        <v>3</v>
      </c>
      <c r="Q35" s="186">
        <v>2</v>
      </c>
      <c r="R35" s="185">
        <f>R10/1000000</f>
        <v>0.9947665</v>
      </c>
    </row>
    <row r="36" spans="1:18" x14ac:dyDescent="0.2">
      <c r="A36" s="138" t="s">
        <v>188</v>
      </c>
      <c r="H36" t="s">
        <v>373</v>
      </c>
      <c r="I36" s="185">
        <f>AVERAGE(I26:I33)</f>
        <v>2.75</v>
      </c>
      <c r="J36" s="186">
        <f>AVERAGE(J26:J33)</f>
        <v>1.5</v>
      </c>
      <c r="K36" s="185">
        <v>0.78</v>
      </c>
      <c r="O36" s="3" t="s">
        <v>367</v>
      </c>
      <c r="P36">
        <f>STDEV(P26:P29)</f>
        <v>0</v>
      </c>
      <c r="Q36">
        <f t="shared" ref="Q36:R36" si="0">STDEV(Q26:Q29)</f>
        <v>1</v>
      </c>
      <c r="R36">
        <f t="shared" si="0"/>
        <v>1.4142135623730951</v>
      </c>
    </row>
    <row r="37" spans="1:18" x14ac:dyDescent="0.2">
      <c r="A37" s="138" t="s">
        <v>191</v>
      </c>
      <c r="H37" t="s">
        <v>367</v>
      </c>
      <c r="I37">
        <f>STDEV(I26:I33)</f>
        <v>0.46291004988627571</v>
      </c>
      <c r="J37">
        <f>STDEV(J26:J33)</f>
        <v>0.7559289460184544</v>
      </c>
      <c r="K37">
        <f t="shared" ref="K37" si="1">STDEV(K26:K33)</f>
        <v>0.74402380914284494</v>
      </c>
    </row>
    <row r="38" spans="1:18" x14ac:dyDescent="0.2">
      <c r="A38" t="s">
        <v>139</v>
      </c>
      <c r="B38" s="185">
        <f>AVERAGE(B24:B35)</f>
        <v>8784210.2678571418</v>
      </c>
      <c r="C38" s="185">
        <f>AVERAGE(C24:C35)</f>
        <v>30795.403874752144</v>
      </c>
      <c r="D38" s="185">
        <f>AVERAGE(D24:D35)</f>
        <v>723439.83333333337</v>
      </c>
    </row>
    <row r="41" spans="1:18" x14ac:dyDescent="0.2">
      <c r="A41" t="s">
        <v>325</v>
      </c>
      <c r="B41" t="s">
        <v>358</v>
      </c>
      <c r="C41" t="s">
        <v>359</v>
      </c>
      <c r="D41" s="1" t="s">
        <v>324</v>
      </c>
    </row>
    <row r="42" spans="1:18" x14ac:dyDescent="0.2">
      <c r="A42" t="s">
        <v>185</v>
      </c>
      <c r="B42" s="163">
        <v>3</v>
      </c>
      <c r="C42" s="168">
        <v>3</v>
      </c>
      <c r="D42" s="168">
        <v>3</v>
      </c>
    </row>
    <row r="43" spans="1:18" x14ac:dyDescent="0.2">
      <c r="A43" t="s">
        <v>187</v>
      </c>
      <c r="B43" s="163">
        <v>3</v>
      </c>
      <c r="C43" s="168">
        <v>2</v>
      </c>
      <c r="D43" s="168">
        <v>0</v>
      </c>
    </row>
    <row r="44" spans="1:18" x14ac:dyDescent="0.2">
      <c r="A44" t="s">
        <v>189</v>
      </c>
      <c r="B44" s="163">
        <v>3</v>
      </c>
      <c r="C44" s="168">
        <v>2</v>
      </c>
      <c r="D44" s="170">
        <v>0</v>
      </c>
    </row>
    <row r="45" spans="1:18" x14ac:dyDescent="0.2">
      <c r="A45" t="s">
        <v>192</v>
      </c>
      <c r="B45" s="163">
        <v>2</v>
      </c>
      <c r="C45" s="169">
        <v>1</v>
      </c>
      <c r="D45" s="170">
        <v>0</v>
      </c>
    </row>
    <row r="46" spans="1:18" x14ac:dyDescent="0.2">
      <c r="A46" t="s">
        <v>193</v>
      </c>
      <c r="B46" s="163">
        <v>3</v>
      </c>
      <c r="C46" s="168">
        <v>2</v>
      </c>
      <c r="D46" s="170">
        <v>0</v>
      </c>
    </row>
    <row r="47" spans="1:18" x14ac:dyDescent="0.2">
      <c r="A47" t="s">
        <v>195</v>
      </c>
      <c r="B47" s="163">
        <v>3</v>
      </c>
      <c r="C47" s="168">
        <v>3</v>
      </c>
      <c r="D47" s="170">
        <v>0</v>
      </c>
    </row>
    <row r="48" spans="1:18" x14ac:dyDescent="0.2">
      <c r="A48" t="s">
        <v>196</v>
      </c>
      <c r="B48" s="163">
        <v>3</v>
      </c>
      <c r="C48" s="168">
        <v>1</v>
      </c>
      <c r="D48" s="170">
        <v>0</v>
      </c>
    </row>
    <row r="49" spans="1:4" x14ac:dyDescent="0.2">
      <c r="A49" t="s">
        <v>198</v>
      </c>
      <c r="B49" s="163">
        <v>3</v>
      </c>
      <c r="C49" s="168">
        <v>1</v>
      </c>
      <c r="D49" s="170">
        <v>0</v>
      </c>
    </row>
    <row r="50" spans="1:4" x14ac:dyDescent="0.2">
      <c r="A50" t="s">
        <v>199</v>
      </c>
      <c r="B50" s="163">
        <v>3</v>
      </c>
      <c r="C50" s="168">
        <v>3</v>
      </c>
      <c r="D50" s="169">
        <v>2</v>
      </c>
    </row>
    <row r="51" spans="1:4" x14ac:dyDescent="0.2">
      <c r="A51" t="s">
        <v>200</v>
      </c>
      <c r="B51" s="163">
        <v>3</v>
      </c>
      <c r="C51" s="168">
        <v>1</v>
      </c>
      <c r="D51" s="169">
        <v>0</v>
      </c>
    </row>
    <row r="52" spans="1:4" x14ac:dyDescent="0.2">
      <c r="A52" t="s">
        <v>202</v>
      </c>
      <c r="B52" s="163">
        <v>3</v>
      </c>
      <c r="C52" s="168">
        <v>0</v>
      </c>
      <c r="D52" s="169">
        <v>0</v>
      </c>
    </row>
    <row r="53" spans="1:4" x14ac:dyDescent="0.2">
      <c r="A53" t="s">
        <v>204</v>
      </c>
      <c r="B53" s="163">
        <v>3</v>
      </c>
      <c r="C53" s="168">
        <v>1</v>
      </c>
      <c r="D53" s="169">
        <v>2</v>
      </c>
    </row>
    <row r="54" spans="1:4" x14ac:dyDescent="0.2">
      <c r="A54" s="138" t="s">
        <v>188</v>
      </c>
    </row>
    <row r="55" spans="1:4" x14ac:dyDescent="0.2">
      <c r="A55" s="138" t="s">
        <v>191</v>
      </c>
    </row>
    <row r="56" spans="1:4" x14ac:dyDescent="0.2">
      <c r="A56" t="s">
        <v>372</v>
      </c>
      <c r="B56" s="185">
        <f>AVERAGE(B42:B53)</f>
        <v>2.9166666666666665</v>
      </c>
      <c r="C56" s="124">
        <f>AVERAGE(C42:C53)</f>
        <v>1.6666666666666667</v>
      </c>
      <c r="D56" s="185">
        <f>D38/1000000</f>
        <v>0.72343983333333339</v>
      </c>
    </row>
    <row r="57" spans="1:4" x14ac:dyDescent="0.2">
      <c r="A57" t="s">
        <v>367</v>
      </c>
      <c r="B57">
        <f>STDEV(B42:B53)</f>
        <v>0.28867513459481281</v>
      </c>
      <c r="C57">
        <f>STDEV(C42:C53)</f>
        <v>0.98473192783466179</v>
      </c>
      <c r="D57">
        <f>STDEV(D42:D53)</f>
        <v>1.0836246694508318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workbookViewId="0">
      <selection activeCell="M31" sqref="M31"/>
    </sheetView>
  </sheetViews>
  <sheetFormatPr baseColWidth="10" defaultRowHeight="16" x14ac:dyDescent="0.2"/>
  <sheetData>
    <row r="1" spans="1:3" x14ac:dyDescent="0.2">
      <c r="A1" s="174"/>
      <c r="B1" s="174"/>
      <c r="C1" s="174"/>
    </row>
    <row r="2" spans="1:3" x14ac:dyDescent="0.2">
      <c r="A2" s="174"/>
      <c r="B2" s="174"/>
      <c r="C2" s="175"/>
    </row>
    <row r="3" spans="1:3" x14ac:dyDescent="0.2">
      <c r="A3" s="108"/>
      <c r="B3" s="108"/>
      <c r="C3" s="108"/>
    </row>
    <row r="4" spans="1:3" x14ac:dyDescent="0.2">
      <c r="A4" s="108"/>
      <c r="B4" s="108"/>
      <c r="C4" s="108"/>
    </row>
    <row r="19" spans="1:5" x14ac:dyDescent="0.2">
      <c r="B19" t="s">
        <v>358</v>
      </c>
      <c r="C19" t="s">
        <v>359</v>
      </c>
      <c r="D19" s="1" t="s">
        <v>335</v>
      </c>
      <c r="E19" s="1"/>
    </row>
    <row r="20" spans="1:5" x14ac:dyDescent="0.2">
      <c r="A20" t="s">
        <v>355</v>
      </c>
      <c r="B20" s="185">
        <f>'perf éco'!B56</f>
        <v>2.9166666666666665</v>
      </c>
      <c r="C20" s="185">
        <f>'perf éco'!C56</f>
        <v>1.6666666666666667</v>
      </c>
      <c r="D20" s="185">
        <f>AVERAGE('perf éco'!D42:D53)</f>
        <v>0.58333333333333337</v>
      </c>
      <c r="E20" s="1"/>
    </row>
    <row r="21" spans="1:5" x14ac:dyDescent="0.2">
      <c r="A21" t="s">
        <v>327</v>
      </c>
      <c r="B21" s="185">
        <f>'perf éco'!I36</f>
        <v>2.75</v>
      </c>
      <c r="C21" s="185">
        <f>'perf éco'!J36</f>
        <v>1.5</v>
      </c>
      <c r="D21" s="185">
        <f>AVERAGE('perf éco'!K26:K33)</f>
        <v>0.625</v>
      </c>
      <c r="E21" s="1"/>
    </row>
    <row r="22" spans="1:5" x14ac:dyDescent="0.2">
      <c r="A22" t="s">
        <v>356</v>
      </c>
      <c r="B22">
        <v>3</v>
      </c>
      <c r="C22" s="185">
        <f>'perf éco'!Q35</f>
        <v>2</v>
      </c>
      <c r="D22">
        <v>1</v>
      </c>
      <c r="E22" s="1"/>
    </row>
    <row r="23" spans="1:5" x14ac:dyDescent="0.2">
      <c r="A23" t="s">
        <v>357</v>
      </c>
      <c r="B23" s="124">
        <f>AVERAGE('perf éco'!W24:W27)</f>
        <v>2.75</v>
      </c>
      <c r="C23" s="124">
        <f>'perf éco'!X28</f>
        <v>1.75</v>
      </c>
      <c r="D23" s="124">
        <v>0.55000000000000004</v>
      </c>
      <c r="E23" s="1"/>
    </row>
    <row r="24" spans="1:5" x14ac:dyDescent="0.2">
      <c r="A24" t="s">
        <v>326</v>
      </c>
      <c r="B24" s="178">
        <v>3</v>
      </c>
      <c r="C24" s="109">
        <v>1</v>
      </c>
      <c r="D24" s="109">
        <v>3</v>
      </c>
      <c r="E24" s="1"/>
    </row>
    <row r="25" spans="1:5" x14ac:dyDescent="0.2">
      <c r="E25" s="1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0"/>
  <sheetViews>
    <sheetView topLeftCell="L16" workbookViewId="0">
      <selection activeCell="S8" sqref="S8"/>
    </sheetView>
  </sheetViews>
  <sheetFormatPr baseColWidth="10" defaultRowHeight="16" x14ac:dyDescent="0.2"/>
  <cols>
    <col min="4" max="4" width="13.6640625" customWidth="1"/>
  </cols>
  <sheetData>
    <row r="1" spans="1:34" ht="21" x14ac:dyDescent="0.2">
      <c r="A1" s="3" t="s">
        <v>220</v>
      </c>
      <c r="B1" s="132" t="s">
        <v>221</v>
      </c>
      <c r="C1" s="3"/>
      <c r="D1" s="3"/>
      <c r="E1" s="3" t="s">
        <v>222</v>
      </c>
      <c r="F1" s="132" t="s">
        <v>223</v>
      </c>
      <c r="G1" s="3"/>
      <c r="H1" s="3"/>
      <c r="I1" s="3"/>
      <c r="J1" s="3" t="s">
        <v>224</v>
      </c>
      <c r="K1" s="132" t="s">
        <v>223</v>
      </c>
      <c r="L1" s="3"/>
      <c r="M1" s="3" t="s">
        <v>225</v>
      </c>
      <c r="N1" s="132" t="s">
        <v>226</v>
      </c>
      <c r="O1" s="3"/>
      <c r="P1" s="133" t="s">
        <v>227</v>
      </c>
      <c r="Q1" s="133"/>
      <c r="R1" s="3"/>
    </row>
    <row r="2" spans="1:34" ht="21" x14ac:dyDescent="0.2">
      <c r="A2" s="3"/>
      <c r="B2" s="134" t="s">
        <v>228</v>
      </c>
      <c r="C2" s="3"/>
      <c r="D2" s="3"/>
      <c r="E2" s="3"/>
      <c r="F2" s="134" t="s">
        <v>229</v>
      </c>
      <c r="G2" s="3"/>
      <c r="H2" s="3"/>
      <c r="I2" s="3"/>
      <c r="J2" s="3"/>
      <c r="K2" s="134" t="s">
        <v>229</v>
      </c>
      <c r="L2" s="3"/>
      <c r="M2" s="3"/>
      <c r="N2" s="134" t="s">
        <v>230</v>
      </c>
      <c r="O2" s="3"/>
      <c r="P2" s="133" t="s">
        <v>231</v>
      </c>
      <c r="Q2" s="133"/>
      <c r="R2" s="3"/>
    </row>
    <row r="3" spans="1:34" ht="21" x14ac:dyDescent="0.2">
      <c r="A3" s="3"/>
      <c r="B3" s="139" t="s">
        <v>232</v>
      </c>
      <c r="C3" s="3"/>
      <c r="D3" s="3"/>
      <c r="E3" s="3"/>
      <c r="F3" s="135" t="s">
        <v>233</v>
      </c>
      <c r="G3" s="3"/>
      <c r="H3" s="3"/>
      <c r="I3" s="3"/>
      <c r="J3" s="3"/>
      <c r="K3" s="135" t="s">
        <v>233</v>
      </c>
      <c r="L3" s="3"/>
      <c r="M3" s="3"/>
      <c r="N3" s="135" t="s">
        <v>234</v>
      </c>
      <c r="O3" s="3"/>
      <c r="P3" s="133" t="s">
        <v>235</v>
      </c>
      <c r="Q3" s="133"/>
      <c r="R3" s="3"/>
    </row>
    <row r="4" spans="1:34" ht="21" x14ac:dyDescent="0.2">
      <c r="A4" s="3"/>
      <c r="B4" s="136" t="s">
        <v>236</v>
      </c>
      <c r="C4" s="3"/>
      <c r="D4" s="3"/>
      <c r="E4" s="3"/>
      <c r="F4" s="136" t="s">
        <v>237</v>
      </c>
      <c r="G4" s="3"/>
      <c r="H4" s="3"/>
      <c r="I4" s="3"/>
      <c r="J4" s="3"/>
      <c r="K4" s="136" t="s">
        <v>237</v>
      </c>
      <c r="L4" s="3"/>
      <c r="M4" s="3"/>
      <c r="N4" s="136" t="s">
        <v>238</v>
      </c>
      <c r="O4" s="3"/>
      <c r="P4" s="133" t="s">
        <v>239</v>
      </c>
      <c r="Q4" s="133"/>
      <c r="R4" s="133"/>
    </row>
    <row r="5" spans="1:34" ht="21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133" t="s">
        <v>240</v>
      </c>
      <c r="Q5" s="133"/>
      <c r="R5" s="3"/>
    </row>
    <row r="8" spans="1:34" x14ac:dyDescent="0.2">
      <c r="B8" t="s">
        <v>241</v>
      </c>
      <c r="C8" t="s">
        <v>168</v>
      </c>
      <c r="D8" t="s">
        <v>244</v>
      </c>
      <c r="E8" t="s">
        <v>242</v>
      </c>
      <c r="F8" t="s">
        <v>171</v>
      </c>
      <c r="I8" t="s">
        <v>241</v>
      </c>
      <c r="J8" t="s">
        <v>168</v>
      </c>
      <c r="K8" t="s">
        <v>244</v>
      </c>
      <c r="L8" t="s">
        <v>242</v>
      </c>
      <c r="M8" t="s">
        <v>171</v>
      </c>
      <c r="P8" t="s">
        <v>241</v>
      </c>
      <c r="Q8" t="s">
        <v>168</v>
      </c>
      <c r="R8" t="s">
        <v>244</v>
      </c>
      <c r="S8" t="s">
        <v>242</v>
      </c>
      <c r="T8" t="s">
        <v>171</v>
      </c>
      <c r="W8" t="s">
        <v>241</v>
      </c>
      <c r="X8" t="s">
        <v>168</v>
      </c>
      <c r="Y8" t="s">
        <v>244</v>
      </c>
      <c r="Z8" t="s">
        <v>242</v>
      </c>
      <c r="AA8" t="s">
        <v>171</v>
      </c>
      <c r="AD8" t="s">
        <v>241</v>
      </c>
      <c r="AE8" t="s">
        <v>168</v>
      </c>
      <c r="AF8" t="s">
        <v>244</v>
      </c>
      <c r="AG8" t="s">
        <v>242</v>
      </c>
      <c r="AH8" t="s">
        <v>171</v>
      </c>
    </row>
    <row r="9" spans="1:34" x14ac:dyDescent="0.2">
      <c r="A9" t="s">
        <v>114</v>
      </c>
      <c r="B9">
        <v>2</v>
      </c>
      <c r="C9">
        <v>2</v>
      </c>
      <c r="D9">
        <v>3</v>
      </c>
      <c r="E9">
        <v>3</v>
      </c>
      <c r="F9">
        <v>0</v>
      </c>
      <c r="H9" t="s">
        <v>185</v>
      </c>
      <c r="I9">
        <v>3</v>
      </c>
      <c r="J9">
        <v>3</v>
      </c>
      <c r="K9">
        <v>2</v>
      </c>
      <c r="L9">
        <v>2</v>
      </c>
      <c r="M9">
        <v>0</v>
      </c>
      <c r="O9" s="1" t="s">
        <v>205</v>
      </c>
      <c r="P9">
        <v>2</v>
      </c>
      <c r="Q9">
        <v>2</v>
      </c>
      <c r="R9">
        <v>2</v>
      </c>
      <c r="S9">
        <v>2</v>
      </c>
      <c r="T9">
        <v>0</v>
      </c>
      <c r="V9" t="s">
        <v>212</v>
      </c>
      <c r="W9">
        <v>1</v>
      </c>
      <c r="X9">
        <v>1</v>
      </c>
      <c r="Y9">
        <v>2</v>
      </c>
      <c r="Z9">
        <v>3</v>
      </c>
      <c r="AA9">
        <v>0</v>
      </c>
      <c r="AC9" t="s">
        <v>243</v>
      </c>
      <c r="AD9">
        <v>1</v>
      </c>
      <c r="AE9" s="109">
        <v>2</v>
      </c>
      <c r="AF9" s="109">
        <v>2</v>
      </c>
      <c r="AG9" s="109">
        <v>2</v>
      </c>
      <c r="AH9" s="140">
        <v>0</v>
      </c>
    </row>
    <row r="10" spans="1:34" x14ac:dyDescent="0.2">
      <c r="A10" t="s">
        <v>123</v>
      </c>
      <c r="B10">
        <v>2</v>
      </c>
      <c r="C10">
        <v>2</v>
      </c>
      <c r="D10">
        <v>3</v>
      </c>
      <c r="E10">
        <v>3</v>
      </c>
      <c r="F10">
        <v>0</v>
      </c>
      <c r="H10" t="s">
        <v>187</v>
      </c>
      <c r="I10">
        <v>3</v>
      </c>
      <c r="J10">
        <v>3</v>
      </c>
      <c r="K10">
        <v>2</v>
      </c>
      <c r="L10">
        <v>0</v>
      </c>
      <c r="M10">
        <v>0</v>
      </c>
      <c r="O10" s="1" t="s">
        <v>210</v>
      </c>
      <c r="P10">
        <v>1</v>
      </c>
      <c r="Q10">
        <v>2</v>
      </c>
      <c r="R10">
        <v>2</v>
      </c>
      <c r="S10">
        <v>3</v>
      </c>
      <c r="T10">
        <v>0</v>
      </c>
      <c r="V10" t="s">
        <v>215</v>
      </c>
      <c r="W10">
        <v>1</v>
      </c>
      <c r="X10">
        <v>3</v>
      </c>
      <c r="Y10">
        <v>2</v>
      </c>
      <c r="Z10">
        <v>2</v>
      </c>
      <c r="AA10">
        <v>0</v>
      </c>
    </row>
    <row r="11" spans="1:34" x14ac:dyDescent="0.2">
      <c r="A11" t="s">
        <v>130</v>
      </c>
      <c r="B11">
        <v>1</v>
      </c>
      <c r="C11">
        <v>2</v>
      </c>
      <c r="D11">
        <v>2</v>
      </c>
      <c r="E11">
        <v>2</v>
      </c>
      <c r="F11">
        <v>0</v>
      </c>
      <c r="H11" t="s">
        <v>189</v>
      </c>
      <c r="I11">
        <v>3</v>
      </c>
      <c r="J11">
        <v>2</v>
      </c>
      <c r="K11">
        <v>2</v>
      </c>
      <c r="L11">
        <v>3</v>
      </c>
      <c r="M11">
        <v>0</v>
      </c>
      <c r="O11" t="s">
        <v>211</v>
      </c>
      <c r="P11">
        <v>1</v>
      </c>
      <c r="Q11">
        <v>2</v>
      </c>
      <c r="R11">
        <v>2</v>
      </c>
      <c r="S11">
        <v>1</v>
      </c>
      <c r="T11">
        <v>0</v>
      </c>
      <c r="V11" t="s">
        <v>219</v>
      </c>
      <c r="W11">
        <v>1</v>
      </c>
      <c r="X11">
        <v>2</v>
      </c>
      <c r="Y11">
        <v>2</v>
      </c>
      <c r="Z11">
        <v>0</v>
      </c>
      <c r="AA11">
        <v>0</v>
      </c>
    </row>
    <row r="12" spans="1:34" x14ac:dyDescent="0.2">
      <c r="A12" t="s">
        <v>132</v>
      </c>
      <c r="B12">
        <v>1</v>
      </c>
      <c r="C12">
        <v>2</v>
      </c>
      <c r="D12">
        <v>2</v>
      </c>
      <c r="E12">
        <v>2</v>
      </c>
      <c r="F12">
        <v>0</v>
      </c>
      <c r="H12" t="s">
        <v>192</v>
      </c>
      <c r="I12">
        <v>1</v>
      </c>
      <c r="J12">
        <v>2</v>
      </c>
      <c r="K12">
        <v>2</v>
      </c>
      <c r="L12">
        <v>0</v>
      </c>
      <c r="M12">
        <v>0</v>
      </c>
      <c r="O12" t="s">
        <v>196</v>
      </c>
      <c r="P12">
        <v>1</v>
      </c>
      <c r="Q12">
        <v>0</v>
      </c>
      <c r="R12">
        <v>1</v>
      </c>
      <c r="S12">
        <v>3</v>
      </c>
      <c r="T12">
        <v>0</v>
      </c>
      <c r="V12" t="s">
        <v>213</v>
      </c>
    </row>
    <row r="13" spans="1:34" x14ac:dyDescent="0.2">
      <c r="A13" t="s">
        <v>134</v>
      </c>
      <c r="B13">
        <v>1</v>
      </c>
      <c r="C13">
        <v>2</v>
      </c>
      <c r="D13">
        <v>3</v>
      </c>
      <c r="E13">
        <v>0</v>
      </c>
      <c r="F13">
        <v>0</v>
      </c>
      <c r="H13" t="s">
        <v>193</v>
      </c>
      <c r="I13">
        <v>3</v>
      </c>
      <c r="J13">
        <v>3</v>
      </c>
      <c r="K13">
        <v>0</v>
      </c>
      <c r="L13">
        <v>0</v>
      </c>
      <c r="M13">
        <v>0</v>
      </c>
      <c r="O13" s="138" t="s">
        <v>206</v>
      </c>
      <c r="P13" t="s">
        <v>128</v>
      </c>
      <c r="Q13" t="s">
        <v>128</v>
      </c>
      <c r="R13" t="s">
        <v>128</v>
      </c>
      <c r="S13" t="s">
        <v>128</v>
      </c>
      <c r="T13" t="s">
        <v>128</v>
      </c>
      <c r="U13" t="s">
        <v>128</v>
      </c>
      <c r="W13">
        <f>AVERAGE(W9:W11)</f>
        <v>1</v>
      </c>
      <c r="X13" s="179">
        <f>AVERAGE(X9:X11)</f>
        <v>2</v>
      </c>
      <c r="Y13" s="109">
        <f>AVERAGE(Y9:Y11)</f>
        <v>2</v>
      </c>
      <c r="Z13" s="109">
        <f>AVERAGE(Z9:Z11)</f>
        <v>1.6666666666666667</v>
      </c>
      <c r="AA13" s="13">
        <f>AVERAGE(AA9:AA11)</f>
        <v>0</v>
      </c>
    </row>
    <row r="14" spans="1:34" x14ac:dyDescent="0.2">
      <c r="A14" s="1" t="s">
        <v>136</v>
      </c>
      <c r="B14" s="1">
        <v>1</v>
      </c>
      <c r="C14" s="1">
        <v>1</v>
      </c>
      <c r="D14" s="1">
        <v>2</v>
      </c>
      <c r="E14" s="1">
        <v>2</v>
      </c>
      <c r="F14" s="1">
        <v>0</v>
      </c>
      <c r="H14" t="s">
        <v>195</v>
      </c>
      <c r="I14">
        <v>1</v>
      </c>
      <c r="J14">
        <v>3</v>
      </c>
      <c r="K14">
        <v>3</v>
      </c>
      <c r="L14">
        <v>3</v>
      </c>
      <c r="M14">
        <v>0</v>
      </c>
      <c r="O14" s="138" t="s">
        <v>207</v>
      </c>
      <c r="P14" t="s">
        <v>128</v>
      </c>
      <c r="Q14" t="s">
        <v>128</v>
      </c>
      <c r="R14" t="s">
        <v>128</v>
      </c>
      <c r="S14" t="s">
        <v>128</v>
      </c>
      <c r="T14" t="s">
        <v>128</v>
      </c>
      <c r="U14" t="s">
        <v>128</v>
      </c>
      <c r="W14">
        <v>1</v>
      </c>
      <c r="X14">
        <v>2</v>
      </c>
      <c r="Y14">
        <v>2</v>
      </c>
      <c r="Z14">
        <v>2</v>
      </c>
      <c r="AA14">
        <v>0</v>
      </c>
    </row>
    <row r="15" spans="1:34" x14ac:dyDescent="0.2">
      <c r="A15" t="s">
        <v>137</v>
      </c>
      <c r="B15">
        <v>1</v>
      </c>
      <c r="C15">
        <v>2</v>
      </c>
      <c r="D15">
        <v>1</v>
      </c>
      <c r="E15">
        <v>0</v>
      </c>
      <c r="F15">
        <v>0</v>
      </c>
      <c r="H15" t="s">
        <v>196</v>
      </c>
      <c r="I15">
        <v>1</v>
      </c>
      <c r="J15">
        <v>0</v>
      </c>
      <c r="K15">
        <v>1</v>
      </c>
      <c r="L15">
        <v>3</v>
      </c>
      <c r="M15">
        <v>0</v>
      </c>
      <c r="O15" s="138" t="s">
        <v>208</v>
      </c>
      <c r="P15" t="s">
        <v>128</v>
      </c>
      <c r="Q15" t="s">
        <v>128</v>
      </c>
      <c r="R15" t="s">
        <v>128</v>
      </c>
      <c r="S15" t="s">
        <v>128</v>
      </c>
      <c r="T15" t="s">
        <v>128</v>
      </c>
      <c r="U15" t="s">
        <v>128</v>
      </c>
      <c r="V15" t="s">
        <v>360</v>
      </c>
      <c r="W15">
        <f>STDEV(W9:W11)</f>
        <v>0</v>
      </c>
      <c r="X15">
        <f t="shared" ref="X15:AA15" si="0">STDEV(X9:X11)</f>
        <v>1</v>
      </c>
      <c r="Y15">
        <f t="shared" si="0"/>
        <v>0</v>
      </c>
      <c r="Z15">
        <f t="shared" si="0"/>
        <v>1.5275252316519465</v>
      </c>
      <c r="AA15">
        <f t="shared" si="0"/>
        <v>0</v>
      </c>
    </row>
    <row r="16" spans="1:34" x14ac:dyDescent="0.2">
      <c r="A16" t="s">
        <v>142</v>
      </c>
      <c r="B16">
        <v>1</v>
      </c>
      <c r="C16">
        <v>2</v>
      </c>
      <c r="D16">
        <v>2</v>
      </c>
      <c r="E16">
        <v>1</v>
      </c>
      <c r="F16">
        <v>0</v>
      </c>
      <c r="H16" t="s">
        <v>198</v>
      </c>
      <c r="I16">
        <v>1</v>
      </c>
      <c r="J16">
        <v>0</v>
      </c>
      <c r="K16">
        <v>3</v>
      </c>
      <c r="L16">
        <v>0</v>
      </c>
      <c r="M16">
        <v>0</v>
      </c>
      <c r="O16" s="138" t="s">
        <v>209</v>
      </c>
      <c r="P16" t="s">
        <v>128</v>
      </c>
      <c r="Q16" t="s">
        <v>128</v>
      </c>
      <c r="R16" t="s">
        <v>128</v>
      </c>
      <c r="S16" t="s">
        <v>128</v>
      </c>
      <c r="T16" t="s">
        <v>128</v>
      </c>
      <c r="U16" t="s">
        <v>128</v>
      </c>
    </row>
    <row r="17" spans="1:20" x14ac:dyDescent="0.2">
      <c r="A17" t="s">
        <v>144</v>
      </c>
      <c r="B17">
        <v>1</v>
      </c>
      <c r="C17">
        <v>1</v>
      </c>
      <c r="D17">
        <v>3</v>
      </c>
      <c r="E17">
        <v>0</v>
      </c>
      <c r="F17">
        <v>0</v>
      </c>
      <c r="H17" t="s">
        <v>199</v>
      </c>
      <c r="I17">
        <v>1</v>
      </c>
      <c r="J17">
        <v>2</v>
      </c>
      <c r="K17">
        <v>2</v>
      </c>
      <c r="L17">
        <v>0</v>
      </c>
      <c r="M17">
        <v>0</v>
      </c>
      <c r="P17" s="171">
        <f>AVERAGE(P9:P12)</f>
        <v>1.25</v>
      </c>
      <c r="Q17" s="172">
        <f>AVERAGE(Q9:Q12)</f>
        <v>1.5</v>
      </c>
      <c r="R17" s="172">
        <f>AVERAGE(R9:R12)</f>
        <v>1.75</v>
      </c>
      <c r="S17" s="172">
        <f>AVERAGE(S9:S12)</f>
        <v>2.25</v>
      </c>
      <c r="T17" s="173">
        <f>AVERAGE(T9:T12)</f>
        <v>0</v>
      </c>
    </row>
    <row r="18" spans="1:20" x14ac:dyDescent="0.2">
      <c r="A18" s="138" t="s">
        <v>127</v>
      </c>
      <c r="H18" t="s">
        <v>200</v>
      </c>
      <c r="I18">
        <v>2</v>
      </c>
      <c r="J18">
        <v>2</v>
      </c>
      <c r="K18">
        <v>2</v>
      </c>
      <c r="L18">
        <v>2</v>
      </c>
      <c r="M18">
        <v>1</v>
      </c>
      <c r="P18">
        <v>1</v>
      </c>
      <c r="Q18">
        <v>2</v>
      </c>
      <c r="R18">
        <v>2</v>
      </c>
      <c r="S18">
        <v>2</v>
      </c>
      <c r="T18">
        <v>0</v>
      </c>
    </row>
    <row r="19" spans="1:20" x14ac:dyDescent="0.2">
      <c r="A19" s="138" t="s">
        <v>129</v>
      </c>
      <c r="H19" t="s">
        <v>202</v>
      </c>
      <c r="I19">
        <v>2</v>
      </c>
      <c r="J19">
        <v>3</v>
      </c>
      <c r="K19">
        <v>2</v>
      </c>
      <c r="L19">
        <v>1</v>
      </c>
      <c r="M19">
        <v>1</v>
      </c>
    </row>
    <row r="20" spans="1:20" x14ac:dyDescent="0.2">
      <c r="B20">
        <f>AVERAGE(B9:B17)</f>
        <v>1.2222222222222223</v>
      </c>
      <c r="C20">
        <f>AVERAGE(C9:C17)</f>
        <v>1.7777777777777777</v>
      </c>
      <c r="D20">
        <f>AVERAGE(D9:D17)</f>
        <v>2.3333333333333335</v>
      </c>
      <c r="E20">
        <f>AVERAGE(E9:E17)</f>
        <v>1.4444444444444444</v>
      </c>
      <c r="F20">
        <f>AVERAGE(F9:F17)</f>
        <v>0</v>
      </c>
      <c r="H20" t="s">
        <v>204</v>
      </c>
      <c r="I20">
        <v>1</v>
      </c>
      <c r="J20">
        <v>1</v>
      </c>
      <c r="K20">
        <v>3</v>
      </c>
      <c r="L20">
        <v>1</v>
      </c>
      <c r="M20">
        <v>0</v>
      </c>
      <c r="O20" t="s">
        <v>360</v>
      </c>
      <c r="P20">
        <f>STDEV(P9:P12)</f>
        <v>0.5</v>
      </c>
      <c r="Q20">
        <f t="shared" ref="Q20:T20" si="1">STDEV(Q9:Q12)</f>
        <v>1</v>
      </c>
      <c r="R20">
        <f t="shared" si="1"/>
        <v>0.5</v>
      </c>
      <c r="S20">
        <f t="shared" si="1"/>
        <v>0.9574271077563381</v>
      </c>
      <c r="T20">
        <f t="shared" si="1"/>
        <v>0</v>
      </c>
    </row>
    <row r="21" spans="1:20" x14ac:dyDescent="0.2">
      <c r="B21">
        <v>1</v>
      </c>
      <c r="C21" s="109">
        <v>2</v>
      </c>
      <c r="D21" s="109">
        <v>2</v>
      </c>
      <c r="E21" s="137">
        <v>1</v>
      </c>
      <c r="F21" s="140">
        <v>0</v>
      </c>
      <c r="H21" s="138" t="s">
        <v>188</v>
      </c>
    </row>
    <row r="22" spans="1:20" x14ac:dyDescent="0.2">
      <c r="H22" s="138" t="s">
        <v>191</v>
      </c>
    </row>
    <row r="23" spans="1:20" x14ac:dyDescent="0.2">
      <c r="A23" t="s">
        <v>364</v>
      </c>
      <c r="B23">
        <f>STDEV(B9:B17)</f>
        <v>0.44095855184409838</v>
      </c>
      <c r="C23">
        <f t="shared" ref="C23:F23" si="2">STDEV(C9:C17)</f>
        <v>0.44095855184409866</v>
      </c>
      <c r="D23">
        <f t="shared" si="2"/>
        <v>0.70710678118654757</v>
      </c>
      <c r="E23">
        <f t="shared" si="2"/>
        <v>1.2360330811826103</v>
      </c>
      <c r="F23">
        <f t="shared" si="2"/>
        <v>0</v>
      </c>
      <c r="I23">
        <f>AVERAGE(I9:I20)</f>
        <v>1.8333333333333333</v>
      </c>
      <c r="J23">
        <f>AVERAGE(J9:J20)</f>
        <v>2</v>
      </c>
      <c r="K23">
        <f>AVERAGE(K9:K20)</f>
        <v>2</v>
      </c>
      <c r="L23">
        <f>AVERAGE(L9:L20)</f>
        <v>1.25</v>
      </c>
      <c r="M23">
        <f>AVERAGE(M9:M20)</f>
        <v>0.16666666666666666</v>
      </c>
    </row>
    <row r="24" spans="1:20" x14ac:dyDescent="0.2">
      <c r="I24">
        <v>2</v>
      </c>
      <c r="J24" s="109">
        <v>2</v>
      </c>
      <c r="K24" s="109">
        <v>2</v>
      </c>
      <c r="L24" s="137">
        <v>1</v>
      </c>
      <c r="M24" s="13">
        <v>0</v>
      </c>
    </row>
    <row r="26" spans="1:20" x14ac:dyDescent="0.2">
      <c r="H26" t="s">
        <v>366</v>
      </c>
      <c r="I26">
        <f>STDEV(I9:I20)</f>
        <v>0.93743686656109193</v>
      </c>
      <c r="J26">
        <f t="shared" ref="J26:M26" si="3">STDEV(J9:J20)</f>
        <v>1.1281521496355325</v>
      </c>
      <c r="K26">
        <f t="shared" si="3"/>
        <v>0.85280286542244177</v>
      </c>
      <c r="L26">
        <f t="shared" si="3"/>
        <v>1.2880570286640687</v>
      </c>
      <c r="M26">
        <f t="shared" si="3"/>
        <v>0.38924947208076149</v>
      </c>
    </row>
    <row r="40" spans="11:11" x14ac:dyDescent="0.2">
      <c r="K40" t="s">
        <v>365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D3" zoomScale="130" zoomScaleNormal="130" zoomScalePageLayoutView="130" workbookViewId="0">
      <selection activeCell="D3" sqref="D3"/>
    </sheetView>
  </sheetViews>
  <sheetFormatPr baseColWidth="10" defaultRowHeight="16" x14ac:dyDescent="0.2"/>
  <sheetData>
    <row r="1" spans="1:11" x14ac:dyDescent="0.2">
      <c r="G1" s="108"/>
      <c r="H1" s="174"/>
      <c r="I1" s="174"/>
      <c r="J1" s="174"/>
      <c r="K1" s="108"/>
    </row>
    <row r="2" spans="1:11" x14ac:dyDescent="0.2">
      <c r="B2" t="s">
        <v>168</v>
      </c>
      <c r="C2" t="s">
        <v>369</v>
      </c>
      <c r="D2" t="s">
        <v>370</v>
      </c>
      <c r="E2" t="s">
        <v>171</v>
      </c>
      <c r="G2" s="108"/>
      <c r="H2" s="174"/>
      <c r="I2" s="174"/>
      <c r="J2" s="175"/>
      <c r="K2" s="108"/>
    </row>
    <row r="3" spans="1:11" x14ac:dyDescent="0.2">
      <c r="A3" t="s">
        <v>355</v>
      </c>
      <c r="B3">
        <f>AVERAGE('perf agro typo'!J23:M23)</f>
        <v>1.3541666666666667</v>
      </c>
      <c r="C3">
        <f>AVERAGE('perf agro typo'!K23:N23)</f>
        <v>1.1388888888888888</v>
      </c>
      <c r="D3">
        <f>AVERAGE('perf agro typo'!L23:O23)</f>
        <v>0.70833333333333337</v>
      </c>
      <c r="E3">
        <f>AVERAGE('perf agro typo'!M23:P23)</f>
        <v>0.16666666666666666</v>
      </c>
      <c r="G3" s="108"/>
      <c r="H3" s="108"/>
      <c r="I3" s="108"/>
      <c r="J3" s="108"/>
      <c r="K3" s="108"/>
    </row>
    <row r="4" spans="1:11" x14ac:dyDescent="0.2">
      <c r="A4" t="s">
        <v>327</v>
      </c>
      <c r="B4">
        <f>AVERAGE('perf agro typo'!C20:F20)</f>
        <v>1.3888888888888888</v>
      </c>
      <c r="C4">
        <f>AVERAGE('perf agro typo'!D20:G20)</f>
        <v>1.2592592592592593</v>
      </c>
      <c r="D4">
        <f>AVERAGE('perf agro typo'!E20:H20)</f>
        <v>0.72222222222222221</v>
      </c>
      <c r="E4">
        <f>AVERAGE('perf agro typo'!F20:I20)</f>
        <v>0.5</v>
      </c>
    </row>
    <row r="5" spans="1:11" x14ac:dyDescent="0.2">
      <c r="A5" t="s">
        <v>356</v>
      </c>
      <c r="B5" s="172">
        <f>AVERAGE('perf agro typo'!Q9:Q12)</f>
        <v>1.5</v>
      </c>
      <c r="C5" s="172">
        <f>AVERAGE('perf agro typo'!R9:R12)</f>
        <v>1.75</v>
      </c>
      <c r="D5" s="172">
        <f>AVERAGE('perf agro typo'!S9:S12)</f>
        <v>2.25</v>
      </c>
      <c r="E5" s="172">
        <f>AVERAGE('perf agro typo'!T9:T12)</f>
        <v>0</v>
      </c>
    </row>
    <row r="6" spans="1:11" x14ac:dyDescent="0.2">
      <c r="A6" t="s">
        <v>357</v>
      </c>
      <c r="B6" s="109">
        <f>AVERAGE('perf agro typo'!X9:X11)</f>
        <v>2</v>
      </c>
      <c r="C6" s="109">
        <f>AVERAGE('perf agro typo'!Y9:Y11)</f>
        <v>2</v>
      </c>
      <c r="D6" s="109">
        <f>AVERAGE('perf agro typo'!Z9:Z11)</f>
        <v>1.6666666666666667</v>
      </c>
      <c r="E6" s="109">
        <f>AVERAGE('perf agro typo'!AA9:AA11)</f>
        <v>0</v>
      </c>
    </row>
    <row r="7" spans="1:11" x14ac:dyDescent="0.2">
      <c r="A7" t="s">
        <v>326</v>
      </c>
      <c r="B7" s="109">
        <v>2</v>
      </c>
      <c r="C7" s="109">
        <v>2</v>
      </c>
      <c r="D7" s="109">
        <v>2</v>
      </c>
      <c r="E7" s="140"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29"/>
  <sheetViews>
    <sheetView tabSelected="1" topLeftCell="A10" workbookViewId="0">
      <selection activeCell="B29" sqref="B29"/>
    </sheetView>
  </sheetViews>
  <sheetFormatPr baseColWidth="10" defaultRowHeight="16" x14ac:dyDescent="0.2"/>
  <sheetData>
    <row r="1" spans="1:57" ht="160" x14ac:dyDescent="0.2">
      <c r="A1" s="190" t="s">
        <v>245</v>
      </c>
      <c r="B1" s="141" t="s">
        <v>246</v>
      </c>
      <c r="D1" s="155" t="s">
        <v>247</v>
      </c>
      <c r="E1" s="142" t="s">
        <v>270</v>
      </c>
      <c r="G1" s="143" t="s">
        <v>248</v>
      </c>
      <c r="H1" s="144" t="s">
        <v>249</v>
      </c>
      <c r="J1" s="143" t="s">
        <v>250</v>
      </c>
      <c r="K1" s="141" t="s">
        <v>246</v>
      </c>
      <c r="N1" s="143" t="s">
        <v>251</v>
      </c>
      <c r="O1" s="141" t="s">
        <v>252</v>
      </c>
      <c r="R1" s="156" t="s">
        <v>279</v>
      </c>
      <c r="S1" s="145" t="s">
        <v>238</v>
      </c>
      <c r="U1" s="15" t="s">
        <v>253</v>
      </c>
      <c r="V1" s="145" t="s">
        <v>275</v>
      </c>
      <c r="X1" s="15" t="s">
        <v>254</v>
      </c>
      <c r="Y1" s="145" t="s">
        <v>238</v>
      </c>
    </row>
    <row r="2" spans="1:57" ht="100" x14ac:dyDescent="0.2">
      <c r="A2" s="191"/>
      <c r="B2" s="146" t="s">
        <v>255</v>
      </c>
      <c r="D2" s="155"/>
      <c r="E2" s="147" t="s">
        <v>271</v>
      </c>
      <c r="G2" s="148"/>
      <c r="H2" s="141" t="s">
        <v>256</v>
      </c>
      <c r="J2" s="148"/>
      <c r="K2" s="146" t="s">
        <v>255</v>
      </c>
      <c r="N2" s="148"/>
      <c r="O2" s="146" t="s">
        <v>257</v>
      </c>
      <c r="R2" s="15"/>
      <c r="S2" s="149" t="s">
        <v>234</v>
      </c>
      <c r="U2" s="15"/>
      <c r="V2" s="149" t="s">
        <v>276</v>
      </c>
      <c r="X2" s="15"/>
      <c r="Y2" s="149" t="s">
        <v>234</v>
      </c>
    </row>
    <row r="3" spans="1:57" ht="80" x14ac:dyDescent="0.2">
      <c r="A3" s="191"/>
      <c r="B3" s="149" t="s">
        <v>258</v>
      </c>
      <c r="D3" s="155"/>
      <c r="E3" s="150" t="s">
        <v>272</v>
      </c>
      <c r="G3" s="148"/>
      <c r="H3" s="146" t="s">
        <v>234</v>
      </c>
      <c r="J3" s="148"/>
      <c r="K3" s="149" t="s">
        <v>259</v>
      </c>
      <c r="N3" s="148"/>
      <c r="O3" s="149" t="s">
        <v>260</v>
      </c>
      <c r="R3" s="15"/>
      <c r="S3" s="146" t="s">
        <v>274</v>
      </c>
      <c r="U3" s="15"/>
      <c r="V3" s="146" t="s">
        <v>277</v>
      </c>
      <c r="X3" s="15"/>
      <c r="Y3" s="146" t="s">
        <v>274</v>
      </c>
    </row>
    <row r="4" spans="1:57" ht="81" thickBot="1" x14ac:dyDescent="0.25">
      <c r="A4" s="192"/>
      <c r="B4" s="145" t="s">
        <v>261</v>
      </c>
      <c r="D4" s="155"/>
      <c r="E4" s="151" t="s">
        <v>273</v>
      </c>
      <c r="G4" s="148"/>
      <c r="H4" s="149" t="s">
        <v>262</v>
      </c>
      <c r="J4" s="152"/>
      <c r="K4" s="145" t="s">
        <v>263</v>
      </c>
      <c r="N4" s="152"/>
      <c r="O4" s="145" t="s">
        <v>264</v>
      </c>
      <c r="R4" s="15"/>
      <c r="S4" s="141" t="s">
        <v>226</v>
      </c>
      <c r="U4" s="15"/>
      <c r="V4" s="141" t="s">
        <v>278</v>
      </c>
      <c r="X4" s="15"/>
      <c r="Y4" s="141" t="s">
        <v>226</v>
      </c>
    </row>
    <row r="5" spans="1:57" ht="22" thickTop="1" thickBot="1" x14ac:dyDescent="0.25">
      <c r="G5" s="152"/>
      <c r="H5" s="145" t="s">
        <v>265</v>
      </c>
    </row>
    <row r="6" spans="1:57" ht="17" thickTop="1" x14ac:dyDescent="0.2"/>
    <row r="8" spans="1:57" ht="20" x14ac:dyDescent="0.2">
      <c r="B8" t="s">
        <v>266</v>
      </c>
      <c r="D8" t="s">
        <v>267</v>
      </c>
      <c r="F8" s="153" t="s">
        <v>268</v>
      </c>
      <c r="G8" s="153" t="s">
        <v>269</v>
      </c>
      <c r="M8" t="s">
        <v>266</v>
      </c>
      <c r="O8" t="s">
        <v>267</v>
      </c>
      <c r="Q8" s="153" t="s">
        <v>268</v>
      </c>
      <c r="R8" s="153" t="s">
        <v>269</v>
      </c>
      <c r="X8" t="s">
        <v>266</v>
      </c>
      <c r="Z8" t="s">
        <v>267</v>
      </c>
      <c r="AB8" s="153" t="s">
        <v>268</v>
      </c>
      <c r="AC8" s="153" t="s">
        <v>269</v>
      </c>
      <c r="AI8" t="s">
        <v>266</v>
      </c>
      <c r="AK8" t="s">
        <v>267</v>
      </c>
      <c r="AM8" s="153" t="s">
        <v>268</v>
      </c>
      <c r="AN8" s="153" t="s">
        <v>269</v>
      </c>
      <c r="AW8" t="s">
        <v>266</v>
      </c>
      <c r="AY8" t="s">
        <v>267</v>
      </c>
      <c r="BA8" s="153" t="s">
        <v>268</v>
      </c>
      <c r="BB8" s="153" t="s">
        <v>269</v>
      </c>
    </row>
    <row r="9" spans="1:57" ht="20" x14ac:dyDescent="0.2">
      <c r="A9" t="s">
        <v>381</v>
      </c>
      <c r="B9" t="s">
        <v>317</v>
      </c>
      <c r="C9" s="153" t="s">
        <v>318</v>
      </c>
      <c r="D9" s="153" t="s">
        <v>319</v>
      </c>
      <c r="E9" s="153" t="s">
        <v>380</v>
      </c>
      <c r="F9" t="s">
        <v>321</v>
      </c>
      <c r="G9" t="s">
        <v>253</v>
      </c>
      <c r="H9" t="s">
        <v>254</v>
      </c>
      <c r="L9" t="s">
        <v>382</v>
      </c>
      <c r="M9" t="s">
        <v>317</v>
      </c>
      <c r="N9" s="153" t="s">
        <v>318</v>
      </c>
      <c r="O9" s="153" t="s">
        <v>319</v>
      </c>
      <c r="P9" s="153" t="s">
        <v>320</v>
      </c>
      <c r="Q9" t="s">
        <v>321</v>
      </c>
      <c r="R9" t="s">
        <v>253</v>
      </c>
      <c r="S9" t="s">
        <v>254</v>
      </c>
      <c r="W9" t="s">
        <v>383</v>
      </c>
      <c r="X9" t="s">
        <v>317</v>
      </c>
      <c r="Y9" s="153" t="s">
        <v>318</v>
      </c>
      <c r="Z9" s="153" t="s">
        <v>319</v>
      </c>
      <c r="AA9" s="153" t="s">
        <v>320</v>
      </c>
      <c r="AB9" t="s">
        <v>321</v>
      </c>
      <c r="AC9" t="s">
        <v>253</v>
      </c>
      <c r="AD9" t="s">
        <v>254</v>
      </c>
      <c r="AH9" t="s">
        <v>384</v>
      </c>
      <c r="AI9" t="s">
        <v>317</v>
      </c>
      <c r="AJ9" s="153" t="s">
        <v>318</v>
      </c>
      <c r="AK9" s="153" t="s">
        <v>319</v>
      </c>
      <c r="AL9" s="153" t="s">
        <v>320</v>
      </c>
      <c r="AM9" t="s">
        <v>321</v>
      </c>
      <c r="AN9" t="s">
        <v>253</v>
      </c>
      <c r="AO9" t="s">
        <v>254</v>
      </c>
      <c r="AW9" t="s">
        <v>317</v>
      </c>
      <c r="AX9" s="153" t="s">
        <v>318</v>
      </c>
      <c r="AY9" s="153" t="s">
        <v>319</v>
      </c>
      <c r="AZ9" s="153" t="s">
        <v>320</v>
      </c>
      <c r="BA9" t="s">
        <v>321</v>
      </c>
      <c r="BB9" t="s">
        <v>253</v>
      </c>
      <c r="BC9" t="s">
        <v>254</v>
      </c>
    </row>
    <row r="10" spans="1:57" x14ac:dyDescent="0.2">
      <c r="A10" t="s">
        <v>114</v>
      </c>
      <c r="B10" s="3">
        <v>0</v>
      </c>
      <c r="C10" s="3">
        <v>3</v>
      </c>
      <c r="D10" s="3">
        <v>2</v>
      </c>
      <c r="E10" s="3">
        <v>1</v>
      </c>
      <c r="F10" s="3">
        <v>0</v>
      </c>
      <c r="G10" s="3">
        <v>1</v>
      </c>
      <c r="H10" s="3">
        <v>1</v>
      </c>
      <c r="L10" t="s">
        <v>185</v>
      </c>
      <c r="M10">
        <v>0</v>
      </c>
      <c r="N10" s="3">
        <v>3</v>
      </c>
      <c r="O10" s="3">
        <v>2</v>
      </c>
      <c r="P10" s="3">
        <v>0</v>
      </c>
      <c r="Q10" s="3">
        <v>0</v>
      </c>
      <c r="R10" s="3">
        <v>0</v>
      </c>
      <c r="S10" s="3">
        <v>3</v>
      </c>
      <c r="W10" s="1" t="s">
        <v>205</v>
      </c>
      <c r="X10">
        <v>2</v>
      </c>
      <c r="Y10" s="3">
        <v>3</v>
      </c>
      <c r="Z10" s="3">
        <v>2</v>
      </c>
      <c r="AA10" s="3">
        <v>1</v>
      </c>
      <c r="AB10" s="3">
        <v>0</v>
      </c>
      <c r="AC10" s="3">
        <v>0</v>
      </c>
      <c r="AD10" s="3">
        <v>3</v>
      </c>
      <c r="AH10" t="s">
        <v>212</v>
      </c>
      <c r="AI10" s="3">
        <v>3</v>
      </c>
      <c r="AJ10" s="3">
        <v>2</v>
      </c>
      <c r="AK10" s="3">
        <v>1</v>
      </c>
      <c r="AL10" s="3">
        <v>1</v>
      </c>
      <c r="AM10" s="3">
        <v>0</v>
      </c>
      <c r="AN10" s="3">
        <v>1</v>
      </c>
      <c r="AO10" s="3">
        <v>3</v>
      </c>
      <c r="AV10" s="3" t="s">
        <v>243</v>
      </c>
      <c r="AW10" s="111">
        <v>2</v>
      </c>
      <c r="AX10" s="154">
        <v>1</v>
      </c>
      <c r="AY10" s="137">
        <v>1</v>
      </c>
      <c r="AZ10" s="154">
        <v>1</v>
      </c>
      <c r="BA10" s="12">
        <v>0</v>
      </c>
      <c r="BB10" s="12">
        <v>0</v>
      </c>
      <c r="BC10" s="111">
        <v>2</v>
      </c>
      <c r="BE10">
        <f>AVERAGE(AW10:BC10)</f>
        <v>1</v>
      </c>
    </row>
    <row r="11" spans="1:57" x14ac:dyDescent="0.2">
      <c r="A11" t="s">
        <v>123</v>
      </c>
      <c r="B11" s="3">
        <v>0</v>
      </c>
      <c r="C11" s="3">
        <v>3</v>
      </c>
      <c r="D11" s="3">
        <v>2</v>
      </c>
      <c r="E11" s="3">
        <v>2</v>
      </c>
      <c r="F11" s="3">
        <v>0</v>
      </c>
      <c r="G11" s="3">
        <v>0</v>
      </c>
      <c r="H11" s="3">
        <v>3</v>
      </c>
      <c r="L11" t="s">
        <v>187</v>
      </c>
      <c r="M11">
        <v>1</v>
      </c>
      <c r="N11">
        <v>3</v>
      </c>
      <c r="O11">
        <v>0</v>
      </c>
      <c r="P11">
        <v>1</v>
      </c>
      <c r="Q11">
        <v>0</v>
      </c>
      <c r="R11">
        <v>1</v>
      </c>
      <c r="S11">
        <v>3</v>
      </c>
      <c r="W11" s="1" t="s">
        <v>210</v>
      </c>
      <c r="X11" s="3">
        <v>1</v>
      </c>
      <c r="Y11" s="3">
        <v>3</v>
      </c>
      <c r="Z11" s="3">
        <v>3</v>
      </c>
      <c r="AA11" s="3">
        <v>1</v>
      </c>
      <c r="AB11" s="3">
        <v>0</v>
      </c>
      <c r="AC11" s="3">
        <v>0</v>
      </c>
      <c r="AD11" s="3">
        <v>3</v>
      </c>
      <c r="AH11" t="s">
        <v>215</v>
      </c>
      <c r="AI11" s="3">
        <v>3</v>
      </c>
      <c r="AJ11" s="3">
        <v>3</v>
      </c>
      <c r="AK11" s="3">
        <v>3</v>
      </c>
      <c r="AL11" s="3">
        <v>2</v>
      </c>
      <c r="AM11" s="3">
        <v>1</v>
      </c>
      <c r="AN11" s="3">
        <v>0</v>
      </c>
      <c r="AO11" s="3">
        <v>2</v>
      </c>
    </row>
    <row r="12" spans="1:57" x14ac:dyDescent="0.2">
      <c r="A12" t="s">
        <v>130</v>
      </c>
      <c r="B12" s="28">
        <v>3</v>
      </c>
      <c r="C12" s="28">
        <v>3</v>
      </c>
      <c r="D12" s="1">
        <v>1</v>
      </c>
      <c r="E12" s="28">
        <v>2</v>
      </c>
      <c r="F12" s="3">
        <v>0</v>
      </c>
      <c r="G12" s="28">
        <v>0</v>
      </c>
      <c r="H12" s="28">
        <v>3</v>
      </c>
      <c r="L12" t="s">
        <v>189</v>
      </c>
      <c r="M12" s="3">
        <v>1</v>
      </c>
      <c r="N12" s="3">
        <v>2</v>
      </c>
      <c r="O12" s="3">
        <v>1</v>
      </c>
      <c r="P12" s="3">
        <v>1</v>
      </c>
      <c r="Q12" s="3">
        <v>0</v>
      </c>
      <c r="R12" s="3">
        <v>2</v>
      </c>
      <c r="S12" s="3">
        <v>3</v>
      </c>
      <c r="W12" t="s">
        <v>211</v>
      </c>
      <c r="X12" s="3">
        <v>0</v>
      </c>
      <c r="Y12" s="3">
        <v>3</v>
      </c>
      <c r="Z12">
        <v>0</v>
      </c>
      <c r="AA12" s="3">
        <v>0</v>
      </c>
      <c r="AB12" s="3">
        <v>0</v>
      </c>
      <c r="AC12" s="3">
        <v>0</v>
      </c>
      <c r="AD12" s="3">
        <v>3</v>
      </c>
      <c r="AH12" t="s">
        <v>219</v>
      </c>
      <c r="AI12" s="3">
        <v>2</v>
      </c>
      <c r="AJ12" s="3">
        <v>1</v>
      </c>
      <c r="AK12">
        <v>1</v>
      </c>
      <c r="AL12" s="3">
        <v>1</v>
      </c>
      <c r="AM12" s="3">
        <v>0</v>
      </c>
      <c r="AN12" s="3">
        <v>0</v>
      </c>
      <c r="AO12" s="3">
        <v>3</v>
      </c>
    </row>
    <row r="13" spans="1:57" x14ac:dyDescent="0.2">
      <c r="A13" t="s">
        <v>132</v>
      </c>
      <c r="B13" s="28">
        <v>2</v>
      </c>
      <c r="C13" s="28">
        <v>3</v>
      </c>
      <c r="D13" s="1">
        <v>2</v>
      </c>
      <c r="E13" s="28">
        <v>1</v>
      </c>
      <c r="F13" s="3">
        <v>0</v>
      </c>
      <c r="G13" s="28">
        <v>0</v>
      </c>
      <c r="H13" s="28">
        <v>3</v>
      </c>
      <c r="L13" t="s">
        <v>192</v>
      </c>
      <c r="M13" s="3">
        <v>0</v>
      </c>
      <c r="N13" s="3">
        <v>3</v>
      </c>
      <c r="O13">
        <v>1</v>
      </c>
      <c r="P13" s="3">
        <v>1</v>
      </c>
      <c r="Q13" s="3">
        <v>1</v>
      </c>
      <c r="R13" s="3">
        <v>0</v>
      </c>
      <c r="S13" s="3">
        <v>3</v>
      </c>
      <c r="W13" t="s">
        <v>196</v>
      </c>
      <c r="X13" s="3">
        <v>2</v>
      </c>
      <c r="Y13" s="3">
        <v>0</v>
      </c>
      <c r="Z13">
        <v>1</v>
      </c>
      <c r="AA13" s="3">
        <v>1</v>
      </c>
      <c r="AB13" s="3">
        <v>0</v>
      </c>
      <c r="AC13" s="3">
        <v>0</v>
      </c>
      <c r="AD13" s="3">
        <v>1</v>
      </c>
      <c r="AH13" s="138" t="s">
        <v>213</v>
      </c>
      <c r="AI13" t="s">
        <v>128</v>
      </c>
      <c r="AJ13" t="s">
        <v>128</v>
      </c>
      <c r="AK13" t="s">
        <v>128</v>
      </c>
      <c r="AL13" t="s">
        <v>128</v>
      </c>
      <c r="AM13" t="s">
        <v>128</v>
      </c>
      <c r="AN13" t="s">
        <v>128</v>
      </c>
      <c r="AO13" t="s">
        <v>128</v>
      </c>
    </row>
    <row r="14" spans="1:57" x14ac:dyDescent="0.2">
      <c r="A14" t="s">
        <v>134</v>
      </c>
      <c r="B14" s="28">
        <v>0</v>
      </c>
      <c r="C14" s="28">
        <v>3</v>
      </c>
      <c r="D14" s="1">
        <v>1</v>
      </c>
      <c r="E14" s="28">
        <v>1</v>
      </c>
      <c r="F14" s="3">
        <v>0</v>
      </c>
      <c r="G14" s="28">
        <v>0</v>
      </c>
      <c r="H14" s="28">
        <v>3</v>
      </c>
      <c r="L14" t="s">
        <v>193</v>
      </c>
      <c r="M14" s="3">
        <v>0</v>
      </c>
      <c r="N14" s="3">
        <v>3</v>
      </c>
      <c r="O14">
        <v>1</v>
      </c>
      <c r="P14" s="3">
        <v>1</v>
      </c>
      <c r="Q14" s="3">
        <v>1</v>
      </c>
      <c r="R14" s="3">
        <v>0</v>
      </c>
      <c r="S14" s="3">
        <v>0</v>
      </c>
      <c r="W14" s="138" t="s">
        <v>206</v>
      </c>
      <c r="X14" t="s">
        <v>281</v>
      </c>
      <c r="Y14" t="s">
        <v>281</v>
      </c>
      <c r="Z14" t="s">
        <v>281</v>
      </c>
      <c r="AA14" t="s">
        <v>281</v>
      </c>
      <c r="AB14" t="s">
        <v>281</v>
      </c>
      <c r="AC14" t="s">
        <v>281</v>
      </c>
      <c r="AD14" t="s">
        <v>281</v>
      </c>
      <c r="AE14" t="s">
        <v>281</v>
      </c>
      <c r="AI14" s="23">
        <f t="shared" ref="AI14:AO14" si="0">AVERAGE(AI10:AI12)</f>
        <v>2.6666666666666665</v>
      </c>
      <c r="AJ14" s="109">
        <f t="shared" si="0"/>
        <v>2</v>
      </c>
      <c r="AK14" s="109">
        <f t="shared" si="0"/>
        <v>1.6666666666666667</v>
      </c>
      <c r="AL14" s="137">
        <f t="shared" si="0"/>
        <v>1.3333333333333333</v>
      </c>
      <c r="AM14" s="13">
        <f t="shared" si="0"/>
        <v>0.33333333333333331</v>
      </c>
      <c r="AN14" s="137">
        <f t="shared" si="0"/>
        <v>0.33333333333333331</v>
      </c>
      <c r="AO14" s="23">
        <f t="shared" si="0"/>
        <v>2.6666666666666665</v>
      </c>
      <c r="AQ14">
        <f>AVERAGE(AI14:AO14)</f>
        <v>1.5714285714285712</v>
      </c>
    </row>
    <row r="15" spans="1:57" x14ac:dyDescent="0.2">
      <c r="A15" s="1" t="s">
        <v>136</v>
      </c>
      <c r="B15" s="28">
        <v>1</v>
      </c>
      <c r="C15" s="28">
        <v>3</v>
      </c>
      <c r="D15" s="1">
        <v>1</v>
      </c>
      <c r="E15" s="28">
        <v>1</v>
      </c>
      <c r="F15" s="3">
        <v>0</v>
      </c>
      <c r="G15" s="28">
        <v>0</v>
      </c>
      <c r="H15" s="28">
        <v>0</v>
      </c>
      <c r="L15" t="s">
        <v>195</v>
      </c>
      <c r="M15" s="3">
        <v>2</v>
      </c>
      <c r="N15" s="3">
        <v>2</v>
      </c>
      <c r="O15">
        <v>1</v>
      </c>
      <c r="P15" s="3">
        <v>1</v>
      </c>
      <c r="Q15" s="3">
        <v>0</v>
      </c>
      <c r="R15" s="3">
        <v>0</v>
      </c>
      <c r="S15" s="3">
        <v>0</v>
      </c>
      <c r="W15" s="138" t="s">
        <v>207</v>
      </c>
      <c r="X15" t="s">
        <v>281</v>
      </c>
      <c r="Y15" t="s">
        <v>281</v>
      </c>
      <c r="Z15" t="s">
        <v>281</v>
      </c>
      <c r="AA15" t="s">
        <v>281</v>
      </c>
      <c r="AB15" t="s">
        <v>281</v>
      </c>
      <c r="AC15" t="s">
        <v>281</v>
      </c>
      <c r="AD15" t="s">
        <v>281</v>
      </c>
      <c r="AE15" t="s">
        <v>281</v>
      </c>
    </row>
    <row r="16" spans="1:57" x14ac:dyDescent="0.2">
      <c r="A16" t="s">
        <v>137</v>
      </c>
      <c r="B16" s="28">
        <v>0</v>
      </c>
      <c r="C16" s="28">
        <v>1</v>
      </c>
      <c r="D16" s="1">
        <v>1</v>
      </c>
      <c r="E16" s="28">
        <v>1</v>
      </c>
      <c r="F16" s="3">
        <v>0</v>
      </c>
      <c r="G16" s="28">
        <v>0</v>
      </c>
      <c r="H16" s="28">
        <v>2</v>
      </c>
      <c r="L16" t="s">
        <v>196</v>
      </c>
      <c r="M16" s="3">
        <v>2</v>
      </c>
      <c r="N16" s="3">
        <v>0</v>
      </c>
      <c r="O16">
        <v>1</v>
      </c>
      <c r="P16" s="3">
        <v>1</v>
      </c>
      <c r="Q16" s="3">
        <v>0</v>
      </c>
      <c r="R16" s="3">
        <v>0</v>
      </c>
      <c r="S16" s="3">
        <v>1</v>
      </c>
      <c r="W16" s="138" t="s">
        <v>208</v>
      </c>
      <c r="X16" t="s">
        <v>281</v>
      </c>
      <c r="Y16" t="s">
        <v>281</v>
      </c>
      <c r="Z16" t="s">
        <v>281</v>
      </c>
      <c r="AA16" t="s">
        <v>281</v>
      </c>
      <c r="AB16" t="s">
        <v>281</v>
      </c>
      <c r="AC16" t="s">
        <v>281</v>
      </c>
      <c r="AD16" t="s">
        <v>281</v>
      </c>
      <c r="AE16" t="s">
        <v>281</v>
      </c>
      <c r="AI16">
        <v>3</v>
      </c>
      <c r="AJ16">
        <v>2</v>
      </c>
      <c r="AK16">
        <v>2</v>
      </c>
      <c r="AL16">
        <v>1</v>
      </c>
      <c r="AM16">
        <v>0</v>
      </c>
      <c r="AN16">
        <v>1</v>
      </c>
      <c r="AO16">
        <v>3</v>
      </c>
    </row>
    <row r="17" spans="1:41" x14ac:dyDescent="0.2">
      <c r="A17" t="s">
        <v>142</v>
      </c>
      <c r="B17" s="28">
        <v>0</v>
      </c>
      <c r="C17" s="28">
        <v>3</v>
      </c>
      <c r="D17" s="1">
        <v>1</v>
      </c>
      <c r="E17" s="28">
        <v>1</v>
      </c>
      <c r="F17" s="28">
        <v>1</v>
      </c>
      <c r="G17" s="28">
        <v>0</v>
      </c>
      <c r="H17" s="28">
        <v>0</v>
      </c>
      <c r="L17" t="s">
        <v>198</v>
      </c>
      <c r="M17" s="3">
        <v>0</v>
      </c>
      <c r="N17" s="3">
        <v>0</v>
      </c>
      <c r="O17">
        <v>0</v>
      </c>
      <c r="P17" s="3">
        <v>1</v>
      </c>
      <c r="Q17" s="3">
        <v>0</v>
      </c>
      <c r="R17" s="3">
        <v>0</v>
      </c>
      <c r="S17" s="3">
        <v>0</v>
      </c>
      <c r="W17" s="138" t="s">
        <v>209</v>
      </c>
      <c r="X17" t="s">
        <v>281</v>
      </c>
      <c r="Y17" t="s">
        <v>281</v>
      </c>
      <c r="Z17" t="s">
        <v>281</v>
      </c>
      <c r="AA17" t="s">
        <v>281</v>
      </c>
      <c r="AB17" t="s">
        <v>281</v>
      </c>
      <c r="AC17" t="s">
        <v>281</v>
      </c>
      <c r="AD17" t="s">
        <v>281</v>
      </c>
      <c r="AE17" t="s">
        <v>281</v>
      </c>
      <c r="AI17">
        <f>STDEV(AI10:AI12)</f>
        <v>0.57735026918962629</v>
      </c>
      <c r="AJ17">
        <f t="shared" ref="AJ17:AO17" si="1">STDEV(AJ10:AJ12)</f>
        <v>1</v>
      </c>
      <c r="AK17">
        <f t="shared" si="1"/>
        <v>1.1547005383792515</v>
      </c>
      <c r="AL17">
        <f t="shared" si="1"/>
        <v>0.57735026918962584</v>
      </c>
      <c r="AM17">
        <f t="shared" si="1"/>
        <v>0.57735026918962584</v>
      </c>
      <c r="AN17">
        <f t="shared" si="1"/>
        <v>0.57735026918962584</v>
      </c>
      <c r="AO17">
        <f t="shared" si="1"/>
        <v>0.57735026918962629</v>
      </c>
    </row>
    <row r="18" spans="1:41" x14ac:dyDescent="0.2">
      <c r="A18" t="s">
        <v>144</v>
      </c>
      <c r="B18" s="28">
        <v>1</v>
      </c>
      <c r="C18" s="28">
        <v>3</v>
      </c>
      <c r="D18" s="1">
        <v>0</v>
      </c>
      <c r="E18" s="28">
        <v>1</v>
      </c>
      <c r="F18" s="28">
        <v>1</v>
      </c>
      <c r="G18" s="28">
        <v>0</v>
      </c>
      <c r="H18" s="28">
        <v>3</v>
      </c>
      <c r="L18" t="s">
        <v>199</v>
      </c>
      <c r="M18" s="3">
        <v>0</v>
      </c>
      <c r="N18" s="3">
        <v>1</v>
      </c>
      <c r="O18">
        <v>3</v>
      </c>
      <c r="P18" s="3">
        <v>2</v>
      </c>
      <c r="Q18" s="3">
        <v>0</v>
      </c>
      <c r="R18" s="3">
        <v>1</v>
      </c>
      <c r="S18" s="3">
        <v>0</v>
      </c>
      <c r="X18" s="181">
        <f t="shared" ref="X18:AD18" si="2">AVERAGE(X10:X13)</f>
        <v>1.25</v>
      </c>
      <c r="Y18" s="182">
        <f t="shared" si="2"/>
        <v>2.25</v>
      </c>
      <c r="Z18" s="182">
        <f t="shared" si="2"/>
        <v>1.5</v>
      </c>
      <c r="AA18" s="181">
        <f t="shared" si="2"/>
        <v>0.75</v>
      </c>
      <c r="AB18" s="183">
        <f t="shared" si="2"/>
        <v>0</v>
      </c>
      <c r="AC18" s="183">
        <f t="shared" si="2"/>
        <v>0</v>
      </c>
      <c r="AD18" s="184">
        <f t="shared" si="2"/>
        <v>2.5</v>
      </c>
      <c r="AF18">
        <f>AVERAGE(X18:AD18)</f>
        <v>1.1785714285714286</v>
      </c>
    </row>
    <row r="19" spans="1:41" x14ac:dyDescent="0.2">
      <c r="A19" s="138" t="s">
        <v>127</v>
      </c>
      <c r="B19" t="s">
        <v>128</v>
      </c>
      <c r="C19" t="s">
        <v>128</v>
      </c>
      <c r="D19" t="s">
        <v>128</v>
      </c>
      <c r="E19" t="s">
        <v>128</v>
      </c>
      <c r="F19" t="s">
        <v>128</v>
      </c>
      <c r="G19" t="s">
        <v>128</v>
      </c>
      <c r="H19" t="s">
        <v>128</v>
      </c>
      <c r="I19" t="s">
        <v>128</v>
      </c>
      <c r="L19" t="s">
        <v>200</v>
      </c>
      <c r="M19" s="3">
        <v>3</v>
      </c>
      <c r="N19" s="3">
        <v>2</v>
      </c>
      <c r="O19">
        <v>1</v>
      </c>
      <c r="P19" s="3">
        <v>1</v>
      </c>
      <c r="Q19" s="3">
        <v>1</v>
      </c>
      <c r="R19" s="3">
        <v>0</v>
      </c>
      <c r="S19" s="3">
        <v>0</v>
      </c>
      <c r="X19">
        <v>1</v>
      </c>
      <c r="Y19">
        <v>2</v>
      </c>
      <c r="Z19">
        <v>2</v>
      </c>
      <c r="AA19">
        <v>1</v>
      </c>
      <c r="AB19">
        <v>0</v>
      </c>
      <c r="AC19">
        <v>0</v>
      </c>
      <c r="AD19">
        <v>3</v>
      </c>
    </row>
    <row r="20" spans="1:41" x14ac:dyDescent="0.2">
      <c r="A20" s="138" t="s">
        <v>129</v>
      </c>
      <c r="B20" t="s">
        <v>128</v>
      </c>
      <c r="C20" t="s">
        <v>128</v>
      </c>
      <c r="D20" t="s">
        <v>128</v>
      </c>
      <c r="E20" t="s">
        <v>128</v>
      </c>
      <c r="F20" t="s">
        <v>128</v>
      </c>
      <c r="G20" t="s">
        <v>128</v>
      </c>
      <c r="H20" t="s">
        <v>128</v>
      </c>
      <c r="I20" t="s">
        <v>128</v>
      </c>
      <c r="L20" t="s">
        <v>202</v>
      </c>
      <c r="M20" s="3">
        <v>2</v>
      </c>
      <c r="N20" s="3">
        <v>1</v>
      </c>
      <c r="O20">
        <v>2</v>
      </c>
      <c r="P20" s="3">
        <v>1</v>
      </c>
      <c r="Q20" s="3">
        <v>0</v>
      </c>
      <c r="R20" s="3">
        <v>1</v>
      </c>
      <c r="S20" s="3">
        <v>3</v>
      </c>
      <c r="X20">
        <f>STDEV(X10:X13)</f>
        <v>0.9574271077563381</v>
      </c>
      <c r="Y20">
        <f t="shared" ref="Y20:AD20" si="3">STDEV(Y10:Y13)</f>
        <v>1.5</v>
      </c>
      <c r="Z20">
        <f t="shared" si="3"/>
        <v>1.2909944487358056</v>
      </c>
      <c r="AA20">
        <f t="shared" si="3"/>
        <v>0.5</v>
      </c>
      <c r="AD20">
        <f t="shared" si="3"/>
        <v>1</v>
      </c>
    </row>
    <row r="21" spans="1:41" x14ac:dyDescent="0.2">
      <c r="B21" s="137">
        <f t="shared" ref="B21:H21" si="4">AVERAGE(B10:B18)</f>
        <v>0.77777777777777779</v>
      </c>
      <c r="C21" s="23">
        <f t="shared" si="4"/>
        <v>2.7777777777777777</v>
      </c>
      <c r="D21" s="137">
        <f t="shared" si="4"/>
        <v>1.2222222222222223</v>
      </c>
      <c r="E21" s="137">
        <f t="shared" si="4"/>
        <v>1.2222222222222223</v>
      </c>
      <c r="F21" s="13">
        <f t="shared" si="4"/>
        <v>0.22222222222222221</v>
      </c>
      <c r="G21" s="13">
        <f t="shared" si="4"/>
        <v>0.1111111111111111</v>
      </c>
      <c r="H21" s="137">
        <f t="shared" si="4"/>
        <v>2</v>
      </c>
      <c r="J21">
        <f>AVERAGE(B21:H21)</f>
        <v>1.1904761904761902</v>
      </c>
      <c r="L21" t="s">
        <v>204</v>
      </c>
      <c r="M21" s="3">
        <v>3</v>
      </c>
      <c r="N21" s="3">
        <v>0</v>
      </c>
      <c r="O21">
        <v>1</v>
      </c>
      <c r="P21" s="3">
        <v>0</v>
      </c>
      <c r="Q21" s="3">
        <v>0</v>
      </c>
      <c r="R21" s="3">
        <v>0</v>
      </c>
      <c r="S21" s="3">
        <v>3</v>
      </c>
    </row>
    <row r="22" spans="1:41" x14ac:dyDescent="0.2">
      <c r="B22" s="189"/>
      <c r="C22" s="189"/>
      <c r="D22" s="189"/>
      <c r="E22" s="189"/>
      <c r="F22" s="189"/>
      <c r="G22" s="189"/>
      <c r="H22" s="189"/>
      <c r="L22" s="138" t="s">
        <v>188</v>
      </c>
      <c r="M22" t="s">
        <v>128</v>
      </c>
      <c r="N22" t="s">
        <v>128</v>
      </c>
      <c r="O22" t="s">
        <v>128</v>
      </c>
      <c r="P22" t="s">
        <v>128</v>
      </c>
      <c r="Q22" t="s">
        <v>128</v>
      </c>
      <c r="R22" t="s">
        <v>128</v>
      </c>
      <c r="S22" t="s">
        <v>128</v>
      </c>
      <c r="T22" t="s">
        <v>128</v>
      </c>
    </row>
    <row r="23" spans="1:41" x14ac:dyDescent="0.2">
      <c r="A23" t="s">
        <v>368</v>
      </c>
      <c r="B23">
        <f>STDEV(B10:B18)</f>
        <v>1.0929064207170001</v>
      </c>
      <c r="C23">
        <f t="shared" ref="C23:H23" si="5">STDEV(C10:C18)</f>
        <v>0.66666666666666685</v>
      </c>
      <c r="D23">
        <f t="shared" si="5"/>
        <v>0.66666666666666663</v>
      </c>
      <c r="E23">
        <f t="shared" si="5"/>
        <v>0.44095855184409838</v>
      </c>
      <c r="F23">
        <f t="shared" si="5"/>
        <v>0.44095855184409843</v>
      </c>
      <c r="G23">
        <f t="shared" si="5"/>
        <v>0.33333333333333331</v>
      </c>
      <c r="H23">
        <f t="shared" si="5"/>
        <v>1.3228756555322954</v>
      </c>
      <c r="L23" s="138" t="s">
        <v>191</v>
      </c>
      <c r="M23" t="s">
        <v>128</v>
      </c>
      <c r="N23" t="s">
        <v>128</v>
      </c>
      <c r="O23" t="s">
        <v>128</v>
      </c>
      <c r="P23" t="s">
        <v>128</v>
      </c>
      <c r="Q23" t="s">
        <v>128</v>
      </c>
      <c r="R23" t="s">
        <v>128</v>
      </c>
      <c r="S23" t="s">
        <v>128</v>
      </c>
      <c r="T23" t="s">
        <v>128</v>
      </c>
    </row>
    <row r="24" spans="1:41" x14ac:dyDescent="0.2">
      <c r="A24" t="s">
        <v>386</v>
      </c>
      <c r="B24">
        <f>QUARTILE(B10:B18,1)</f>
        <v>0</v>
      </c>
      <c r="C24">
        <f t="shared" ref="C24:H24" si="6">QUARTILE(C10:C18,1)</f>
        <v>3</v>
      </c>
      <c r="D24">
        <f t="shared" si="6"/>
        <v>1</v>
      </c>
      <c r="E24">
        <f t="shared" si="6"/>
        <v>1</v>
      </c>
      <c r="F24">
        <f t="shared" si="6"/>
        <v>0</v>
      </c>
      <c r="H24">
        <f t="shared" si="6"/>
        <v>1</v>
      </c>
      <c r="M24" s="137">
        <f t="shared" ref="M24:S24" si="7">AVERAGE(M10:M21)</f>
        <v>1.1666666666666667</v>
      </c>
      <c r="N24" s="109">
        <f t="shared" si="7"/>
        <v>1.6666666666666667</v>
      </c>
      <c r="O24" s="137">
        <f t="shared" si="7"/>
        <v>1.1666666666666667</v>
      </c>
      <c r="P24" s="137">
        <f t="shared" si="7"/>
        <v>0.91666666666666663</v>
      </c>
      <c r="Q24" s="13">
        <f t="shared" si="7"/>
        <v>0.25</v>
      </c>
      <c r="R24" s="137">
        <f>AVERAGE(R10:R21)</f>
        <v>0.41666666666666669</v>
      </c>
      <c r="S24" s="109">
        <f t="shared" si="7"/>
        <v>1.5833333333333333</v>
      </c>
      <c r="U24">
        <f>AVERAGE(M24:S24)</f>
        <v>1.0238095238095239</v>
      </c>
    </row>
    <row r="25" spans="1:41" x14ac:dyDescent="0.2">
      <c r="A25" t="s">
        <v>387</v>
      </c>
      <c r="B25">
        <f>QUARTILE(B11:B19,3)</f>
        <v>1.25</v>
      </c>
      <c r="C25">
        <f t="shared" ref="C25:H25" si="8">QUARTILE(C11:C19,3)</f>
        <v>3</v>
      </c>
      <c r="D25">
        <f t="shared" si="8"/>
        <v>1.25</v>
      </c>
      <c r="E25">
        <f t="shared" si="8"/>
        <v>1.25</v>
      </c>
      <c r="F25">
        <f t="shared" si="8"/>
        <v>0.25</v>
      </c>
      <c r="H25">
        <f t="shared" si="8"/>
        <v>3</v>
      </c>
      <c r="M25">
        <v>1</v>
      </c>
      <c r="N25">
        <v>2</v>
      </c>
      <c r="O25">
        <v>1</v>
      </c>
      <c r="P25">
        <v>1</v>
      </c>
      <c r="Q25">
        <v>0</v>
      </c>
      <c r="R25">
        <v>1</v>
      </c>
      <c r="S25">
        <v>2</v>
      </c>
    </row>
    <row r="26" spans="1:41" x14ac:dyDescent="0.2">
      <c r="A26" t="s">
        <v>388</v>
      </c>
      <c r="B26">
        <f>PERCENTILE(B10:B18,0.1)</f>
        <v>0</v>
      </c>
      <c r="C26">
        <f t="shared" ref="C26:H27" si="9">PERCENTILE(C10:C18,0.1)</f>
        <v>2.6</v>
      </c>
      <c r="D26">
        <f t="shared" si="9"/>
        <v>0.8</v>
      </c>
      <c r="E26">
        <f t="shared" si="9"/>
        <v>1</v>
      </c>
      <c r="F26">
        <f t="shared" si="9"/>
        <v>0</v>
      </c>
      <c r="H26">
        <f t="shared" si="9"/>
        <v>0</v>
      </c>
      <c r="M26">
        <f>STDEV(M10:M21)</f>
        <v>1.1934162828797101</v>
      </c>
      <c r="N26">
        <f t="shared" ref="N26:S26" si="10">STDEV(N10:N21)</f>
        <v>1.2309149097933272</v>
      </c>
      <c r="O26">
        <f t="shared" si="10"/>
        <v>0.83484710993672195</v>
      </c>
      <c r="P26">
        <f t="shared" si="10"/>
        <v>0.51492865054443715</v>
      </c>
      <c r="Q26">
        <f t="shared" si="10"/>
        <v>0.45226701686664544</v>
      </c>
      <c r="R26">
        <f t="shared" si="10"/>
        <v>0.66855792342152143</v>
      </c>
      <c r="S26">
        <f t="shared" si="10"/>
        <v>1.5050420310248864</v>
      </c>
    </row>
    <row r="27" spans="1:41" x14ac:dyDescent="0.2">
      <c r="A27" t="s">
        <v>385</v>
      </c>
      <c r="B27">
        <f>PERCENTILE(B11:B19,0.9)</f>
        <v>2.2999999999999998</v>
      </c>
      <c r="C27">
        <f t="shared" ref="C27:H27" si="11">PERCENTILE(C11:C19,0.9)</f>
        <v>3</v>
      </c>
      <c r="D27">
        <f t="shared" si="11"/>
        <v>2</v>
      </c>
      <c r="E27">
        <f t="shared" si="11"/>
        <v>2</v>
      </c>
      <c r="F27">
        <f t="shared" si="11"/>
        <v>1</v>
      </c>
      <c r="H27">
        <f t="shared" si="11"/>
        <v>3</v>
      </c>
    </row>
    <row r="28" spans="1:41" x14ac:dyDescent="0.2">
      <c r="A28" t="s">
        <v>389</v>
      </c>
      <c r="B28">
        <f>(B21/B23)*100</f>
        <v>71.165999488548849</v>
      </c>
      <c r="C28">
        <f t="shared" ref="C28:H28" si="12">(C21/C23)*100</f>
        <v>416.66666666666652</v>
      </c>
      <c r="D28">
        <f t="shared" si="12"/>
        <v>183.33333333333334</v>
      </c>
      <c r="E28">
        <f t="shared" si="12"/>
        <v>277.17394687343335</v>
      </c>
      <c r="F28">
        <f t="shared" si="12"/>
        <v>50.395263067896956</v>
      </c>
      <c r="G28">
        <f t="shared" si="12"/>
        <v>33.333333333333329</v>
      </c>
      <c r="H28">
        <f t="shared" si="12"/>
        <v>151.18578920369089</v>
      </c>
    </row>
    <row r="29" spans="1:41" x14ac:dyDescent="0.2">
      <c r="A29" t="s">
        <v>390</v>
      </c>
    </row>
  </sheetData>
  <mergeCells count="1">
    <mergeCell ref="A1:A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zoomScale="150" zoomScaleNormal="150" zoomScalePageLayoutView="150" workbookViewId="0">
      <selection activeCell="B2" sqref="B2"/>
    </sheetView>
  </sheetViews>
  <sheetFormatPr baseColWidth="10" defaultRowHeight="16" x14ac:dyDescent="0.2"/>
  <sheetData>
    <row r="1" spans="1:8" ht="20" x14ac:dyDescent="0.2">
      <c r="B1" t="s">
        <v>317</v>
      </c>
      <c r="C1" s="153" t="s">
        <v>318</v>
      </c>
      <c r="D1" s="153" t="s">
        <v>319</v>
      </c>
      <c r="E1" s="153" t="s">
        <v>380</v>
      </c>
      <c r="F1" t="s">
        <v>321</v>
      </c>
      <c r="G1" t="s">
        <v>253</v>
      </c>
      <c r="H1" t="s">
        <v>254</v>
      </c>
    </row>
    <row r="2" spans="1:8" x14ac:dyDescent="0.2">
      <c r="A2" t="s">
        <v>355</v>
      </c>
      <c r="B2" s="137">
        <f>AVERAGE('perf sociales typo'!M10:M21)</f>
        <v>1.1666666666666667</v>
      </c>
      <c r="C2" s="137">
        <f>AVERAGE('perf sociales typo'!N10:N21)</f>
        <v>1.6666666666666667</v>
      </c>
      <c r="D2" s="137">
        <f>AVERAGE('perf sociales typo'!O10:O21)</f>
        <v>1.1666666666666667</v>
      </c>
      <c r="E2" s="137">
        <f>AVERAGE('perf sociales typo'!P10:P21)</f>
        <v>0.91666666666666663</v>
      </c>
      <c r="F2" s="137">
        <f>AVERAGE('perf sociales typo'!Q10:Q21)</f>
        <v>0.25</v>
      </c>
      <c r="G2" s="137">
        <f>AVERAGE('perf sociales typo'!R10:R21)</f>
        <v>0.41666666666666669</v>
      </c>
      <c r="H2" s="137">
        <f>AVERAGE('perf sociales typo'!S10:S21)</f>
        <v>1.5833333333333333</v>
      </c>
    </row>
    <row r="3" spans="1:8" x14ac:dyDescent="0.2">
      <c r="A3" t="s">
        <v>356</v>
      </c>
      <c r="B3" s="180">
        <f>AVERAGE('perf sociales typo'!X10:X13)</f>
        <v>1.25</v>
      </c>
      <c r="C3" s="180">
        <f>AVERAGE('perf sociales typo'!Y10:Y13)</f>
        <v>2.25</v>
      </c>
      <c r="D3" s="180">
        <f>AVERAGE('perf sociales typo'!Z10:Z13)</f>
        <v>1.5</v>
      </c>
      <c r="E3" s="180">
        <f>AVERAGE('perf sociales typo'!AA10:AA13)</f>
        <v>0.75</v>
      </c>
      <c r="F3" s="180">
        <f>AVERAGE('perf sociales typo'!AB10:AB13)</f>
        <v>0</v>
      </c>
      <c r="G3" s="180">
        <f>AVERAGE('perf sociales typo'!AC10:AC13)</f>
        <v>0</v>
      </c>
      <c r="H3" s="180">
        <f>AVERAGE('perf sociales typo'!AD10:AD13)</f>
        <v>2.5</v>
      </c>
    </row>
    <row r="4" spans="1:8" x14ac:dyDescent="0.2">
      <c r="A4" t="s">
        <v>327</v>
      </c>
      <c r="B4">
        <f>0.777777778</f>
        <v>0.77777777800000003</v>
      </c>
      <c r="C4">
        <f>2.777777778</f>
        <v>2.7777777779999999</v>
      </c>
      <c r="D4">
        <f>1.222222222</f>
        <v>1.2222222220000001</v>
      </c>
      <c r="E4">
        <f>1.222222222</f>
        <v>1.2222222220000001</v>
      </c>
      <c r="F4">
        <f>0.222222222</f>
        <v>0.222222222</v>
      </c>
      <c r="G4">
        <f>0.111111111</f>
        <v>0.111111111</v>
      </c>
      <c r="H4">
        <v>2</v>
      </c>
    </row>
    <row r="5" spans="1:8" x14ac:dyDescent="0.2">
      <c r="A5" t="s">
        <v>357</v>
      </c>
      <c r="B5" s="23">
        <f>AVERAGE('perf sociales typo'!AI10:AI12)</f>
        <v>2.6666666666666665</v>
      </c>
      <c r="C5" s="23">
        <f>AVERAGE('perf sociales typo'!AJ10:AJ12)</f>
        <v>2</v>
      </c>
      <c r="D5" s="23">
        <f>AVERAGE('perf sociales typo'!AK10:AK12)</f>
        <v>1.6666666666666667</v>
      </c>
      <c r="E5" s="23">
        <f>AVERAGE('perf sociales typo'!AL10:AL12)</f>
        <v>1.3333333333333333</v>
      </c>
      <c r="F5" s="23">
        <f>AVERAGE('perf sociales typo'!AM10:AM12)</f>
        <v>0.33333333333333331</v>
      </c>
      <c r="G5" s="23">
        <f>AVERAGE('perf sociales typo'!AN10:AN12)</f>
        <v>0.33333333333333331</v>
      </c>
      <c r="H5" s="23">
        <f>AVERAGE('perf sociales typo'!AO10:AO12)</f>
        <v>2.6666666666666665</v>
      </c>
    </row>
    <row r="6" spans="1:8" x14ac:dyDescent="0.2">
      <c r="A6" t="s">
        <v>326</v>
      </c>
      <c r="B6" s="111">
        <v>2</v>
      </c>
      <c r="C6" s="154">
        <v>1</v>
      </c>
      <c r="D6" s="137">
        <v>1</v>
      </c>
      <c r="E6" s="154">
        <v>1</v>
      </c>
      <c r="F6" s="12">
        <v>0</v>
      </c>
      <c r="G6" s="12">
        <v>0</v>
      </c>
      <c r="H6" s="111">
        <v>2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zoomScale="130" zoomScaleNormal="130" zoomScalePageLayoutView="130" workbookViewId="0">
      <selection sqref="A1:H6"/>
    </sheetView>
  </sheetViews>
  <sheetFormatPr baseColWidth="10" defaultRowHeight="16" x14ac:dyDescent="0.2"/>
  <sheetData>
    <row r="1" spans="1:8" ht="20" x14ac:dyDescent="0.2">
      <c r="B1" t="s">
        <v>317</v>
      </c>
      <c r="C1" s="153" t="s">
        <v>318</v>
      </c>
      <c r="D1" s="153" t="s">
        <v>319</v>
      </c>
      <c r="E1" s="153" t="s">
        <v>380</v>
      </c>
      <c r="F1" t="s">
        <v>321</v>
      </c>
      <c r="G1" t="s">
        <v>253</v>
      </c>
      <c r="H1" t="s">
        <v>254</v>
      </c>
    </row>
    <row r="2" spans="1:8" x14ac:dyDescent="0.2">
      <c r="A2" t="s">
        <v>326</v>
      </c>
      <c r="B2" s="137">
        <v>1.167</v>
      </c>
      <c r="C2" s="137">
        <f>AVERAGE('perf sociales typo'!M10:M21)</f>
        <v>1.1666666666666667</v>
      </c>
      <c r="D2" s="137">
        <f>AVERAGE('perf sociales typo'!N10:N21)</f>
        <v>1.6666666666666667</v>
      </c>
      <c r="E2" s="137">
        <f>AVERAGE('perf sociales typo'!O10:O21)</f>
        <v>1.1666666666666667</v>
      </c>
      <c r="F2" s="137">
        <f>AVERAGE('perf sociales typo'!P10:P21)</f>
        <v>0.91666666666666663</v>
      </c>
      <c r="G2" s="137">
        <f>AVERAGE('perf sociales typo'!Q10:Q21)</f>
        <v>0.25</v>
      </c>
      <c r="H2" s="137">
        <f>AVERAGE('perf sociales typo'!R10:R21)</f>
        <v>0.41666666666666669</v>
      </c>
    </row>
    <row r="3" spans="1:8" x14ac:dyDescent="0.2">
      <c r="A3" t="s">
        <v>355</v>
      </c>
      <c r="B3" s="180">
        <v>1.25</v>
      </c>
      <c r="C3" s="180">
        <f>AVERAGE('perf sociales typo'!X10:X13)</f>
        <v>1.25</v>
      </c>
      <c r="D3" s="180">
        <f>AVERAGE('perf sociales typo'!Y10:Y13)</f>
        <v>2.25</v>
      </c>
      <c r="E3" s="180">
        <f>AVERAGE('perf sociales typo'!Z10:Z13)</f>
        <v>1.5</v>
      </c>
      <c r="F3" s="180">
        <f>AVERAGE('perf sociales typo'!AA10:AA13)</f>
        <v>0.75</v>
      </c>
      <c r="G3" s="180">
        <f>AVERAGE('perf sociales typo'!AB10:AB13)</f>
        <v>0</v>
      </c>
      <c r="H3" s="180">
        <f>AVERAGE('perf sociales typo'!AC10:AC13)</f>
        <v>0</v>
      </c>
    </row>
    <row r="4" spans="1:8" x14ac:dyDescent="0.2">
      <c r="A4" t="s">
        <v>327</v>
      </c>
      <c r="B4">
        <f>0.777777778</f>
        <v>0.77777777800000003</v>
      </c>
      <c r="C4">
        <f>2.777777778</f>
        <v>2.7777777779999999</v>
      </c>
      <c r="D4">
        <f>1.222222222</f>
        <v>1.2222222220000001</v>
      </c>
      <c r="E4">
        <f>1.222222222</f>
        <v>1.2222222220000001</v>
      </c>
      <c r="F4">
        <f>0.222222222</f>
        <v>0.222222222</v>
      </c>
      <c r="G4">
        <f>0.111111111</f>
        <v>0.111111111</v>
      </c>
      <c r="H4">
        <v>2</v>
      </c>
    </row>
    <row r="5" spans="1:8" x14ac:dyDescent="0.2">
      <c r="A5" t="s">
        <v>356</v>
      </c>
      <c r="B5" s="23">
        <v>2.6669999999999998</v>
      </c>
      <c r="C5" s="23">
        <f>AVERAGE('perf sociales typo'!AI10:AI12)</f>
        <v>2.6666666666666665</v>
      </c>
      <c r="D5" s="23">
        <f>AVERAGE('perf sociales typo'!AJ10:AJ12)</f>
        <v>2</v>
      </c>
      <c r="E5" s="23">
        <f>AVERAGE('perf sociales typo'!AK10:AK12)</f>
        <v>1.6666666666666667</v>
      </c>
      <c r="F5" s="23">
        <f>AVERAGE('perf sociales typo'!AL10:AL12)</f>
        <v>1.3333333333333333</v>
      </c>
      <c r="G5" s="23">
        <f>AVERAGE('perf sociales typo'!AM10:AM12)</f>
        <v>0.33333333333333331</v>
      </c>
      <c r="H5" s="23">
        <f>AVERAGE('perf sociales typo'!AN10:AN12)</f>
        <v>0.33333333333333331</v>
      </c>
    </row>
    <row r="6" spans="1:8" x14ac:dyDescent="0.2">
      <c r="A6" t="s">
        <v>357</v>
      </c>
      <c r="B6" s="111">
        <v>2</v>
      </c>
      <c r="C6" s="154">
        <v>1</v>
      </c>
      <c r="D6" s="137">
        <v>1</v>
      </c>
      <c r="E6" s="154">
        <v>1</v>
      </c>
      <c r="F6" s="12">
        <v>0</v>
      </c>
      <c r="G6" s="12">
        <v>0</v>
      </c>
      <c r="H6" s="111">
        <v>2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zoomScale="130" zoomScaleNormal="130" zoomScalePageLayoutView="130" workbookViewId="0">
      <selection sqref="A1:H6"/>
    </sheetView>
  </sheetViews>
  <sheetFormatPr baseColWidth="10" defaultRowHeight="16" x14ac:dyDescent="0.2"/>
  <sheetData>
    <row r="1" spans="1:8" ht="20" x14ac:dyDescent="0.2">
      <c r="B1" t="s">
        <v>317</v>
      </c>
      <c r="C1" s="153" t="s">
        <v>318</v>
      </c>
      <c r="D1" s="153" t="s">
        <v>319</v>
      </c>
      <c r="E1" s="153" t="s">
        <v>380</v>
      </c>
      <c r="F1" t="s">
        <v>321</v>
      </c>
      <c r="G1" t="s">
        <v>253</v>
      </c>
      <c r="H1" t="s">
        <v>254</v>
      </c>
    </row>
    <row r="2" spans="1:8" x14ac:dyDescent="0.2">
      <c r="A2" t="s">
        <v>326</v>
      </c>
      <c r="B2" s="137">
        <v>1.167</v>
      </c>
      <c r="C2" s="137">
        <f>AVERAGE('perf sociales typo'!M10:M21)</f>
        <v>1.1666666666666667</v>
      </c>
      <c r="D2" s="137">
        <f>AVERAGE('perf sociales typo'!N10:N21)</f>
        <v>1.6666666666666667</v>
      </c>
      <c r="E2" s="137">
        <f>AVERAGE('perf sociales typo'!O10:O21)</f>
        <v>1.1666666666666667</v>
      </c>
      <c r="F2" s="137">
        <f>AVERAGE('perf sociales typo'!P10:P21)</f>
        <v>0.91666666666666663</v>
      </c>
      <c r="G2" s="137">
        <f>AVERAGE('perf sociales typo'!Q10:Q21)</f>
        <v>0.25</v>
      </c>
      <c r="H2" s="137">
        <f>AVERAGE('perf sociales typo'!R10:R21)</f>
        <v>0.41666666666666669</v>
      </c>
    </row>
    <row r="3" spans="1:8" x14ac:dyDescent="0.2">
      <c r="A3" t="s">
        <v>355</v>
      </c>
      <c r="B3" s="180">
        <v>1.25</v>
      </c>
      <c r="C3" s="180">
        <f>AVERAGE('perf sociales typo'!X10:X13)</f>
        <v>1.25</v>
      </c>
      <c r="D3" s="180">
        <f>AVERAGE('perf sociales typo'!Y10:Y13)</f>
        <v>2.25</v>
      </c>
      <c r="E3" s="180">
        <f>AVERAGE('perf sociales typo'!Z10:Z13)</f>
        <v>1.5</v>
      </c>
      <c r="F3" s="180">
        <f>AVERAGE('perf sociales typo'!AA10:AA13)</f>
        <v>0.75</v>
      </c>
      <c r="G3" s="180">
        <f>AVERAGE('perf sociales typo'!AB10:AB13)</f>
        <v>0</v>
      </c>
      <c r="H3" s="180">
        <f>AVERAGE('perf sociales typo'!AC10:AC13)</f>
        <v>0</v>
      </c>
    </row>
    <row r="4" spans="1:8" x14ac:dyDescent="0.2">
      <c r="A4" t="s">
        <v>327</v>
      </c>
      <c r="B4">
        <f>0.777777778</f>
        <v>0.77777777800000003</v>
      </c>
      <c r="C4">
        <f>2.777777778</f>
        <v>2.7777777779999999</v>
      </c>
      <c r="D4">
        <f>1.222222222</f>
        <v>1.2222222220000001</v>
      </c>
      <c r="E4">
        <f>1.222222222</f>
        <v>1.2222222220000001</v>
      </c>
      <c r="F4">
        <f>0.222222222</f>
        <v>0.222222222</v>
      </c>
      <c r="G4">
        <f>0.111111111</f>
        <v>0.111111111</v>
      </c>
      <c r="H4">
        <v>2</v>
      </c>
    </row>
    <row r="5" spans="1:8" x14ac:dyDescent="0.2">
      <c r="A5" t="s">
        <v>356</v>
      </c>
      <c r="B5" s="23">
        <v>2.6669999999999998</v>
      </c>
      <c r="C5" s="23">
        <f>AVERAGE('perf sociales typo'!AI10:AI12)</f>
        <v>2.6666666666666665</v>
      </c>
      <c r="D5" s="23">
        <f>AVERAGE('perf sociales typo'!AJ10:AJ12)</f>
        <v>2</v>
      </c>
      <c r="E5" s="23">
        <f>AVERAGE('perf sociales typo'!AK10:AK12)</f>
        <v>1.6666666666666667</v>
      </c>
      <c r="F5" s="23">
        <f>AVERAGE('perf sociales typo'!AL10:AL12)</f>
        <v>1.3333333333333333</v>
      </c>
      <c r="G5" s="23">
        <f>AVERAGE('perf sociales typo'!AM10:AM12)</f>
        <v>0.33333333333333331</v>
      </c>
      <c r="H5" s="23">
        <f>AVERAGE('perf sociales typo'!AN10:AN12)</f>
        <v>0.33333333333333331</v>
      </c>
    </row>
    <row r="6" spans="1:8" x14ac:dyDescent="0.2">
      <c r="A6" t="s">
        <v>357</v>
      </c>
      <c r="B6" s="111">
        <v>2</v>
      </c>
      <c r="C6" s="154">
        <v>1</v>
      </c>
      <c r="D6" s="137">
        <v>1</v>
      </c>
      <c r="E6" s="154">
        <v>1</v>
      </c>
      <c r="F6" s="12">
        <v>0</v>
      </c>
      <c r="G6" s="12">
        <v>0</v>
      </c>
      <c r="H6" s="111">
        <v>2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opLeftCell="N1" workbookViewId="0">
      <selection activeCell="Z16" sqref="Z16"/>
    </sheetView>
  </sheetViews>
  <sheetFormatPr baseColWidth="10" defaultRowHeight="16" x14ac:dyDescent="0.2"/>
  <cols>
    <col min="4" max="4" width="16.6640625" customWidth="1"/>
    <col min="5" max="5" width="17.33203125" customWidth="1"/>
  </cols>
  <sheetData>
    <row r="1" spans="1:34" ht="21" x14ac:dyDescent="0.2">
      <c r="A1" t="s">
        <v>282</v>
      </c>
      <c r="B1" s="157" t="s">
        <v>283</v>
      </c>
      <c r="C1" s="13"/>
      <c r="E1" t="s">
        <v>284</v>
      </c>
      <c r="F1" s="158" t="s">
        <v>283</v>
      </c>
      <c r="G1" s="13" t="s">
        <v>285</v>
      </c>
      <c r="I1" t="s">
        <v>286</v>
      </c>
      <c r="J1" s="158" t="s">
        <v>283</v>
      </c>
      <c r="K1" s="13" t="s">
        <v>287</v>
      </c>
      <c r="M1" t="s">
        <v>280</v>
      </c>
      <c r="N1" s="159" t="s">
        <v>288</v>
      </c>
      <c r="P1" s="117" t="s">
        <v>289</v>
      </c>
      <c r="Q1" s="13" t="s">
        <v>305</v>
      </c>
      <c r="R1" t="s">
        <v>306</v>
      </c>
    </row>
    <row r="2" spans="1:34" ht="21" x14ac:dyDescent="0.2">
      <c r="B2" s="160" t="s">
        <v>290</v>
      </c>
      <c r="C2" s="137"/>
      <c r="E2" t="s">
        <v>291</v>
      </c>
      <c r="F2" s="158" t="s">
        <v>290</v>
      </c>
      <c r="G2" s="137" t="s">
        <v>292</v>
      </c>
      <c r="I2" t="s">
        <v>291</v>
      </c>
      <c r="J2" s="158" t="s">
        <v>290</v>
      </c>
      <c r="K2" s="137" t="s">
        <v>293</v>
      </c>
      <c r="M2" t="s">
        <v>294</v>
      </c>
      <c r="N2" s="109" t="s">
        <v>258</v>
      </c>
      <c r="P2" t="s">
        <v>291</v>
      </c>
      <c r="Q2" s="137" t="s">
        <v>304</v>
      </c>
      <c r="R2" t="s">
        <v>300</v>
      </c>
    </row>
    <row r="3" spans="1:34" ht="21" x14ac:dyDescent="0.2">
      <c r="B3" s="161" t="s">
        <v>258</v>
      </c>
      <c r="C3" s="109"/>
      <c r="F3" s="158" t="s">
        <v>258</v>
      </c>
      <c r="G3" s="109" t="s">
        <v>296</v>
      </c>
      <c r="J3" s="158" t="s">
        <v>258</v>
      </c>
      <c r="K3" s="109" t="s">
        <v>297</v>
      </c>
      <c r="M3" t="s">
        <v>291</v>
      </c>
      <c r="N3" s="137" t="s">
        <v>290</v>
      </c>
      <c r="Q3" s="109" t="s">
        <v>303</v>
      </c>
      <c r="R3" t="s">
        <v>301</v>
      </c>
    </row>
    <row r="4" spans="1:34" ht="21" x14ac:dyDescent="0.2">
      <c r="B4" s="159" t="s">
        <v>298</v>
      </c>
      <c r="C4" s="23"/>
      <c r="F4" s="158" t="s">
        <v>298</v>
      </c>
      <c r="G4" s="23">
        <v>0</v>
      </c>
      <c r="J4" s="158" t="s">
        <v>298</v>
      </c>
      <c r="K4" s="23">
        <v>0</v>
      </c>
      <c r="N4" s="157" t="s">
        <v>295</v>
      </c>
      <c r="Q4" s="23" t="s">
        <v>302</v>
      </c>
      <c r="R4">
        <v>5</v>
      </c>
    </row>
    <row r="5" spans="1:34" ht="21" x14ac:dyDescent="0.2">
      <c r="G5" s="133"/>
    </row>
    <row r="7" spans="1:34" x14ac:dyDescent="0.2">
      <c r="C7" t="s">
        <v>299</v>
      </c>
      <c r="J7" t="s">
        <v>299</v>
      </c>
      <c r="Q7" t="s">
        <v>299</v>
      </c>
      <c r="X7" t="s">
        <v>299</v>
      </c>
      <c r="AE7" t="s">
        <v>299</v>
      </c>
    </row>
    <row r="8" spans="1:34" x14ac:dyDescent="0.2">
      <c r="B8" t="s">
        <v>361</v>
      </c>
      <c r="C8" t="s">
        <v>362</v>
      </c>
      <c r="D8" t="s">
        <v>363</v>
      </c>
      <c r="E8" t="s">
        <v>316</v>
      </c>
      <c r="F8" s="1"/>
      <c r="G8" s="1"/>
      <c r="I8" t="s">
        <v>361</v>
      </c>
      <c r="J8" t="s">
        <v>362</v>
      </c>
      <c r="K8" t="s">
        <v>363</v>
      </c>
      <c r="L8" t="s">
        <v>316</v>
      </c>
      <c r="M8" s="1"/>
      <c r="P8" t="s">
        <v>361</v>
      </c>
      <c r="Q8" t="s">
        <v>362</v>
      </c>
      <c r="R8" t="s">
        <v>363</v>
      </c>
      <c r="S8" t="s">
        <v>316</v>
      </c>
      <c r="T8" s="1"/>
      <c r="W8" t="s">
        <v>361</v>
      </c>
      <c r="X8" t="s">
        <v>362</v>
      </c>
      <c r="Y8" t="s">
        <v>363</v>
      </c>
      <c r="Z8" t="s">
        <v>316</v>
      </c>
      <c r="AA8" s="1"/>
      <c r="AD8" t="s">
        <v>361</v>
      </c>
      <c r="AE8" t="s">
        <v>362</v>
      </c>
      <c r="AF8" t="s">
        <v>363</v>
      </c>
      <c r="AG8" t="s">
        <v>316</v>
      </c>
      <c r="AH8" s="1"/>
    </row>
    <row r="9" spans="1:34" x14ac:dyDescent="0.2">
      <c r="A9" t="s">
        <v>114</v>
      </c>
      <c r="B9" s="23">
        <v>3</v>
      </c>
      <c r="C9" s="23">
        <v>3</v>
      </c>
      <c r="D9" s="23">
        <v>3</v>
      </c>
      <c r="E9" s="23">
        <v>3</v>
      </c>
      <c r="F9" s="1"/>
      <c r="G9" s="1"/>
      <c r="H9" s="1" t="s">
        <v>185</v>
      </c>
      <c r="I9" s="23">
        <v>3</v>
      </c>
      <c r="J9" s="23">
        <v>3</v>
      </c>
      <c r="K9" s="23">
        <v>3</v>
      </c>
      <c r="L9" s="23">
        <v>3</v>
      </c>
      <c r="M9" s="1"/>
      <c r="O9" s="1" t="s">
        <v>205</v>
      </c>
      <c r="P9" s="23">
        <v>3</v>
      </c>
      <c r="Q9" s="137">
        <v>2</v>
      </c>
      <c r="R9" s="23">
        <v>3</v>
      </c>
      <c r="S9" s="23">
        <v>3</v>
      </c>
      <c r="T9" s="1"/>
      <c r="V9" t="s">
        <v>212</v>
      </c>
      <c r="W9" s="23">
        <v>3</v>
      </c>
      <c r="X9" s="109">
        <v>2</v>
      </c>
      <c r="Y9" s="23">
        <v>3</v>
      </c>
      <c r="Z9" s="23">
        <v>3</v>
      </c>
      <c r="AA9" s="1"/>
      <c r="AC9" s="3" t="s">
        <v>243</v>
      </c>
      <c r="AD9" s="23">
        <v>3</v>
      </c>
      <c r="AE9" s="23">
        <v>3</v>
      </c>
      <c r="AF9" s="23">
        <v>3</v>
      </c>
      <c r="AG9" s="25">
        <v>3</v>
      </c>
      <c r="AH9" s="1"/>
    </row>
    <row r="10" spans="1:34" x14ac:dyDescent="0.2">
      <c r="A10" t="s">
        <v>123</v>
      </c>
      <c r="B10" s="23">
        <v>3</v>
      </c>
      <c r="C10" s="23">
        <v>3</v>
      </c>
      <c r="D10" s="23">
        <v>3</v>
      </c>
      <c r="E10" s="23">
        <v>3</v>
      </c>
      <c r="F10" s="1"/>
      <c r="G10" s="1"/>
      <c r="H10" s="1" t="s">
        <v>187</v>
      </c>
      <c r="I10" s="23">
        <v>3</v>
      </c>
      <c r="J10" s="137">
        <v>1</v>
      </c>
      <c r="K10" s="137">
        <v>2</v>
      </c>
      <c r="L10" s="23">
        <v>3</v>
      </c>
      <c r="M10" s="1"/>
      <c r="O10" s="1" t="s">
        <v>210</v>
      </c>
      <c r="P10" s="23">
        <v>3</v>
      </c>
      <c r="Q10" s="23">
        <v>3</v>
      </c>
      <c r="R10" s="23">
        <v>3</v>
      </c>
      <c r="S10" s="23">
        <v>3</v>
      </c>
      <c r="T10" s="1"/>
      <c r="V10" t="s">
        <v>215</v>
      </c>
      <c r="W10" s="23">
        <v>3</v>
      </c>
      <c r="X10" s="23">
        <v>3</v>
      </c>
      <c r="Y10" s="23">
        <v>3</v>
      </c>
      <c r="Z10" s="23">
        <v>3</v>
      </c>
      <c r="AA10" s="1"/>
    </row>
    <row r="11" spans="1:34" x14ac:dyDescent="0.2">
      <c r="A11" t="s">
        <v>130</v>
      </c>
      <c r="B11" s="23">
        <v>3</v>
      </c>
      <c r="C11" s="13">
        <v>0</v>
      </c>
      <c r="D11" s="13">
        <v>0</v>
      </c>
      <c r="E11" s="23">
        <v>3</v>
      </c>
      <c r="F11" s="1"/>
      <c r="G11" s="1"/>
      <c r="H11" s="1" t="s">
        <v>192</v>
      </c>
      <c r="I11" s="23">
        <v>3</v>
      </c>
      <c r="J11" s="137">
        <v>2</v>
      </c>
      <c r="K11" s="137">
        <v>2</v>
      </c>
      <c r="L11" s="23">
        <v>3</v>
      </c>
      <c r="M11" s="1"/>
      <c r="O11" t="s">
        <v>211</v>
      </c>
      <c r="P11" s="23">
        <v>3</v>
      </c>
      <c r="Q11" s="23">
        <v>3</v>
      </c>
      <c r="R11" s="23">
        <v>3</v>
      </c>
      <c r="S11" s="23">
        <v>3</v>
      </c>
      <c r="T11" s="1"/>
      <c r="V11" t="s">
        <v>219</v>
      </c>
      <c r="W11" s="23">
        <v>3</v>
      </c>
      <c r="X11" s="13">
        <v>0</v>
      </c>
      <c r="Y11" s="13">
        <v>0</v>
      </c>
      <c r="Z11" s="25">
        <v>3</v>
      </c>
      <c r="AA11" s="1"/>
    </row>
    <row r="12" spans="1:34" x14ac:dyDescent="0.2">
      <c r="A12" t="s">
        <v>132</v>
      </c>
      <c r="B12" s="23">
        <v>3</v>
      </c>
      <c r="C12" s="23">
        <v>3</v>
      </c>
      <c r="D12" s="23">
        <v>3</v>
      </c>
      <c r="E12" s="23">
        <v>3</v>
      </c>
      <c r="F12" s="1"/>
      <c r="G12" s="1"/>
      <c r="H12" s="1" t="s">
        <v>193</v>
      </c>
      <c r="I12" s="23">
        <v>3</v>
      </c>
      <c r="J12" s="23">
        <v>3</v>
      </c>
      <c r="K12" s="23">
        <v>3</v>
      </c>
      <c r="L12" s="25">
        <v>3</v>
      </c>
      <c r="M12" s="1"/>
      <c r="O12" t="s">
        <v>196</v>
      </c>
      <c r="P12" s="23">
        <v>3</v>
      </c>
      <c r="Q12" s="137">
        <v>2</v>
      </c>
      <c r="R12" s="23">
        <v>3</v>
      </c>
      <c r="S12" s="25">
        <v>3</v>
      </c>
      <c r="T12" s="1"/>
      <c r="V12" s="138" t="s">
        <v>213</v>
      </c>
      <c r="AA12" s="1"/>
    </row>
    <row r="13" spans="1:34" x14ac:dyDescent="0.2">
      <c r="A13" t="s">
        <v>134</v>
      </c>
      <c r="B13" s="23">
        <v>3</v>
      </c>
      <c r="C13" s="137">
        <v>1</v>
      </c>
      <c r="D13" s="137">
        <v>1</v>
      </c>
      <c r="E13" s="23">
        <v>3</v>
      </c>
      <c r="F13" s="1"/>
      <c r="G13" s="1"/>
      <c r="H13" s="1" t="s">
        <v>195</v>
      </c>
      <c r="I13" s="23">
        <v>3</v>
      </c>
      <c r="J13" s="23">
        <v>3</v>
      </c>
      <c r="K13" s="23">
        <v>3</v>
      </c>
      <c r="L13" s="25">
        <v>3</v>
      </c>
      <c r="M13" s="1"/>
      <c r="O13" s="138" t="s">
        <v>206</v>
      </c>
      <c r="T13" s="1"/>
      <c r="W13" s="23">
        <f>AVERAGE(W9:W11)</f>
        <v>3</v>
      </c>
      <c r="X13" s="109">
        <f>AVERAGE(X9:X11)</f>
        <v>1.6666666666666667</v>
      </c>
      <c r="Y13" s="109">
        <f>AVERAGE(Y9:Y11)</f>
        <v>2</v>
      </c>
      <c r="Z13" s="23">
        <f>AVERAGE(Z9:Z11)</f>
        <v>3</v>
      </c>
      <c r="AA13" s="1"/>
    </row>
    <row r="14" spans="1:34" x14ac:dyDescent="0.2">
      <c r="A14" t="s">
        <v>137</v>
      </c>
      <c r="B14" s="137">
        <v>3</v>
      </c>
      <c r="C14" s="109">
        <v>2</v>
      </c>
      <c r="D14" s="137">
        <v>1</v>
      </c>
      <c r="E14" s="13">
        <v>0</v>
      </c>
      <c r="F14" s="1"/>
      <c r="G14" s="1"/>
      <c r="H14" s="1" t="s">
        <v>196</v>
      </c>
      <c r="I14" s="23">
        <v>3</v>
      </c>
      <c r="J14" s="137">
        <v>2</v>
      </c>
      <c r="K14" s="23">
        <v>3</v>
      </c>
      <c r="L14" s="25">
        <v>3</v>
      </c>
      <c r="M14" s="1"/>
      <c r="O14" s="138" t="s">
        <v>207</v>
      </c>
      <c r="T14" s="1"/>
      <c r="W14" s="23">
        <v>3</v>
      </c>
      <c r="X14">
        <v>2</v>
      </c>
      <c r="Y14">
        <v>2</v>
      </c>
      <c r="Z14" s="23">
        <v>3</v>
      </c>
      <c r="AA14" s="1"/>
    </row>
    <row r="15" spans="1:34" x14ac:dyDescent="0.2">
      <c r="A15" t="s">
        <v>142</v>
      </c>
      <c r="B15" s="137">
        <v>3</v>
      </c>
      <c r="C15" s="109">
        <v>2</v>
      </c>
      <c r="D15" s="109">
        <v>2</v>
      </c>
      <c r="E15" s="137">
        <v>1</v>
      </c>
      <c r="F15" s="1"/>
      <c r="G15" s="1"/>
      <c r="H15" s="1" t="s">
        <v>198</v>
      </c>
      <c r="I15" s="23">
        <v>3</v>
      </c>
      <c r="J15" s="23">
        <v>3</v>
      </c>
      <c r="K15" s="23">
        <v>3</v>
      </c>
      <c r="L15" s="25">
        <v>3</v>
      </c>
      <c r="M15" s="1"/>
      <c r="O15" s="138" t="s">
        <v>208</v>
      </c>
      <c r="T15" s="1"/>
      <c r="AA15" s="1"/>
    </row>
    <row r="16" spans="1:34" x14ac:dyDescent="0.2">
      <c r="A16" t="s">
        <v>144</v>
      </c>
      <c r="B16" s="137">
        <v>3</v>
      </c>
      <c r="C16" s="137">
        <v>1</v>
      </c>
      <c r="D16" s="23">
        <v>3</v>
      </c>
      <c r="E16" s="13">
        <v>0</v>
      </c>
      <c r="F16" s="1"/>
      <c r="G16" s="1"/>
      <c r="H16" s="1" t="s">
        <v>199</v>
      </c>
      <c r="I16" s="23">
        <v>3</v>
      </c>
      <c r="J16" s="23">
        <v>3</v>
      </c>
      <c r="K16" s="23">
        <v>3</v>
      </c>
      <c r="L16" s="25">
        <v>3</v>
      </c>
      <c r="M16" s="1"/>
      <c r="O16" s="138" t="s">
        <v>209</v>
      </c>
      <c r="T16" s="1"/>
      <c r="V16" t="s">
        <v>368</v>
      </c>
      <c r="X16">
        <f t="shared" ref="X16:Y16" si="0">STDEV(X9:X11)</f>
        <v>1.5275252316519465</v>
      </c>
      <c r="Y16">
        <f t="shared" si="0"/>
        <v>1.7320508075688772</v>
      </c>
    </row>
    <row r="17" spans="1:20" x14ac:dyDescent="0.2">
      <c r="A17" s="138" t="s">
        <v>127</v>
      </c>
      <c r="D17" s="1"/>
      <c r="E17" s="1"/>
      <c r="F17" s="1"/>
      <c r="G17" s="1"/>
      <c r="H17" s="1" t="s">
        <v>200</v>
      </c>
      <c r="I17" s="25">
        <v>3</v>
      </c>
      <c r="J17" s="25">
        <v>3</v>
      </c>
      <c r="K17" s="25">
        <v>3</v>
      </c>
      <c r="L17" s="154">
        <v>2</v>
      </c>
      <c r="M17" s="28"/>
      <c r="P17" s="177">
        <f>AVERAGE(P9:P12)</f>
        <v>3</v>
      </c>
      <c r="Q17" s="177">
        <f>AVERAGE(Q9:Q12)</f>
        <v>2.5</v>
      </c>
      <c r="R17" s="177">
        <f>AVERAGE(R9:R12)</f>
        <v>3</v>
      </c>
      <c r="S17" s="177">
        <f>AVERAGE(S9:S12)</f>
        <v>3</v>
      </c>
      <c r="T17" s="1"/>
    </row>
    <row r="18" spans="1:20" x14ac:dyDescent="0.2">
      <c r="A18" s="138" t="s">
        <v>129</v>
      </c>
      <c r="D18" s="1"/>
      <c r="E18" s="1"/>
      <c r="F18" s="1"/>
      <c r="G18" s="1"/>
      <c r="H18" s="1" t="s">
        <v>202</v>
      </c>
      <c r="I18" s="25">
        <v>3</v>
      </c>
      <c r="J18" s="25">
        <v>3</v>
      </c>
      <c r="K18" s="25">
        <v>3</v>
      </c>
      <c r="L18" s="154">
        <v>2</v>
      </c>
      <c r="M18" s="28"/>
      <c r="P18">
        <v>3</v>
      </c>
      <c r="Q18">
        <v>3</v>
      </c>
      <c r="R18">
        <v>3</v>
      </c>
      <c r="S18">
        <v>3</v>
      </c>
      <c r="T18" s="1"/>
    </row>
    <row r="19" spans="1:20" x14ac:dyDescent="0.2">
      <c r="B19" s="109">
        <f>AVERAGE(B9:B16)</f>
        <v>3</v>
      </c>
      <c r="C19" s="109">
        <f>AVERAGE(C9:C16)</f>
        <v>1.875</v>
      </c>
      <c r="D19" s="109">
        <f>AVERAGE(D9:D16)</f>
        <v>2</v>
      </c>
      <c r="E19" s="109">
        <f>AVERAGE(E9:E16)</f>
        <v>2</v>
      </c>
      <c r="F19" s="1"/>
      <c r="H19" s="1" t="s">
        <v>204</v>
      </c>
      <c r="I19" s="25">
        <v>3</v>
      </c>
      <c r="J19" s="154">
        <v>2</v>
      </c>
      <c r="K19" s="25">
        <v>3</v>
      </c>
      <c r="L19" s="25">
        <v>3</v>
      </c>
      <c r="M19" s="28"/>
      <c r="O19" s="138" t="s">
        <v>368</v>
      </c>
      <c r="Q19">
        <f t="shared" ref="Q19" si="1">STDEV(Q9:Q12)</f>
        <v>0.57735026918962573</v>
      </c>
    </row>
    <row r="20" spans="1:20" x14ac:dyDescent="0.2">
      <c r="B20">
        <v>2</v>
      </c>
      <c r="C20">
        <v>2</v>
      </c>
      <c r="D20">
        <v>2</v>
      </c>
      <c r="E20">
        <v>2</v>
      </c>
      <c r="F20" s="1"/>
      <c r="M20" s="1"/>
    </row>
    <row r="21" spans="1:20" x14ac:dyDescent="0.2">
      <c r="A21" t="s">
        <v>366</v>
      </c>
      <c r="C21">
        <f t="shared" ref="C21:E21" si="2">STDEV(C9:C16)</f>
        <v>1.1259916264596033</v>
      </c>
      <c r="D21">
        <f t="shared" si="2"/>
        <v>1.1952286093343936</v>
      </c>
      <c r="E21">
        <f t="shared" si="2"/>
        <v>1.4142135623730951</v>
      </c>
      <c r="I21" s="23">
        <f>AVERAGE(I9:I19)</f>
        <v>3</v>
      </c>
      <c r="J21" s="23">
        <f>AVERAGE(J9:J19)</f>
        <v>2.5454545454545454</v>
      </c>
      <c r="K21" s="23">
        <f>AVERAGE(K9:K19)</f>
        <v>2.8181818181818183</v>
      </c>
      <c r="L21" s="23">
        <f>AVERAGE(L9:L19)</f>
        <v>2.8181818181818183</v>
      </c>
      <c r="M21" s="1"/>
    </row>
    <row r="22" spans="1:20" x14ac:dyDescent="0.2">
      <c r="I22" s="25">
        <v>3</v>
      </c>
      <c r="J22" s="1">
        <v>3</v>
      </c>
      <c r="K22" s="25">
        <v>3</v>
      </c>
      <c r="L22" s="28">
        <v>3</v>
      </c>
      <c r="M22" s="1"/>
    </row>
    <row r="23" spans="1:20" x14ac:dyDescent="0.2">
      <c r="I23" s="1"/>
      <c r="J23" s="1"/>
      <c r="K23" s="1"/>
      <c r="L23" s="28"/>
      <c r="M23" s="1"/>
    </row>
    <row r="24" spans="1:20" x14ac:dyDescent="0.2">
      <c r="B24" s="101">
        <v>0</v>
      </c>
      <c r="C24">
        <f>AVERAGE(B24:B31)</f>
        <v>69.6875</v>
      </c>
      <c r="D24">
        <f>AVERAGE([1]Typologies!$AN$5,[1]Typologies!$AN$9,[1]Typologies!$AN$23,[1]Typologies!$AN$24,[1]Typologies!$AN$26,[1]Typologies!$AN$29:$AN$31)</f>
        <v>48.125</v>
      </c>
      <c r="H24" t="s">
        <v>368</v>
      </c>
      <c r="J24">
        <f t="shared" ref="J24:L24" si="3">STDEV(J9:J19)</f>
        <v>0.68755165095232906</v>
      </c>
      <c r="K24">
        <f t="shared" si="3"/>
        <v>0.40451991747794575</v>
      </c>
      <c r="L24">
        <f t="shared" si="3"/>
        <v>0.40451991747794575</v>
      </c>
      <c r="M24" s="1"/>
    </row>
    <row r="25" spans="1:20" x14ac:dyDescent="0.2">
      <c r="B25" s="101">
        <v>0</v>
      </c>
    </row>
    <row r="26" spans="1:20" x14ac:dyDescent="0.2">
      <c r="B26" s="101">
        <v>200</v>
      </c>
    </row>
    <row r="27" spans="1:20" x14ac:dyDescent="0.2">
      <c r="B27" s="101">
        <v>0</v>
      </c>
    </row>
    <row r="28" spans="1:20" x14ac:dyDescent="0.2">
      <c r="B28" s="101">
        <v>57.5</v>
      </c>
    </row>
    <row r="29" spans="1:20" x14ac:dyDescent="0.2">
      <c r="B29" s="101">
        <v>133.33333333333334</v>
      </c>
    </row>
    <row r="30" spans="1:20" x14ac:dyDescent="0.2">
      <c r="B30" s="101">
        <v>166.66666666666669</v>
      </c>
    </row>
    <row r="31" spans="1:20" x14ac:dyDescent="0.2">
      <c r="B31" s="101">
        <v>0</v>
      </c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workbookViewId="0">
      <selection activeCell="M7" sqref="M7"/>
    </sheetView>
  </sheetViews>
  <sheetFormatPr baseColWidth="10" defaultRowHeight="16" x14ac:dyDescent="0.2"/>
  <cols>
    <col min="1" max="3" width="10.83203125" style="101"/>
  </cols>
  <sheetData>
    <row r="1" spans="1:13" x14ac:dyDescent="0.2">
      <c r="B1" s="187" t="s">
        <v>166</v>
      </c>
      <c r="C1" s="101" t="s">
        <v>167</v>
      </c>
      <c r="F1" t="s">
        <v>377</v>
      </c>
      <c r="G1" t="s">
        <v>325</v>
      </c>
      <c r="L1" t="s">
        <v>378</v>
      </c>
      <c r="M1" t="s">
        <v>328</v>
      </c>
    </row>
    <row r="2" spans="1:13" x14ac:dyDescent="0.2">
      <c r="A2" s="101" t="s">
        <v>185</v>
      </c>
      <c r="B2" s="101">
        <v>0</v>
      </c>
      <c r="C2" s="101">
        <f>0</f>
        <v>0</v>
      </c>
      <c r="G2">
        <f>AVERAGE(B2,B6,B25,B32,B33,B35,B37,B38:B41)</f>
        <v>6.4873737373737379</v>
      </c>
      <c r="M2">
        <f>AVERAGE(C3,C21,C22,C35)</f>
        <v>0</v>
      </c>
    </row>
    <row r="3" spans="1:13" x14ac:dyDescent="0.2">
      <c r="A3" s="101" t="s">
        <v>205</v>
      </c>
      <c r="B3" s="101">
        <v>35</v>
      </c>
      <c r="C3" s="101">
        <f>0</f>
        <v>0</v>
      </c>
      <c r="M3" t="s">
        <v>379</v>
      </c>
    </row>
    <row r="4" spans="1:13" x14ac:dyDescent="0.2">
      <c r="A4" s="101" t="s">
        <v>212</v>
      </c>
      <c r="B4" s="101">
        <v>30</v>
      </c>
      <c r="C4" s="101">
        <f>0</f>
        <v>0</v>
      </c>
      <c r="G4" t="s">
        <v>328</v>
      </c>
      <c r="M4">
        <f>AVERAGE(C5,C9,C23,C24,C26,C29,C30,C31)</f>
        <v>48.125</v>
      </c>
    </row>
    <row r="5" spans="1:13" x14ac:dyDescent="0.2">
      <c r="A5" s="101" t="s">
        <v>114</v>
      </c>
      <c r="B5" s="101">
        <v>0</v>
      </c>
      <c r="C5" s="101">
        <f>0</f>
        <v>0</v>
      </c>
      <c r="G5">
        <f>AVERAGE(B3,B21,B22,B35)</f>
        <v>8.8125</v>
      </c>
      <c r="I5" t="s">
        <v>325</v>
      </c>
      <c r="J5" t="s">
        <v>379</v>
      </c>
      <c r="K5" t="s">
        <v>328</v>
      </c>
      <c r="L5" t="s">
        <v>329</v>
      </c>
      <c r="M5" t="s">
        <v>329</v>
      </c>
    </row>
    <row r="6" spans="1:13" x14ac:dyDescent="0.2">
      <c r="A6" s="101" t="s">
        <v>187</v>
      </c>
      <c r="B6" s="101">
        <f>1*4/0.1</f>
        <v>40</v>
      </c>
      <c r="C6" s="101">
        <f>4/0.1</f>
        <v>40</v>
      </c>
      <c r="I6" s="1" t="s">
        <v>185</v>
      </c>
      <c r="J6" t="s">
        <v>114</v>
      </c>
      <c r="K6" s="1" t="s">
        <v>205</v>
      </c>
      <c r="L6" t="s">
        <v>212</v>
      </c>
      <c r="M6">
        <f>AVERAGE(C4,C19,C27)</f>
        <v>20</v>
      </c>
    </row>
    <row r="7" spans="1:13" x14ac:dyDescent="0.2">
      <c r="A7" s="101" t="s">
        <v>374</v>
      </c>
      <c r="B7" s="101">
        <v>0</v>
      </c>
      <c r="C7" s="101">
        <v>0</v>
      </c>
      <c r="G7" t="s">
        <v>329</v>
      </c>
      <c r="I7" s="1" t="s">
        <v>187</v>
      </c>
      <c r="J7" t="s">
        <v>123</v>
      </c>
      <c r="K7" s="1" t="s">
        <v>210</v>
      </c>
      <c r="L7" t="s">
        <v>215</v>
      </c>
    </row>
    <row r="8" spans="1:13" x14ac:dyDescent="0.2">
      <c r="A8" s="101" t="s">
        <v>206</v>
      </c>
      <c r="B8" s="101" t="s">
        <v>128</v>
      </c>
      <c r="C8" s="101" t="s">
        <v>128</v>
      </c>
      <c r="G8">
        <f>AVERAGE(B4,B19,B27)</f>
        <v>76.666666666666671</v>
      </c>
      <c r="I8" s="1" t="s">
        <v>192</v>
      </c>
      <c r="J8" t="s">
        <v>130</v>
      </c>
      <c r="K8" t="s">
        <v>211</v>
      </c>
      <c r="L8" t="s">
        <v>219</v>
      </c>
    </row>
    <row r="9" spans="1:13" x14ac:dyDescent="0.2">
      <c r="A9" s="101" t="s">
        <v>123</v>
      </c>
      <c r="B9" s="101">
        <v>0</v>
      </c>
      <c r="C9" s="101">
        <v>0</v>
      </c>
      <c r="I9" s="1" t="s">
        <v>193</v>
      </c>
      <c r="J9" t="s">
        <v>132</v>
      </c>
      <c r="K9" t="s">
        <v>196</v>
      </c>
    </row>
    <row r="10" spans="1:13" x14ac:dyDescent="0.2">
      <c r="A10" s="101" t="s">
        <v>213</v>
      </c>
      <c r="B10" s="101">
        <v>0</v>
      </c>
      <c r="C10" s="101">
        <v>0</v>
      </c>
      <c r="I10" s="1" t="s">
        <v>195</v>
      </c>
      <c r="J10" t="s">
        <v>134</v>
      </c>
    </row>
    <row r="11" spans="1:13" x14ac:dyDescent="0.2">
      <c r="A11" s="101" t="s">
        <v>207</v>
      </c>
      <c r="B11" s="101" t="s">
        <v>128</v>
      </c>
      <c r="C11" s="101" t="s">
        <v>128</v>
      </c>
      <c r="I11" s="1" t="s">
        <v>196</v>
      </c>
      <c r="J11" t="s">
        <v>137</v>
      </c>
    </row>
    <row r="12" spans="1:13" x14ac:dyDescent="0.2">
      <c r="A12" s="101" t="s">
        <v>375</v>
      </c>
      <c r="B12" s="101" t="s">
        <v>128</v>
      </c>
      <c r="C12" s="101" t="s">
        <v>128</v>
      </c>
      <c r="I12" s="1" t="s">
        <v>198</v>
      </c>
      <c r="J12" t="s">
        <v>142</v>
      </c>
    </row>
    <row r="13" spans="1:13" x14ac:dyDescent="0.2">
      <c r="A13" s="101" t="s">
        <v>208</v>
      </c>
      <c r="B13" s="101" t="s">
        <v>128</v>
      </c>
      <c r="C13" s="101" t="s">
        <v>128</v>
      </c>
      <c r="I13" s="1" t="s">
        <v>199</v>
      </c>
      <c r="J13" t="s">
        <v>144</v>
      </c>
    </row>
    <row r="14" spans="1:13" x14ac:dyDescent="0.2">
      <c r="A14" s="101" t="s">
        <v>188</v>
      </c>
      <c r="B14" s="101" t="s">
        <v>128</v>
      </c>
      <c r="C14" s="101" t="s">
        <v>128</v>
      </c>
      <c r="I14" s="1" t="s">
        <v>200</v>
      </c>
    </row>
    <row r="15" spans="1:13" x14ac:dyDescent="0.2">
      <c r="A15" s="101" t="s">
        <v>209</v>
      </c>
      <c r="B15" s="101" t="s">
        <v>128</v>
      </c>
      <c r="C15" s="101" t="s">
        <v>128</v>
      </c>
      <c r="I15" s="1" t="s">
        <v>202</v>
      </c>
    </row>
    <row r="16" spans="1:13" x14ac:dyDescent="0.2">
      <c r="A16" s="101" t="s">
        <v>127</v>
      </c>
      <c r="B16" s="101" t="s">
        <v>128</v>
      </c>
      <c r="C16" s="101" t="s">
        <v>128</v>
      </c>
      <c r="I16" s="1" t="s">
        <v>204</v>
      </c>
    </row>
    <row r="17" spans="1:3" x14ac:dyDescent="0.2">
      <c r="A17" s="101" t="s">
        <v>189</v>
      </c>
      <c r="B17" s="101">
        <v>0</v>
      </c>
      <c r="C17" s="101">
        <v>0</v>
      </c>
    </row>
    <row r="18" spans="1:3" x14ac:dyDescent="0.2">
      <c r="A18" s="101" t="s">
        <v>129</v>
      </c>
      <c r="B18" s="101" t="s">
        <v>128</v>
      </c>
      <c r="C18" s="101" t="s">
        <v>128</v>
      </c>
    </row>
    <row r="19" spans="1:3" x14ac:dyDescent="0.2">
      <c r="A19" s="101" t="s">
        <v>215</v>
      </c>
      <c r="B19" s="101">
        <v>0</v>
      </c>
      <c r="C19" s="101">
        <v>0</v>
      </c>
    </row>
    <row r="20" spans="1:3" x14ac:dyDescent="0.2">
      <c r="A20" s="101" t="s">
        <v>191</v>
      </c>
      <c r="B20" s="101" t="s">
        <v>128</v>
      </c>
      <c r="C20" s="101" t="s">
        <v>128</v>
      </c>
    </row>
    <row r="21" spans="1:3" x14ac:dyDescent="0.2">
      <c r="A21" s="101" t="s">
        <v>210</v>
      </c>
      <c r="B21" s="101">
        <v>0</v>
      </c>
      <c r="C21" s="101">
        <v>0</v>
      </c>
    </row>
    <row r="22" spans="1:3" x14ac:dyDescent="0.2">
      <c r="A22" s="101" t="s">
        <v>211</v>
      </c>
      <c r="B22" s="101">
        <v>0</v>
      </c>
      <c r="C22" s="101">
        <v>0</v>
      </c>
    </row>
    <row r="23" spans="1:3" x14ac:dyDescent="0.2">
      <c r="A23" s="101" t="s">
        <v>130</v>
      </c>
      <c r="B23" s="101">
        <f>10/0.05</f>
        <v>200</v>
      </c>
      <c r="C23" s="101">
        <f>3/0.05</f>
        <v>60</v>
      </c>
    </row>
    <row r="24" spans="1:3" x14ac:dyDescent="0.2">
      <c r="A24" s="101" t="s">
        <v>132</v>
      </c>
      <c r="B24" s="101">
        <v>0</v>
      </c>
      <c r="C24" s="101">
        <v>0</v>
      </c>
    </row>
    <row r="25" spans="1:3" x14ac:dyDescent="0.2">
      <c r="A25" s="101" t="s">
        <v>192</v>
      </c>
      <c r="B25" s="101">
        <f>5/0.25</f>
        <v>20</v>
      </c>
      <c r="C25" s="101">
        <f>1.5/0.25</f>
        <v>6</v>
      </c>
    </row>
    <row r="26" spans="1:3" x14ac:dyDescent="0.2">
      <c r="A26" s="101" t="s">
        <v>134</v>
      </c>
      <c r="B26" s="101">
        <f>(20/0.4)+(3/0.4)</f>
        <v>57.5</v>
      </c>
      <c r="C26" s="101">
        <f>10/0.4</f>
        <v>25</v>
      </c>
    </row>
    <row r="27" spans="1:3" x14ac:dyDescent="0.2">
      <c r="A27" s="101" t="s">
        <v>219</v>
      </c>
      <c r="B27" s="101">
        <v>200</v>
      </c>
      <c r="C27" s="101">
        <f>60</f>
        <v>60</v>
      </c>
    </row>
    <row r="28" spans="1:3" x14ac:dyDescent="0.2">
      <c r="A28" s="101" t="s">
        <v>136</v>
      </c>
      <c r="B28" s="101" t="s">
        <v>128</v>
      </c>
      <c r="C28" s="101" t="s">
        <v>128</v>
      </c>
    </row>
    <row r="29" spans="1:3" x14ac:dyDescent="0.2">
      <c r="A29" s="101" t="s">
        <v>137</v>
      </c>
      <c r="B29" s="101">
        <f>40/0.3</f>
        <v>133.33333333333334</v>
      </c>
      <c r="C29" s="101">
        <f>40/0.3</f>
        <v>133.33333333333334</v>
      </c>
    </row>
    <row r="30" spans="1:3" x14ac:dyDescent="0.2">
      <c r="A30" s="101" t="s">
        <v>142</v>
      </c>
      <c r="B30" s="101">
        <f>50/0.3</f>
        <v>166.66666666666669</v>
      </c>
      <c r="C30" s="101">
        <f>50/0.3</f>
        <v>166.66666666666669</v>
      </c>
    </row>
    <row r="31" spans="1:3" x14ac:dyDescent="0.2">
      <c r="A31" s="101" t="s">
        <v>144</v>
      </c>
      <c r="B31" s="101">
        <v>0</v>
      </c>
      <c r="C31" s="101">
        <v>0</v>
      </c>
    </row>
    <row r="32" spans="1:3" x14ac:dyDescent="0.2">
      <c r="A32" s="101" t="s">
        <v>193</v>
      </c>
      <c r="B32" s="101">
        <v>0</v>
      </c>
      <c r="C32" s="101">
        <v>0</v>
      </c>
    </row>
    <row r="33" spans="1:3" x14ac:dyDescent="0.2">
      <c r="A33" s="101" t="s">
        <v>195</v>
      </c>
      <c r="B33" s="101">
        <v>0</v>
      </c>
      <c r="C33" s="101">
        <v>0</v>
      </c>
    </row>
    <row r="34" spans="1:3" x14ac:dyDescent="0.2">
      <c r="A34" s="101" t="s">
        <v>243</v>
      </c>
      <c r="B34" s="101">
        <v>0</v>
      </c>
      <c r="C34" s="101">
        <v>0</v>
      </c>
    </row>
    <row r="35" spans="1:3" x14ac:dyDescent="0.2">
      <c r="A35" s="101" t="s">
        <v>196</v>
      </c>
      <c r="B35" s="101">
        <f>2.5/10</f>
        <v>0.25</v>
      </c>
      <c r="C35" s="101">
        <v>0</v>
      </c>
    </row>
    <row r="36" spans="1:3" x14ac:dyDescent="0.2">
      <c r="A36" s="101" t="s">
        <v>376</v>
      </c>
      <c r="B36" s="101">
        <v>0</v>
      </c>
      <c r="C36" s="101">
        <v>0</v>
      </c>
    </row>
    <row r="37" spans="1:3" x14ac:dyDescent="0.2">
      <c r="A37" s="101" t="s">
        <v>198</v>
      </c>
      <c r="B37" s="101">
        <v>0</v>
      </c>
      <c r="C37" s="101">
        <v>0</v>
      </c>
    </row>
    <row r="38" spans="1:3" x14ac:dyDescent="0.2">
      <c r="A38" s="101" t="s">
        <v>199</v>
      </c>
      <c r="B38" s="101">
        <v>0</v>
      </c>
      <c r="C38" s="101">
        <v>0</v>
      </c>
    </row>
    <row r="39" spans="1:3" x14ac:dyDescent="0.2">
      <c r="A39" s="101" t="s">
        <v>200</v>
      </c>
      <c r="B39" s="101">
        <v>0</v>
      </c>
      <c r="C39" s="101">
        <v>0</v>
      </c>
    </row>
    <row r="40" spans="1:3" x14ac:dyDescent="0.2">
      <c r="A40" s="101" t="s">
        <v>202</v>
      </c>
      <c r="B40" s="188">
        <v>0</v>
      </c>
      <c r="C40" s="101">
        <v>0</v>
      </c>
    </row>
    <row r="41" spans="1:3" x14ac:dyDescent="0.2">
      <c r="A41" s="101" t="s">
        <v>204</v>
      </c>
      <c r="B41" s="101">
        <f>50/4.5</f>
        <v>11.111111111111111</v>
      </c>
      <c r="C41" s="101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zoomScale="140" zoomScaleNormal="140" zoomScalePageLayoutView="140" workbookViewId="0">
      <selection activeCell="B1" sqref="B1:E1"/>
    </sheetView>
  </sheetViews>
  <sheetFormatPr baseColWidth="10" defaultRowHeight="16" x14ac:dyDescent="0.2"/>
  <sheetData>
    <row r="1" spans="1:6" x14ac:dyDescent="0.2">
      <c r="B1" t="s">
        <v>361</v>
      </c>
      <c r="C1" t="s">
        <v>362</v>
      </c>
      <c r="D1" t="s">
        <v>363</v>
      </c>
      <c r="E1" t="s">
        <v>316</v>
      </c>
    </row>
    <row r="2" spans="1:6" x14ac:dyDescent="0.2">
      <c r="B2" s="1"/>
      <c r="C2" s="1"/>
      <c r="D2" s="1"/>
      <c r="E2" s="28"/>
      <c r="F2" s="1"/>
    </row>
    <row r="3" spans="1:6" x14ac:dyDescent="0.2">
      <c r="A3" t="s">
        <v>355</v>
      </c>
      <c r="B3" s="28">
        <f>3</f>
        <v>3</v>
      </c>
      <c r="C3" s="1">
        <f>2.545454545</f>
        <v>2.5454545450000001</v>
      </c>
      <c r="D3" s="176">
        <f>2.818181818</f>
        <v>2.8181818179999998</v>
      </c>
      <c r="E3" s="23">
        <f>2.818181818</f>
        <v>2.8181818179999998</v>
      </c>
      <c r="F3" s="1"/>
    </row>
    <row r="4" spans="1:6" x14ac:dyDescent="0.2">
      <c r="A4" t="s">
        <v>327</v>
      </c>
      <c r="B4" s="109">
        <f>'perf env typo'!B19</f>
        <v>3</v>
      </c>
      <c r="C4" s="109">
        <f>'perf env typo'!C19</f>
        <v>1.875</v>
      </c>
      <c r="D4" s="109">
        <f>'perf env typo'!D19</f>
        <v>2</v>
      </c>
      <c r="E4" s="109">
        <f>'perf env typo'!E19</f>
        <v>2</v>
      </c>
      <c r="F4" s="1"/>
    </row>
    <row r="5" spans="1:6" x14ac:dyDescent="0.2">
      <c r="A5" t="s">
        <v>356</v>
      </c>
      <c r="B5" s="1">
        <f>3</f>
        <v>3</v>
      </c>
      <c r="C5" s="1">
        <f>2.5</f>
        <v>2.5</v>
      </c>
      <c r="D5" s="1">
        <f>3</f>
        <v>3</v>
      </c>
      <c r="E5" s="1">
        <f>3</f>
        <v>3</v>
      </c>
      <c r="F5" s="1"/>
    </row>
    <row r="6" spans="1:6" x14ac:dyDescent="0.2">
      <c r="A6" t="s">
        <v>357</v>
      </c>
      <c r="B6" s="1">
        <f>3</f>
        <v>3</v>
      </c>
      <c r="C6" s="1">
        <f>1.666666667</f>
        <v>1.6666666670000001</v>
      </c>
      <c r="D6" s="1">
        <f>2</f>
        <v>2</v>
      </c>
      <c r="E6" s="1">
        <f>3</f>
        <v>3</v>
      </c>
      <c r="F6" s="1"/>
    </row>
  </sheetData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workbookViewId="0">
      <selection activeCell="E20" sqref="E20"/>
    </sheetView>
  </sheetViews>
  <sheetFormatPr baseColWidth="10" defaultRowHeight="16" x14ac:dyDescent="0.2"/>
  <sheetData>
    <row r="1" spans="1:13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22</v>
      </c>
      <c r="M1" s="1" t="s">
        <v>104</v>
      </c>
    </row>
    <row r="2" spans="1:13" x14ac:dyDescent="0.2">
      <c r="A2" s="1" t="s">
        <v>45</v>
      </c>
      <c r="B2" s="1" t="s">
        <v>24</v>
      </c>
      <c r="C2" s="1" t="s">
        <v>41</v>
      </c>
      <c r="D2" s="1" t="s">
        <v>31</v>
      </c>
      <c r="E2" s="1" t="s">
        <v>37</v>
      </c>
      <c r="F2" s="1" t="s">
        <v>23</v>
      </c>
      <c r="G2" s="1" t="s">
        <v>11</v>
      </c>
      <c r="H2" s="1" t="s">
        <v>35</v>
      </c>
      <c r="I2" s="1" t="s">
        <v>39</v>
      </c>
      <c r="J2" s="1">
        <f>0</f>
        <v>0</v>
      </c>
      <c r="K2" s="1" t="s">
        <v>12</v>
      </c>
      <c r="L2" s="27" t="s">
        <v>26</v>
      </c>
      <c r="M2" s="1" t="s">
        <v>24</v>
      </c>
    </row>
    <row r="3" spans="1:13" x14ac:dyDescent="0.2">
      <c r="A3" s="1" t="s">
        <v>45</v>
      </c>
      <c r="B3" s="1" t="s">
        <v>24</v>
      </c>
      <c r="C3" s="28" t="s">
        <v>41</v>
      </c>
      <c r="D3" s="1" t="s">
        <v>31</v>
      </c>
      <c r="E3" s="1" t="s">
        <v>36</v>
      </c>
      <c r="F3" s="1" t="s">
        <v>23</v>
      </c>
      <c r="G3" s="1" t="s">
        <v>11</v>
      </c>
      <c r="H3" s="1" t="s">
        <v>13</v>
      </c>
      <c r="I3" s="1" t="s">
        <v>29</v>
      </c>
      <c r="J3" s="1">
        <f>0</f>
        <v>0</v>
      </c>
      <c r="K3" s="1" t="s">
        <v>12</v>
      </c>
      <c r="L3" s="27" t="s">
        <v>26</v>
      </c>
      <c r="M3" s="1" t="s">
        <v>24</v>
      </c>
    </row>
    <row r="4" spans="1:13" x14ac:dyDescent="0.2">
      <c r="A4" s="28" t="s">
        <v>45</v>
      </c>
      <c r="B4" s="1" t="s">
        <v>24</v>
      </c>
      <c r="C4" s="28" t="s">
        <v>41</v>
      </c>
      <c r="D4" s="1" t="s">
        <v>31</v>
      </c>
      <c r="E4" s="1" t="s">
        <v>36</v>
      </c>
      <c r="F4" s="1" t="s">
        <v>24</v>
      </c>
      <c r="G4" s="1" t="s">
        <v>11</v>
      </c>
      <c r="H4" s="1" t="s">
        <v>14</v>
      </c>
      <c r="I4" s="1" t="s">
        <v>29</v>
      </c>
      <c r="J4" s="1">
        <f>0</f>
        <v>0</v>
      </c>
      <c r="K4" s="1" t="s">
        <v>15</v>
      </c>
      <c r="L4" s="29" t="s">
        <v>26</v>
      </c>
      <c r="M4" s="1" t="s">
        <v>24</v>
      </c>
    </row>
    <row r="5" spans="1:13" x14ac:dyDescent="0.2">
      <c r="A5" s="1" t="s">
        <v>44</v>
      </c>
      <c r="B5" s="1" t="s">
        <v>34</v>
      </c>
      <c r="C5" s="1" t="s">
        <v>40</v>
      </c>
      <c r="D5" s="28" t="s">
        <v>31</v>
      </c>
      <c r="E5" s="1" t="s">
        <v>37</v>
      </c>
      <c r="F5" s="1" t="s">
        <v>23</v>
      </c>
      <c r="G5" s="1" t="s">
        <v>11</v>
      </c>
      <c r="H5" s="1" t="s">
        <v>16</v>
      </c>
      <c r="I5" s="28" t="s">
        <v>39</v>
      </c>
      <c r="J5" s="1">
        <f>0.726458214</f>
        <v>0.72645821399999999</v>
      </c>
      <c r="K5" s="1" t="s">
        <v>17</v>
      </c>
      <c r="L5" s="1" t="s">
        <v>25</v>
      </c>
      <c r="M5" s="1" t="s">
        <v>34</v>
      </c>
    </row>
    <row r="6" spans="1:13" x14ac:dyDescent="0.2">
      <c r="A6" s="1" t="s">
        <v>43</v>
      </c>
      <c r="B6" s="1" t="s">
        <v>24</v>
      </c>
      <c r="C6" s="1" t="s">
        <v>40</v>
      </c>
      <c r="D6" s="1" t="s">
        <v>32</v>
      </c>
      <c r="E6" s="1" t="s">
        <v>36</v>
      </c>
      <c r="F6" s="1" t="s">
        <v>23</v>
      </c>
      <c r="G6" s="1" t="s">
        <v>11</v>
      </c>
      <c r="H6" s="1" t="s">
        <v>16</v>
      </c>
      <c r="I6" s="53" t="s">
        <v>30</v>
      </c>
      <c r="J6" s="1">
        <f>0</f>
        <v>0</v>
      </c>
      <c r="K6" s="1" t="s">
        <v>12</v>
      </c>
      <c r="L6" s="113" t="s">
        <v>26</v>
      </c>
      <c r="M6" s="1" t="s">
        <v>24</v>
      </c>
    </row>
    <row r="7" spans="1:13" x14ac:dyDescent="0.2">
      <c r="A7" s="1" t="s">
        <v>43</v>
      </c>
      <c r="B7" s="1" t="s">
        <v>24</v>
      </c>
      <c r="C7" s="1" t="s">
        <v>40</v>
      </c>
      <c r="D7" s="28" t="s">
        <v>31</v>
      </c>
      <c r="E7" s="1" t="s">
        <v>36</v>
      </c>
      <c r="F7" s="1" t="s">
        <v>23</v>
      </c>
      <c r="G7" s="27" t="s">
        <v>11</v>
      </c>
      <c r="H7" s="1" t="s">
        <v>14</v>
      </c>
      <c r="I7" s="53" t="s">
        <v>30</v>
      </c>
      <c r="J7" s="1">
        <f>0.557983818</f>
        <v>0.55798381799999996</v>
      </c>
      <c r="K7" s="1" t="s">
        <v>12</v>
      </c>
      <c r="L7" s="1" t="s">
        <v>27</v>
      </c>
      <c r="M7" s="1" t="s">
        <v>34</v>
      </c>
    </row>
    <row r="8" spans="1:13" x14ac:dyDescent="0.2">
      <c r="A8" s="1" t="s">
        <v>45</v>
      </c>
      <c r="B8" s="1" t="s">
        <v>24</v>
      </c>
      <c r="C8" s="28" t="s">
        <v>41</v>
      </c>
      <c r="D8" s="28" t="s">
        <v>31</v>
      </c>
      <c r="E8" s="1" t="s">
        <v>36</v>
      </c>
      <c r="F8" s="1" t="s">
        <v>23</v>
      </c>
      <c r="G8" s="1" t="s">
        <v>11</v>
      </c>
      <c r="H8" s="1" t="s">
        <v>16</v>
      </c>
      <c r="I8" s="1" t="s">
        <v>28</v>
      </c>
      <c r="J8" s="1">
        <f>0</f>
        <v>0</v>
      </c>
      <c r="K8" s="1" t="s">
        <v>17</v>
      </c>
      <c r="L8" s="29" t="s">
        <v>26</v>
      </c>
      <c r="M8" s="1" t="s">
        <v>24</v>
      </c>
    </row>
    <row r="9" spans="1:13" x14ac:dyDescent="0.2">
      <c r="A9" s="28" t="s">
        <v>44</v>
      </c>
      <c r="B9" s="28" t="s">
        <v>34</v>
      </c>
      <c r="C9" s="28" t="s">
        <v>41</v>
      </c>
      <c r="D9" s="28" t="s">
        <v>31</v>
      </c>
      <c r="E9" s="1" t="s">
        <v>36</v>
      </c>
      <c r="F9" s="1" t="s">
        <v>23</v>
      </c>
      <c r="G9" s="1" t="s">
        <v>11</v>
      </c>
      <c r="H9" s="1" t="s">
        <v>16</v>
      </c>
      <c r="I9" s="28" t="s">
        <v>39</v>
      </c>
      <c r="J9" s="1">
        <f>0</f>
        <v>0</v>
      </c>
      <c r="K9" s="1" t="s">
        <v>15</v>
      </c>
      <c r="L9" s="114" t="s">
        <v>25</v>
      </c>
      <c r="M9" s="1" t="s">
        <v>24</v>
      </c>
    </row>
    <row r="10" spans="1:13" x14ac:dyDescent="0.2">
      <c r="A10" s="1" t="s">
        <v>45</v>
      </c>
      <c r="B10" s="1" t="s">
        <v>24</v>
      </c>
      <c r="C10" s="28" t="s">
        <v>41</v>
      </c>
      <c r="D10" s="1" t="s">
        <v>33</v>
      </c>
      <c r="E10" s="1" t="s">
        <v>36</v>
      </c>
      <c r="F10" s="1" t="s">
        <v>23</v>
      </c>
      <c r="G10" s="1" t="s">
        <v>11</v>
      </c>
      <c r="H10" s="1" t="s">
        <v>14</v>
      </c>
      <c r="I10" s="28" t="s">
        <v>30</v>
      </c>
      <c r="J10" s="1">
        <f>0.118294353</f>
        <v>0.118294353</v>
      </c>
      <c r="K10" s="1" t="s">
        <v>15</v>
      </c>
      <c r="L10" s="29" t="s">
        <v>26</v>
      </c>
      <c r="M10" s="1" t="s">
        <v>24</v>
      </c>
    </row>
    <row r="11" spans="1:13" x14ac:dyDescent="0.2">
      <c r="A11" s="1" t="s">
        <v>44</v>
      </c>
      <c r="B11" s="28" t="s">
        <v>24</v>
      </c>
      <c r="C11" s="28" t="s">
        <v>41</v>
      </c>
      <c r="D11" s="28" t="s">
        <v>31</v>
      </c>
      <c r="E11" s="1" t="s">
        <v>36</v>
      </c>
      <c r="F11" s="1" t="s">
        <v>23</v>
      </c>
      <c r="G11" s="1" t="s">
        <v>11</v>
      </c>
      <c r="H11" s="1" t="s">
        <v>14</v>
      </c>
      <c r="I11" s="1" t="s">
        <v>28</v>
      </c>
      <c r="J11" s="1">
        <f>0</f>
        <v>0</v>
      </c>
      <c r="K11" s="1" t="s">
        <v>12</v>
      </c>
      <c r="L11" s="29" t="s">
        <v>26</v>
      </c>
      <c r="M11" s="1" t="s">
        <v>24</v>
      </c>
    </row>
    <row r="12" spans="1:13" x14ac:dyDescent="0.2">
      <c r="A12" s="1" t="s">
        <v>43</v>
      </c>
      <c r="B12" s="1" t="s">
        <v>24</v>
      </c>
      <c r="C12" s="1" t="s">
        <v>40</v>
      </c>
      <c r="D12" s="28" t="s">
        <v>31</v>
      </c>
      <c r="E12" s="28" t="s">
        <v>37</v>
      </c>
      <c r="F12" s="1" t="s">
        <v>23</v>
      </c>
      <c r="G12" s="1" t="s">
        <v>18</v>
      </c>
      <c r="H12" s="1" t="s">
        <v>13</v>
      </c>
      <c r="I12" s="28" t="s">
        <v>29</v>
      </c>
      <c r="J12" s="1">
        <f>0.935028137</f>
        <v>0.93502813699999998</v>
      </c>
      <c r="K12" s="1" t="s">
        <v>15</v>
      </c>
      <c r="L12" s="29" t="s">
        <v>26</v>
      </c>
      <c r="M12" s="1" t="s">
        <v>24</v>
      </c>
    </row>
    <row r="13" spans="1:13" x14ac:dyDescent="0.2">
      <c r="A13" s="1" t="s">
        <v>45</v>
      </c>
      <c r="B13" s="28" t="s">
        <v>34</v>
      </c>
      <c r="C13" s="28" t="s">
        <v>41</v>
      </c>
      <c r="D13" s="28" t="s">
        <v>31</v>
      </c>
      <c r="E13" s="1" t="s">
        <v>36</v>
      </c>
      <c r="F13" s="1" t="s">
        <v>24</v>
      </c>
      <c r="G13" s="1" t="s">
        <v>11</v>
      </c>
      <c r="H13" s="1" t="s">
        <v>13</v>
      </c>
      <c r="I13" s="1" t="s">
        <v>28</v>
      </c>
      <c r="J13" s="1">
        <f>0</f>
        <v>0</v>
      </c>
      <c r="K13" s="1" t="s">
        <v>12</v>
      </c>
      <c r="L13" s="1" t="s">
        <v>25</v>
      </c>
      <c r="M13" s="1" t="s">
        <v>24</v>
      </c>
    </row>
    <row r="14" spans="1:13" x14ac:dyDescent="0.2">
      <c r="A14" s="1" t="s">
        <v>45</v>
      </c>
      <c r="B14" s="1" t="s">
        <v>24</v>
      </c>
      <c r="C14" s="28" t="s">
        <v>41</v>
      </c>
      <c r="D14" s="1" t="s">
        <v>32</v>
      </c>
      <c r="E14" s="1" t="s">
        <v>36</v>
      </c>
      <c r="F14" s="1" t="s">
        <v>23</v>
      </c>
      <c r="G14" s="1" t="s">
        <v>11</v>
      </c>
      <c r="H14" s="1" t="s">
        <v>19</v>
      </c>
      <c r="I14" s="28" t="s">
        <v>39</v>
      </c>
      <c r="J14" s="1">
        <f>0</f>
        <v>0</v>
      </c>
      <c r="K14" s="1" t="s">
        <v>12</v>
      </c>
      <c r="L14" s="28" t="s">
        <v>25</v>
      </c>
      <c r="M14" s="1" t="s">
        <v>24</v>
      </c>
    </row>
    <row r="15" spans="1:13" x14ac:dyDescent="0.2">
      <c r="A15" s="1" t="s">
        <v>45</v>
      </c>
      <c r="B15" s="28" t="s">
        <v>34</v>
      </c>
      <c r="C15" s="28" t="s">
        <v>41</v>
      </c>
      <c r="D15" s="28" t="s">
        <v>31</v>
      </c>
      <c r="E15" s="28" t="s">
        <v>37</v>
      </c>
      <c r="F15" s="1" t="s">
        <v>23</v>
      </c>
      <c r="G15" s="1" t="s">
        <v>11</v>
      </c>
      <c r="H15" s="1" t="s">
        <v>14</v>
      </c>
      <c r="I15" s="28" t="s">
        <v>29</v>
      </c>
      <c r="J15" s="1">
        <f>0</f>
        <v>0</v>
      </c>
      <c r="K15" s="1" t="s">
        <v>17</v>
      </c>
      <c r="L15" s="114" t="s">
        <v>25</v>
      </c>
      <c r="M15" s="1" t="s">
        <v>34</v>
      </c>
    </row>
    <row r="16" spans="1:13" x14ac:dyDescent="0.2">
      <c r="A16" s="28" t="s">
        <v>43</v>
      </c>
      <c r="B16" s="1" t="s">
        <v>34</v>
      </c>
      <c r="C16" s="1" t="s">
        <v>40</v>
      </c>
      <c r="D16" s="28" t="s">
        <v>31</v>
      </c>
      <c r="E16" s="28" t="s">
        <v>37</v>
      </c>
      <c r="F16" s="1" t="s">
        <v>24</v>
      </c>
      <c r="G16" s="1" t="s">
        <v>11</v>
      </c>
      <c r="H16" s="1" t="s">
        <v>16</v>
      </c>
      <c r="I16" s="28" t="s">
        <v>39</v>
      </c>
      <c r="J16" s="1">
        <f>0.642742367</f>
        <v>0.64274236699999998</v>
      </c>
      <c r="K16" s="1" t="s">
        <v>12</v>
      </c>
      <c r="L16" s="28" t="s">
        <v>25</v>
      </c>
      <c r="M16" s="1" t="s">
        <v>24</v>
      </c>
    </row>
    <row r="17" spans="1:13" x14ac:dyDescent="0.2">
      <c r="A17" s="28" t="s">
        <v>45</v>
      </c>
      <c r="B17" s="28" t="s">
        <v>24</v>
      </c>
      <c r="C17" s="28" t="s">
        <v>41</v>
      </c>
      <c r="D17" s="1" t="s">
        <v>32</v>
      </c>
      <c r="E17" s="28" t="s">
        <v>37</v>
      </c>
      <c r="F17" s="1" t="s">
        <v>23</v>
      </c>
      <c r="G17" s="1" t="s">
        <v>11</v>
      </c>
      <c r="H17" s="1" t="s">
        <v>16</v>
      </c>
      <c r="I17" s="28" t="s">
        <v>39</v>
      </c>
      <c r="J17" s="1">
        <f>0</f>
        <v>0</v>
      </c>
      <c r="K17" s="1" t="s">
        <v>12</v>
      </c>
      <c r="L17" s="114" t="s">
        <v>25</v>
      </c>
      <c r="M17" s="1" t="s">
        <v>24</v>
      </c>
    </row>
    <row r="18" spans="1:13" x14ac:dyDescent="0.2">
      <c r="A18" s="28" t="s">
        <v>43</v>
      </c>
      <c r="B18" s="28" t="s">
        <v>34</v>
      </c>
      <c r="C18" s="28" t="s">
        <v>41</v>
      </c>
      <c r="D18" s="28" t="s">
        <v>31</v>
      </c>
      <c r="E18" s="1" t="s">
        <v>36</v>
      </c>
      <c r="F18" s="1" t="s">
        <v>24</v>
      </c>
      <c r="G18" s="1" t="s">
        <v>11</v>
      </c>
      <c r="H18" s="1" t="s">
        <v>16</v>
      </c>
      <c r="I18" s="28" t="s">
        <v>39</v>
      </c>
      <c r="J18" s="1">
        <f>0</f>
        <v>0</v>
      </c>
      <c r="K18" s="1" t="s">
        <v>12</v>
      </c>
      <c r="L18" s="29" t="s">
        <v>26</v>
      </c>
      <c r="M18" s="1" t="s">
        <v>34</v>
      </c>
    </row>
    <row r="19" spans="1:13" x14ac:dyDescent="0.2">
      <c r="A19" s="28" t="s">
        <v>44</v>
      </c>
      <c r="B19" s="28" t="s">
        <v>24</v>
      </c>
      <c r="C19" s="1" t="s">
        <v>40</v>
      </c>
      <c r="D19" s="1" t="s">
        <v>33</v>
      </c>
      <c r="E19" s="28" t="s">
        <v>36</v>
      </c>
      <c r="F19" s="1" t="s">
        <v>23</v>
      </c>
      <c r="G19" s="1" t="s">
        <v>11</v>
      </c>
      <c r="H19" s="1" t="s">
        <v>14</v>
      </c>
      <c r="I19" s="28" t="s">
        <v>39</v>
      </c>
      <c r="J19" s="1">
        <f>0.479284269</f>
        <v>0.47928426899999999</v>
      </c>
      <c r="K19" s="1" t="s">
        <v>15</v>
      </c>
      <c r="L19" s="10" t="s">
        <v>26</v>
      </c>
      <c r="M19" s="1" t="s">
        <v>24</v>
      </c>
    </row>
    <row r="20" spans="1:13" x14ac:dyDescent="0.2">
      <c r="A20" s="28" t="s">
        <v>45</v>
      </c>
      <c r="B20" s="1" t="s">
        <v>34</v>
      </c>
      <c r="C20" s="1" t="s">
        <v>40</v>
      </c>
      <c r="D20" s="28" t="s">
        <v>31</v>
      </c>
      <c r="E20" s="1" t="s">
        <v>36</v>
      </c>
      <c r="F20" s="1" t="s">
        <v>24</v>
      </c>
      <c r="G20" s="1" t="s">
        <v>11</v>
      </c>
      <c r="H20" s="1" t="s">
        <v>20</v>
      </c>
      <c r="I20" s="28" t="s">
        <v>29</v>
      </c>
      <c r="J20" s="1">
        <f>0</f>
        <v>0</v>
      </c>
      <c r="K20" s="1" t="s">
        <v>12</v>
      </c>
      <c r="L20" s="28" t="s">
        <v>26</v>
      </c>
      <c r="M20" s="1" t="s">
        <v>24</v>
      </c>
    </row>
    <row r="21" spans="1:13" x14ac:dyDescent="0.2">
      <c r="A21" s="1" t="s">
        <v>44</v>
      </c>
      <c r="B21" s="1" t="s">
        <v>34</v>
      </c>
      <c r="C21" s="28" t="s">
        <v>41</v>
      </c>
      <c r="D21" s="28" t="s">
        <v>31</v>
      </c>
      <c r="E21" s="28" t="s">
        <v>37</v>
      </c>
      <c r="F21" s="1" t="s">
        <v>24</v>
      </c>
      <c r="G21" s="1" t="s">
        <v>21</v>
      </c>
      <c r="H21" s="1" t="s">
        <v>16</v>
      </c>
      <c r="I21" s="1" t="s">
        <v>28</v>
      </c>
      <c r="J21" s="1">
        <f>0.564576611</f>
        <v>0.56457661100000001</v>
      </c>
      <c r="K21" s="1" t="s">
        <v>12</v>
      </c>
      <c r="L21" s="29" t="s">
        <v>26</v>
      </c>
      <c r="M21" s="1" t="s">
        <v>24</v>
      </c>
    </row>
    <row r="22" spans="1:13" x14ac:dyDescent="0.2">
      <c r="A22" s="28" t="s">
        <v>45</v>
      </c>
      <c r="B22" s="1" t="s">
        <v>34</v>
      </c>
      <c r="C22" s="28" t="s">
        <v>41</v>
      </c>
      <c r="D22" s="28" t="s">
        <v>31</v>
      </c>
      <c r="E22" s="28" t="s">
        <v>37</v>
      </c>
      <c r="F22" s="1" t="s">
        <v>24</v>
      </c>
      <c r="G22" s="1" t="s">
        <v>11</v>
      </c>
      <c r="H22" s="1" t="s">
        <v>14</v>
      </c>
      <c r="I22" s="28" t="s">
        <v>39</v>
      </c>
      <c r="J22" s="1">
        <f>0</f>
        <v>0</v>
      </c>
      <c r="K22" s="1" t="s">
        <v>12</v>
      </c>
      <c r="L22" s="60" t="s">
        <v>25</v>
      </c>
      <c r="M22" s="1" t="s">
        <v>34</v>
      </c>
    </row>
    <row r="23" spans="1:13" x14ac:dyDescent="0.2">
      <c r="A23" s="28" t="s">
        <v>44</v>
      </c>
      <c r="B23" s="1" t="s">
        <v>24</v>
      </c>
      <c r="C23" s="1" t="s">
        <v>40</v>
      </c>
      <c r="D23" s="28" t="s">
        <v>31</v>
      </c>
      <c r="E23" s="1" t="s">
        <v>36</v>
      </c>
      <c r="F23" s="1" t="s">
        <v>23</v>
      </c>
      <c r="G23" s="1" t="s">
        <v>11</v>
      </c>
      <c r="H23" s="1" t="s">
        <v>16</v>
      </c>
      <c r="I23" s="28" t="s">
        <v>39</v>
      </c>
      <c r="J23" s="1">
        <f>0.958430808</f>
        <v>0.95843080800000002</v>
      </c>
      <c r="K23" s="1" t="s">
        <v>12</v>
      </c>
      <c r="L23" s="29" t="s">
        <v>26</v>
      </c>
      <c r="M23" s="1" t="s">
        <v>105</v>
      </c>
    </row>
    <row r="24" spans="1:13" x14ac:dyDescent="0.2">
      <c r="A24" s="28" t="s">
        <v>44</v>
      </c>
      <c r="B24" s="28" t="s">
        <v>34</v>
      </c>
      <c r="C24" s="1" t="s">
        <v>40</v>
      </c>
      <c r="D24" s="28" t="s">
        <v>31</v>
      </c>
      <c r="E24" s="1" t="s">
        <v>36</v>
      </c>
      <c r="F24" s="1" t="s">
        <v>24</v>
      </c>
      <c r="G24" s="1" t="s">
        <v>11</v>
      </c>
      <c r="H24" s="1" t="s">
        <v>16</v>
      </c>
      <c r="I24" s="28" t="s">
        <v>39</v>
      </c>
      <c r="J24" s="1">
        <f>0.842636706</f>
        <v>0.84263670599999996</v>
      </c>
      <c r="K24" s="1" t="s">
        <v>15</v>
      </c>
      <c r="L24" s="29" t="s">
        <v>26</v>
      </c>
      <c r="M24" s="1" t="s">
        <v>105</v>
      </c>
    </row>
    <row r="25" spans="1:13" x14ac:dyDescent="0.2">
      <c r="A25" s="28" t="s">
        <v>43</v>
      </c>
      <c r="B25" s="28" t="s">
        <v>24</v>
      </c>
      <c r="C25" s="1" t="s">
        <v>40</v>
      </c>
      <c r="D25" s="28" t="s">
        <v>31</v>
      </c>
      <c r="E25" s="1" t="s">
        <v>36</v>
      </c>
      <c r="F25" s="1" t="s">
        <v>24</v>
      </c>
      <c r="G25" s="1" t="s">
        <v>11</v>
      </c>
      <c r="H25" s="1" t="s">
        <v>35</v>
      </c>
      <c r="I25" s="28" t="s">
        <v>29</v>
      </c>
      <c r="J25" s="1">
        <f>0</f>
        <v>0</v>
      </c>
      <c r="K25" s="1" t="s">
        <v>12</v>
      </c>
      <c r="L25" s="29" t="s">
        <v>26</v>
      </c>
      <c r="M25" s="1" t="s">
        <v>24</v>
      </c>
    </row>
    <row r="26" spans="1:13" x14ac:dyDescent="0.2">
      <c r="A26" s="28" t="s">
        <v>44</v>
      </c>
      <c r="B26" s="28" t="s">
        <v>34</v>
      </c>
      <c r="C26" s="28" t="s">
        <v>41</v>
      </c>
      <c r="D26" s="28" t="s">
        <v>31</v>
      </c>
      <c r="E26" s="1" t="s">
        <v>36</v>
      </c>
      <c r="F26" s="1" t="s">
        <v>24</v>
      </c>
      <c r="G26" s="1" t="s">
        <v>11</v>
      </c>
      <c r="H26" s="1" t="s">
        <v>35</v>
      </c>
      <c r="I26" s="28" t="s">
        <v>39</v>
      </c>
      <c r="J26" s="1">
        <f>0</f>
        <v>0</v>
      </c>
      <c r="K26" s="1" t="s">
        <v>17</v>
      </c>
      <c r="L26" s="29" t="s">
        <v>26</v>
      </c>
      <c r="M26" s="1" t="s">
        <v>34</v>
      </c>
    </row>
    <row r="27" spans="1:13" x14ac:dyDescent="0.2">
      <c r="A27" s="1" t="s">
        <v>45</v>
      </c>
      <c r="B27" s="1" t="s">
        <v>24</v>
      </c>
      <c r="C27" s="28" t="s">
        <v>41</v>
      </c>
      <c r="D27" s="1" t="s">
        <v>33</v>
      </c>
      <c r="E27" s="1" t="s">
        <v>36</v>
      </c>
      <c r="F27" s="1" t="s">
        <v>24</v>
      </c>
      <c r="G27" s="1" t="s">
        <v>11</v>
      </c>
      <c r="H27" s="1" t="s">
        <v>35</v>
      </c>
      <c r="I27" s="28" t="s">
        <v>39</v>
      </c>
      <c r="J27" s="1">
        <f>0</f>
        <v>0</v>
      </c>
      <c r="K27" s="1" t="s">
        <v>12</v>
      </c>
      <c r="L27" s="29" t="s">
        <v>26</v>
      </c>
      <c r="M27" s="1" t="s">
        <v>24</v>
      </c>
    </row>
    <row r="28" spans="1:13" x14ac:dyDescent="0.2">
      <c r="A28" s="1" t="s">
        <v>44</v>
      </c>
      <c r="B28" s="1" t="s">
        <v>34</v>
      </c>
      <c r="C28" s="28" t="s">
        <v>41</v>
      </c>
      <c r="D28" s="28" t="s">
        <v>31</v>
      </c>
      <c r="E28" s="1" t="s">
        <v>36</v>
      </c>
      <c r="F28" s="1" t="s">
        <v>23</v>
      </c>
      <c r="G28" s="1" t="s">
        <v>11</v>
      </c>
      <c r="H28" s="1" t="s">
        <v>16</v>
      </c>
      <c r="I28" s="28" t="s">
        <v>29</v>
      </c>
      <c r="J28" s="1">
        <f>0</f>
        <v>0</v>
      </c>
      <c r="K28" s="1" t="s">
        <v>12</v>
      </c>
      <c r="L28" s="28" t="s">
        <v>25</v>
      </c>
      <c r="M28" s="1" t="s">
        <v>24</v>
      </c>
    </row>
    <row r="29" spans="1:13" x14ac:dyDescent="0.2">
      <c r="A29" s="28" t="s">
        <v>44</v>
      </c>
      <c r="B29" s="28" t="s">
        <v>24</v>
      </c>
      <c r="C29" s="28" t="s">
        <v>40</v>
      </c>
      <c r="D29" s="28" t="s">
        <v>31</v>
      </c>
      <c r="E29" s="1" t="s">
        <v>36</v>
      </c>
      <c r="F29" s="1" t="s">
        <v>24</v>
      </c>
      <c r="G29" s="1" t="s">
        <v>11</v>
      </c>
      <c r="H29" s="1" t="s">
        <v>16</v>
      </c>
      <c r="I29" s="28" t="s">
        <v>39</v>
      </c>
      <c r="J29" s="1">
        <f>0</f>
        <v>0</v>
      </c>
      <c r="K29" s="1" t="s">
        <v>12</v>
      </c>
      <c r="L29" s="28" t="s">
        <v>25</v>
      </c>
      <c r="M29" s="1" t="s">
        <v>24</v>
      </c>
    </row>
    <row r="30" spans="1:13" x14ac:dyDescent="0.2">
      <c r="A30" s="28" t="s">
        <v>44</v>
      </c>
      <c r="B30" s="28" t="s">
        <v>34</v>
      </c>
      <c r="C30" s="28" t="s">
        <v>40</v>
      </c>
      <c r="D30" s="28" t="s">
        <v>31</v>
      </c>
      <c r="E30" s="1" t="s">
        <v>36</v>
      </c>
      <c r="F30" s="1" t="s">
        <v>23</v>
      </c>
      <c r="G30" s="1" t="s">
        <v>11</v>
      </c>
      <c r="H30" s="1" t="s">
        <v>16</v>
      </c>
      <c r="I30" s="28" t="s">
        <v>39</v>
      </c>
      <c r="J30" s="1">
        <f>0.342422321</f>
        <v>0.34242232099999997</v>
      </c>
      <c r="K30" s="1" t="s">
        <v>15</v>
      </c>
      <c r="L30" s="28" t="s">
        <v>25</v>
      </c>
      <c r="M30" s="1" t="s">
        <v>24</v>
      </c>
    </row>
    <row r="31" spans="1:13" x14ac:dyDescent="0.2">
      <c r="A31" s="28" t="s">
        <v>44</v>
      </c>
      <c r="B31" s="1" t="s">
        <v>34</v>
      </c>
      <c r="C31" s="1" t="s">
        <v>40</v>
      </c>
      <c r="D31" s="28" t="s">
        <v>31</v>
      </c>
      <c r="E31" s="1" t="s">
        <v>36</v>
      </c>
      <c r="F31" s="1" t="s">
        <v>24</v>
      </c>
      <c r="G31" s="1" t="s">
        <v>11</v>
      </c>
      <c r="H31" s="1" t="s">
        <v>35</v>
      </c>
      <c r="I31" s="28" t="s">
        <v>39</v>
      </c>
      <c r="J31" s="1">
        <f>0</f>
        <v>0</v>
      </c>
      <c r="K31" s="1" t="s">
        <v>17</v>
      </c>
      <c r="L31" s="28" t="s">
        <v>25</v>
      </c>
      <c r="M31" s="1" t="s">
        <v>24</v>
      </c>
    </row>
    <row r="32" spans="1:13" x14ac:dyDescent="0.2">
      <c r="A32" s="28" t="s">
        <v>43</v>
      </c>
      <c r="B32" s="1" t="s">
        <v>24</v>
      </c>
      <c r="C32" s="1" t="s">
        <v>40</v>
      </c>
      <c r="D32" s="28" t="s">
        <v>31</v>
      </c>
      <c r="E32" s="1" t="s">
        <v>36</v>
      </c>
      <c r="F32" s="1" t="s">
        <v>24</v>
      </c>
      <c r="G32" s="1" t="s">
        <v>11</v>
      </c>
      <c r="H32" s="1" t="s">
        <v>35</v>
      </c>
      <c r="I32" s="28" t="s">
        <v>39</v>
      </c>
      <c r="J32" s="1">
        <f>0</f>
        <v>0</v>
      </c>
      <c r="K32" s="1" t="s">
        <v>17</v>
      </c>
      <c r="L32" s="29" t="s">
        <v>26</v>
      </c>
      <c r="M32" s="1" t="s">
        <v>24</v>
      </c>
    </row>
    <row r="33" spans="1:13" x14ac:dyDescent="0.2">
      <c r="A33" s="1" t="s">
        <v>45</v>
      </c>
      <c r="B33" s="1" t="s">
        <v>24</v>
      </c>
      <c r="C33" s="28" t="s">
        <v>41</v>
      </c>
      <c r="D33" s="1" t="s">
        <v>32</v>
      </c>
      <c r="E33" s="28" t="s">
        <v>36</v>
      </c>
      <c r="F33" s="1" t="s">
        <v>23</v>
      </c>
      <c r="G33" s="1" t="s">
        <v>11</v>
      </c>
      <c r="H33" s="1" t="s">
        <v>16</v>
      </c>
      <c r="I33" s="28" t="s">
        <v>39</v>
      </c>
      <c r="J33" s="1">
        <f>0</f>
        <v>0</v>
      </c>
      <c r="K33" s="1" t="s">
        <v>17</v>
      </c>
      <c r="L33" s="28" t="s">
        <v>25</v>
      </c>
      <c r="M33" s="1" t="s">
        <v>24</v>
      </c>
    </row>
    <row r="34" spans="1:13" x14ac:dyDescent="0.2">
      <c r="A34" s="1" t="s">
        <v>45</v>
      </c>
      <c r="B34" s="28" t="s">
        <v>24</v>
      </c>
      <c r="C34" s="1" t="s">
        <v>42</v>
      </c>
      <c r="D34" s="28" t="s">
        <v>31</v>
      </c>
      <c r="E34" s="1" t="s">
        <v>38</v>
      </c>
      <c r="F34" s="1" t="s">
        <v>23</v>
      </c>
      <c r="G34" s="1" t="s">
        <v>11</v>
      </c>
      <c r="H34" s="1" t="s">
        <v>16</v>
      </c>
      <c r="I34" s="28" t="s">
        <v>30</v>
      </c>
      <c r="J34" s="1">
        <f>0</f>
        <v>0</v>
      </c>
      <c r="K34" s="1" t="s">
        <v>12</v>
      </c>
      <c r="L34" s="29" t="s">
        <v>26</v>
      </c>
      <c r="M34" s="1" t="s">
        <v>24</v>
      </c>
    </row>
    <row r="35" spans="1:13" x14ac:dyDescent="0.2">
      <c r="A35" s="1" t="s">
        <v>45</v>
      </c>
      <c r="B35" s="28" t="s">
        <v>34</v>
      </c>
      <c r="C35" s="28" t="s">
        <v>41</v>
      </c>
      <c r="D35" s="28" t="s">
        <v>31</v>
      </c>
      <c r="E35" s="28" t="s">
        <v>36</v>
      </c>
      <c r="F35" s="1" t="s">
        <v>24</v>
      </c>
      <c r="G35" s="1" t="s">
        <v>11</v>
      </c>
      <c r="H35" s="1" t="s">
        <v>16</v>
      </c>
      <c r="I35" s="28" t="s">
        <v>28</v>
      </c>
      <c r="J35" s="1">
        <f>0</f>
        <v>0</v>
      </c>
      <c r="K35" s="1" t="s">
        <v>12</v>
      </c>
      <c r="L35" s="29" t="s">
        <v>26</v>
      </c>
      <c r="M35" s="1" t="s">
        <v>24</v>
      </c>
    </row>
    <row r="36" spans="1:13" x14ac:dyDescent="0.2">
      <c r="A36" s="1" t="s">
        <v>45</v>
      </c>
      <c r="B36" s="28" t="s">
        <v>24</v>
      </c>
      <c r="C36" s="28" t="s">
        <v>41</v>
      </c>
      <c r="D36" s="28" t="s">
        <v>31</v>
      </c>
      <c r="E36" s="28" t="s">
        <v>36</v>
      </c>
      <c r="F36" s="1" t="s">
        <v>23</v>
      </c>
      <c r="G36" s="1" t="s">
        <v>11</v>
      </c>
      <c r="H36" s="1" t="s">
        <v>20</v>
      </c>
      <c r="I36" s="28" t="s">
        <v>39</v>
      </c>
      <c r="J36" s="1">
        <f>0.522717209</f>
        <v>0.52271720899999996</v>
      </c>
      <c r="K36" s="1" t="s">
        <v>17</v>
      </c>
      <c r="L36" s="29" t="s">
        <v>26</v>
      </c>
      <c r="M36" s="1" t="s">
        <v>24</v>
      </c>
    </row>
    <row r="37" spans="1:13" x14ac:dyDescent="0.2">
      <c r="A37" s="28" t="s">
        <v>43</v>
      </c>
      <c r="B37" s="28" t="s">
        <v>24</v>
      </c>
      <c r="C37" s="28" t="s">
        <v>40</v>
      </c>
      <c r="D37" s="28" t="s">
        <v>31</v>
      </c>
      <c r="E37" s="1" t="s">
        <v>36</v>
      </c>
      <c r="F37" s="1" t="s">
        <v>24</v>
      </c>
      <c r="G37" s="1" t="s">
        <v>11</v>
      </c>
      <c r="H37" s="1" t="s">
        <v>20</v>
      </c>
      <c r="I37" s="28" t="s">
        <v>39</v>
      </c>
      <c r="J37" s="1">
        <f>0</f>
        <v>0</v>
      </c>
      <c r="K37" s="1" t="s">
        <v>12</v>
      </c>
      <c r="L37" s="29" t="s">
        <v>26</v>
      </c>
      <c r="M37" s="1" t="s">
        <v>34</v>
      </c>
    </row>
    <row r="38" spans="1:13" x14ac:dyDescent="0.2">
      <c r="A38" s="1" t="s">
        <v>45</v>
      </c>
      <c r="B38" s="1" t="s">
        <v>34</v>
      </c>
      <c r="C38" s="28" t="s">
        <v>41</v>
      </c>
      <c r="D38" s="28" t="s">
        <v>31</v>
      </c>
      <c r="E38" s="1" t="s">
        <v>36</v>
      </c>
      <c r="F38" s="1" t="s">
        <v>23</v>
      </c>
      <c r="G38" s="1" t="s">
        <v>11</v>
      </c>
      <c r="H38" s="1" t="s">
        <v>20</v>
      </c>
      <c r="I38" s="28" t="s">
        <v>39</v>
      </c>
      <c r="J38" s="1">
        <f>0.463905795</f>
        <v>0.46390579500000001</v>
      </c>
      <c r="K38" s="1" t="s">
        <v>15</v>
      </c>
      <c r="L38" s="28" t="s">
        <v>25</v>
      </c>
      <c r="M38" s="1" t="s">
        <v>24</v>
      </c>
    </row>
    <row r="39" spans="1:13" x14ac:dyDescent="0.2">
      <c r="A39" s="1" t="s">
        <v>45</v>
      </c>
      <c r="B39" s="1" t="s">
        <v>24</v>
      </c>
      <c r="C39" s="28" t="s">
        <v>41</v>
      </c>
      <c r="D39" s="28" t="s">
        <v>31</v>
      </c>
      <c r="E39" s="28" t="s">
        <v>36</v>
      </c>
      <c r="F39" s="1" t="s">
        <v>23</v>
      </c>
      <c r="G39" s="1" t="s">
        <v>11</v>
      </c>
      <c r="H39" s="1" t="s">
        <v>16</v>
      </c>
      <c r="I39" s="28" t="s">
        <v>39</v>
      </c>
      <c r="J39" s="1">
        <f>0.346887647</f>
        <v>0.34688764700000002</v>
      </c>
      <c r="K39" s="1" t="s">
        <v>15</v>
      </c>
      <c r="L39" s="28" t="s">
        <v>25</v>
      </c>
      <c r="M39" s="1" t="s">
        <v>24</v>
      </c>
    </row>
    <row r="40" spans="1:13" x14ac:dyDescent="0.2">
      <c r="A40" s="28" t="s">
        <v>45</v>
      </c>
      <c r="B40" s="28" t="s">
        <v>34</v>
      </c>
      <c r="C40" s="28" t="s">
        <v>40</v>
      </c>
      <c r="D40" s="1" t="s">
        <v>32</v>
      </c>
      <c r="E40" s="28" t="s">
        <v>36</v>
      </c>
      <c r="F40" s="1" t="s">
        <v>23</v>
      </c>
      <c r="G40" s="1" t="s">
        <v>11</v>
      </c>
      <c r="H40" s="1" t="s">
        <v>35</v>
      </c>
      <c r="I40" s="28" t="s">
        <v>39</v>
      </c>
      <c r="J40" s="1">
        <f>0</f>
        <v>0</v>
      </c>
      <c r="K40" s="1" t="s">
        <v>17</v>
      </c>
      <c r="L40" s="29" t="s">
        <v>26</v>
      </c>
      <c r="M40" s="1" t="s">
        <v>24</v>
      </c>
    </row>
    <row r="41" spans="1:13" x14ac:dyDescent="0.2">
      <c r="A41" s="1" t="s">
        <v>45</v>
      </c>
      <c r="B41" s="1" t="s">
        <v>24</v>
      </c>
      <c r="C41" s="1" t="s">
        <v>42</v>
      </c>
      <c r="D41" s="1" t="s">
        <v>32</v>
      </c>
      <c r="E41" s="1" t="s">
        <v>36</v>
      </c>
      <c r="F41" s="1" t="s">
        <v>23</v>
      </c>
      <c r="G41" s="1" t="s">
        <v>11</v>
      </c>
      <c r="H41" s="1" t="s">
        <v>16</v>
      </c>
      <c r="I41" s="28" t="s">
        <v>39</v>
      </c>
      <c r="J41" s="1">
        <f>0.221337491</f>
        <v>0.221337491</v>
      </c>
      <c r="K41" s="1" t="s">
        <v>12</v>
      </c>
      <c r="L41" s="29" t="s">
        <v>26</v>
      </c>
      <c r="M41" s="1" t="s">
        <v>34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60"/>
  <sheetViews>
    <sheetView workbookViewId="0">
      <selection activeCell="A22" sqref="A22:A32"/>
    </sheetView>
  </sheetViews>
  <sheetFormatPr baseColWidth="10" defaultRowHeight="16" x14ac:dyDescent="0.2"/>
  <sheetData>
    <row r="3" spans="1:13" x14ac:dyDescent="0.2">
      <c r="A3" s="1">
        <v>11</v>
      </c>
      <c r="B3" s="1" t="s">
        <v>43</v>
      </c>
      <c r="C3" s="1" t="s">
        <v>24</v>
      </c>
      <c r="D3" s="1" t="s">
        <v>40</v>
      </c>
      <c r="E3" s="28" t="s">
        <v>31</v>
      </c>
      <c r="F3" s="28" t="s">
        <v>37</v>
      </c>
      <c r="G3" s="1" t="s">
        <v>23</v>
      </c>
      <c r="H3" s="1" t="s">
        <v>18</v>
      </c>
      <c r="I3" s="1" t="s">
        <v>13</v>
      </c>
      <c r="J3" s="28" t="s">
        <v>29</v>
      </c>
      <c r="K3" s="1">
        <v>0.93502813699999998</v>
      </c>
      <c r="L3" s="1" t="s">
        <v>15</v>
      </c>
      <c r="M3" s="29" t="s">
        <v>26</v>
      </c>
    </row>
    <row r="7" spans="1:13" x14ac:dyDescent="0.2">
      <c r="A7" s="1">
        <v>20</v>
      </c>
      <c r="B7" s="1" t="s">
        <v>44</v>
      </c>
      <c r="C7" s="1" t="s">
        <v>34</v>
      </c>
      <c r="D7" s="28" t="s">
        <v>41</v>
      </c>
      <c r="E7" s="28" t="s">
        <v>31</v>
      </c>
      <c r="F7" s="28" t="s">
        <v>37</v>
      </c>
      <c r="G7" s="1" t="s">
        <v>24</v>
      </c>
      <c r="H7" s="1" t="s">
        <v>21</v>
      </c>
      <c r="I7" s="1" t="s">
        <v>16</v>
      </c>
      <c r="J7" s="1" t="s">
        <v>28</v>
      </c>
      <c r="K7" s="1">
        <v>0.56457661100000001</v>
      </c>
      <c r="L7" s="1" t="s">
        <v>12</v>
      </c>
      <c r="M7" s="29" t="s">
        <v>26</v>
      </c>
    </row>
    <row r="11" spans="1:13" x14ac:dyDescent="0.2">
      <c r="A11" s="1">
        <v>33</v>
      </c>
      <c r="B11" s="1" t="s">
        <v>45</v>
      </c>
      <c r="C11" s="28" t="s">
        <v>24</v>
      </c>
      <c r="D11" s="1" t="s">
        <v>42</v>
      </c>
      <c r="E11" s="28" t="s">
        <v>31</v>
      </c>
      <c r="F11" s="1" t="s">
        <v>38</v>
      </c>
      <c r="G11" s="1" t="s">
        <v>23</v>
      </c>
      <c r="H11" s="1" t="s">
        <v>11</v>
      </c>
      <c r="I11" s="1" t="s">
        <v>16</v>
      </c>
      <c r="J11" s="28" t="s">
        <v>30</v>
      </c>
      <c r="K11" s="1">
        <v>0</v>
      </c>
      <c r="L11" s="1" t="s">
        <v>12</v>
      </c>
      <c r="M11" s="29" t="s">
        <v>26</v>
      </c>
    </row>
    <row r="14" spans="1:13" x14ac:dyDescent="0.2">
      <c r="A14" s="1">
        <v>5</v>
      </c>
      <c r="B14" s="1" t="s">
        <v>43</v>
      </c>
      <c r="C14" s="1" t="s">
        <v>24</v>
      </c>
      <c r="D14" s="1" t="s">
        <v>40</v>
      </c>
      <c r="E14" s="1" t="s">
        <v>32</v>
      </c>
      <c r="F14" s="1" t="s">
        <v>36</v>
      </c>
      <c r="G14" s="1" t="s">
        <v>23</v>
      </c>
      <c r="H14" s="1" t="s">
        <v>11</v>
      </c>
      <c r="I14" s="1" t="s">
        <v>16</v>
      </c>
      <c r="J14" s="53" t="s">
        <v>30</v>
      </c>
      <c r="K14" s="1">
        <v>0</v>
      </c>
      <c r="L14" s="1" t="s">
        <v>12</v>
      </c>
      <c r="M14" s="113" t="s">
        <v>26</v>
      </c>
    </row>
    <row r="15" spans="1:13" x14ac:dyDescent="0.2">
      <c r="A15" s="1">
        <v>6</v>
      </c>
      <c r="B15" s="1" t="s">
        <v>43</v>
      </c>
      <c r="C15" s="1" t="s">
        <v>24</v>
      </c>
      <c r="D15" s="1" t="s">
        <v>40</v>
      </c>
      <c r="E15" s="28" t="s">
        <v>31</v>
      </c>
      <c r="F15" s="1" t="s">
        <v>36</v>
      </c>
      <c r="G15" s="1" t="s">
        <v>23</v>
      </c>
      <c r="H15" s="27" t="s">
        <v>11</v>
      </c>
      <c r="I15" s="1" t="s">
        <v>14</v>
      </c>
      <c r="J15" s="53" t="s">
        <v>30</v>
      </c>
      <c r="K15" s="1">
        <v>0.55798381799999996</v>
      </c>
      <c r="L15" s="1" t="s">
        <v>12</v>
      </c>
      <c r="M15" s="1" t="s">
        <v>27</v>
      </c>
    </row>
    <row r="16" spans="1:13" x14ac:dyDescent="0.2">
      <c r="A16" s="1">
        <v>24</v>
      </c>
      <c r="B16" s="28" t="s">
        <v>43</v>
      </c>
      <c r="C16" s="28" t="s">
        <v>24</v>
      </c>
      <c r="D16" s="1" t="s">
        <v>40</v>
      </c>
      <c r="E16" s="28" t="s">
        <v>31</v>
      </c>
      <c r="F16" s="1" t="s">
        <v>36</v>
      </c>
      <c r="G16" s="1" t="s">
        <v>24</v>
      </c>
      <c r="H16" s="1" t="s">
        <v>11</v>
      </c>
      <c r="I16" s="1" t="s">
        <v>35</v>
      </c>
      <c r="J16" s="28" t="s">
        <v>29</v>
      </c>
      <c r="K16" s="1">
        <v>0</v>
      </c>
      <c r="L16" s="1" t="s">
        <v>12</v>
      </c>
      <c r="M16" s="29" t="s">
        <v>26</v>
      </c>
    </row>
    <row r="17" spans="1:13" x14ac:dyDescent="0.2">
      <c r="A17" s="1">
        <v>31</v>
      </c>
      <c r="B17" s="28" t="s">
        <v>43</v>
      </c>
      <c r="C17" s="1" t="s">
        <v>24</v>
      </c>
      <c r="D17" s="1" t="s">
        <v>40</v>
      </c>
      <c r="E17" s="28" t="s">
        <v>31</v>
      </c>
      <c r="F17" s="1" t="s">
        <v>36</v>
      </c>
      <c r="G17" s="1" t="s">
        <v>24</v>
      </c>
      <c r="H17" s="1" t="s">
        <v>11</v>
      </c>
      <c r="I17" s="1" t="s">
        <v>35</v>
      </c>
      <c r="J17" s="28" t="s">
        <v>39</v>
      </c>
      <c r="K17" s="1">
        <v>0</v>
      </c>
      <c r="L17" s="1" t="s">
        <v>17</v>
      </c>
      <c r="M17" s="29" t="s">
        <v>26</v>
      </c>
    </row>
    <row r="18" spans="1:13" x14ac:dyDescent="0.2">
      <c r="A18" s="1">
        <v>36</v>
      </c>
      <c r="B18" s="28" t="s">
        <v>43</v>
      </c>
      <c r="C18" s="28" t="s">
        <v>24</v>
      </c>
      <c r="D18" s="28" t="s">
        <v>40</v>
      </c>
      <c r="E18" s="28" t="s">
        <v>31</v>
      </c>
      <c r="F18" s="1" t="s">
        <v>36</v>
      </c>
      <c r="G18" s="1" t="s">
        <v>24</v>
      </c>
      <c r="H18" s="1" t="s">
        <v>11</v>
      </c>
      <c r="I18" s="1" t="s">
        <v>20</v>
      </c>
      <c r="J18" s="28" t="s">
        <v>39</v>
      </c>
      <c r="K18" s="1">
        <v>0</v>
      </c>
      <c r="L18" s="1" t="s">
        <v>12</v>
      </c>
      <c r="M18" s="29" t="s">
        <v>26</v>
      </c>
    </row>
    <row r="19" spans="1:13" x14ac:dyDescent="0.2">
      <c r="A19" s="1">
        <v>40</v>
      </c>
      <c r="B19" s="1" t="s">
        <v>45</v>
      </c>
      <c r="C19" s="1" t="s">
        <v>24</v>
      </c>
      <c r="D19" s="1" t="s">
        <v>42</v>
      </c>
      <c r="E19" s="1" t="s">
        <v>32</v>
      </c>
      <c r="F19" s="1" t="s">
        <v>36</v>
      </c>
      <c r="G19" s="1" t="s">
        <v>23</v>
      </c>
      <c r="H19" s="1" t="s">
        <v>11</v>
      </c>
      <c r="I19" s="1" t="s">
        <v>16</v>
      </c>
      <c r="J19" s="28" t="s">
        <v>39</v>
      </c>
      <c r="K19" s="1">
        <v>0.221337491</v>
      </c>
      <c r="L19" s="1" t="s">
        <v>12</v>
      </c>
      <c r="M19" s="29" t="s">
        <v>26</v>
      </c>
    </row>
    <row r="22" spans="1:13" x14ac:dyDescent="0.2">
      <c r="A22" s="1">
        <v>4</v>
      </c>
      <c r="B22" s="1" t="s">
        <v>44</v>
      </c>
      <c r="C22" s="1" t="s">
        <v>34</v>
      </c>
      <c r="D22" s="1" t="s">
        <v>40</v>
      </c>
      <c r="E22" s="28" t="s">
        <v>31</v>
      </c>
      <c r="F22" s="1" t="s">
        <v>37</v>
      </c>
      <c r="G22" s="1" t="s">
        <v>23</v>
      </c>
      <c r="H22" s="1" t="s">
        <v>11</v>
      </c>
      <c r="I22" s="1" t="s">
        <v>16</v>
      </c>
      <c r="J22" s="28" t="s">
        <v>39</v>
      </c>
      <c r="K22" s="1">
        <v>0.72645821399999999</v>
      </c>
      <c r="L22" s="1" t="s">
        <v>17</v>
      </c>
      <c r="M22" s="1" t="s">
        <v>25</v>
      </c>
    </row>
    <row r="23" spans="1:13" x14ac:dyDescent="0.2">
      <c r="A23" s="1">
        <v>8</v>
      </c>
      <c r="B23" s="28" t="s">
        <v>44</v>
      </c>
      <c r="C23" s="28" t="s">
        <v>34</v>
      </c>
      <c r="D23" s="28" t="s">
        <v>41</v>
      </c>
      <c r="E23" s="28" t="s">
        <v>31</v>
      </c>
      <c r="F23" s="1" t="s">
        <v>36</v>
      </c>
      <c r="G23" s="1" t="s">
        <v>23</v>
      </c>
      <c r="H23" s="1" t="s">
        <v>11</v>
      </c>
      <c r="I23" s="1" t="s">
        <v>16</v>
      </c>
      <c r="J23" s="28" t="s">
        <v>39</v>
      </c>
      <c r="K23" s="1">
        <v>0</v>
      </c>
      <c r="L23" s="1" t="s">
        <v>15</v>
      </c>
      <c r="M23" s="114" t="s">
        <v>25</v>
      </c>
    </row>
    <row r="24" spans="1:13" x14ac:dyDescent="0.2">
      <c r="A24" s="1">
        <v>15</v>
      </c>
      <c r="B24" s="28" t="s">
        <v>43</v>
      </c>
      <c r="C24" s="1" t="s">
        <v>34</v>
      </c>
      <c r="D24" s="1" t="s">
        <v>40</v>
      </c>
      <c r="E24" s="28" t="s">
        <v>31</v>
      </c>
      <c r="F24" s="28" t="s">
        <v>37</v>
      </c>
      <c r="G24" s="1" t="s">
        <v>24</v>
      </c>
      <c r="H24" s="1" t="s">
        <v>11</v>
      </c>
      <c r="I24" s="1" t="s">
        <v>16</v>
      </c>
      <c r="J24" s="28" t="s">
        <v>39</v>
      </c>
      <c r="K24" s="1">
        <v>0.64274236699999998</v>
      </c>
      <c r="L24" s="1" t="s">
        <v>12</v>
      </c>
      <c r="M24" s="28" t="s">
        <v>25</v>
      </c>
    </row>
    <row r="25" spans="1:13" x14ac:dyDescent="0.2">
      <c r="A25" s="1">
        <v>17</v>
      </c>
      <c r="B25" s="28" t="s">
        <v>43</v>
      </c>
      <c r="C25" s="28" t="s">
        <v>34</v>
      </c>
      <c r="D25" s="28" t="s">
        <v>41</v>
      </c>
      <c r="E25" s="28" t="s">
        <v>31</v>
      </c>
      <c r="F25" s="1" t="s">
        <v>36</v>
      </c>
      <c r="G25" s="1" t="s">
        <v>24</v>
      </c>
      <c r="H25" s="1" t="s">
        <v>11</v>
      </c>
      <c r="I25" s="1" t="s">
        <v>16</v>
      </c>
      <c r="J25" s="28" t="s">
        <v>39</v>
      </c>
      <c r="K25" s="1">
        <v>0</v>
      </c>
      <c r="L25" s="1" t="s">
        <v>12</v>
      </c>
      <c r="M25" s="29" t="s">
        <v>26</v>
      </c>
    </row>
    <row r="26" spans="1:13" x14ac:dyDescent="0.2">
      <c r="A26" s="1">
        <v>22</v>
      </c>
      <c r="B26" s="28" t="s">
        <v>44</v>
      </c>
      <c r="C26" s="1" t="s">
        <v>24</v>
      </c>
      <c r="D26" s="1" t="s">
        <v>40</v>
      </c>
      <c r="E26" s="28" t="s">
        <v>31</v>
      </c>
      <c r="F26" s="1" t="s">
        <v>36</v>
      </c>
      <c r="G26" s="1" t="s">
        <v>23</v>
      </c>
      <c r="H26" s="1" t="s">
        <v>11</v>
      </c>
      <c r="I26" s="1" t="s">
        <v>16</v>
      </c>
      <c r="J26" s="28" t="s">
        <v>39</v>
      </c>
      <c r="K26" s="1">
        <v>0.95843080800000002</v>
      </c>
      <c r="L26" s="1" t="s">
        <v>12</v>
      </c>
      <c r="M26" s="29" t="s">
        <v>26</v>
      </c>
    </row>
    <row r="27" spans="1:13" x14ac:dyDescent="0.2">
      <c r="A27" s="1">
        <v>23</v>
      </c>
      <c r="B27" s="28" t="s">
        <v>44</v>
      </c>
      <c r="C27" s="28" t="s">
        <v>34</v>
      </c>
      <c r="D27" s="1" t="s">
        <v>40</v>
      </c>
      <c r="E27" s="28" t="s">
        <v>31</v>
      </c>
      <c r="F27" s="1" t="s">
        <v>36</v>
      </c>
      <c r="G27" s="1" t="s">
        <v>24</v>
      </c>
      <c r="H27" s="1" t="s">
        <v>11</v>
      </c>
      <c r="I27" s="1" t="s">
        <v>16</v>
      </c>
      <c r="J27" s="28" t="s">
        <v>39</v>
      </c>
      <c r="K27" s="1">
        <v>0.84263670599999996</v>
      </c>
      <c r="L27" s="1" t="s">
        <v>15</v>
      </c>
      <c r="M27" s="29" t="s">
        <v>26</v>
      </c>
    </row>
    <row r="28" spans="1:13" x14ac:dyDescent="0.2">
      <c r="A28" s="1">
        <v>25</v>
      </c>
      <c r="B28" s="28" t="s">
        <v>44</v>
      </c>
      <c r="C28" s="28" t="s">
        <v>34</v>
      </c>
      <c r="D28" s="28" t="s">
        <v>41</v>
      </c>
      <c r="E28" s="28" t="s">
        <v>31</v>
      </c>
      <c r="F28" s="1" t="s">
        <v>36</v>
      </c>
      <c r="G28" s="1" t="s">
        <v>24</v>
      </c>
      <c r="H28" s="1" t="s">
        <v>11</v>
      </c>
      <c r="I28" s="1" t="s">
        <v>35</v>
      </c>
      <c r="J28" s="28" t="s">
        <v>39</v>
      </c>
      <c r="K28" s="1">
        <v>0</v>
      </c>
      <c r="L28" s="1" t="s">
        <v>17</v>
      </c>
      <c r="M28" s="29" t="s">
        <v>26</v>
      </c>
    </row>
    <row r="29" spans="1:13" x14ac:dyDescent="0.2">
      <c r="A29" s="1">
        <v>27</v>
      </c>
      <c r="B29" s="1" t="s">
        <v>44</v>
      </c>
      <c r="C29" s="1" t="s">
        <v>34</v>
      </c>
      <c r="D29" s="28" t="s">
        <v>41</v>
      </c>
      <c r="E29" s="28" t="s">
        <v>31</v>
      </c>
      <c r="F29" s="1" t="s">
        <v>36</v>
      </c>
      <c r="G29" s="1" t="s">
        <v>23</v>
      </c>
      <c r="H29" s="1" t="s">
        <v>11</v>
      </c>
      <c r="I29" s="1" t="s">
        <v>16</v>
      </c>
      <c r="J29" s="28" t="s">
        <v>29</v>
      </c>
      <c r="K29" s="1">
        <v>0</v>
      </c>
      <c r="L29" s="1" t="s">
        <v>12</v>
      </c>
      <c r="M29" s="28" t="s">
        <v>25</v>
      </c>
    </row>
    <row r="30" spans="1:13" x14ac:dyDescent="0.2">
      <c r="A30" s="1">
        <v>28</v>
      </c>
      <c r="B30" s="28" t="s">
        <v>44</v>
      </c>
      <c r="C30" s="28" t="s">
        <v>24</v>
      </c>
      <c r="D30" s="28" t="s">
        <v>40</v>
      </c>
      <c r="E30" s="28" t="s">
        <v>31</v>
      </c>
      <c r="F30" s="1" t="s">
        <v>36</v>
      </c>
      <c r="G30" s="1" t="s">
        <v>24</v>
      </c>
      <c r="H30" s="1" t="s">
        <v>11</v>
      </c>
      <c r="I30" s="1" t="s">
        <v>16</v>
      </c>
      <c r="J30" s="28" t="s">
        <v>39</v>
      </c>
      <c r="K30" s="1">
        <v>0</v>
      </c>
      <c r="L30" s="1" t="s">
        <v>12</v>
      </c>
      <c r="M30" s="28" t="s">
        <v>25</v>
      </c>
    </row>
    <row r="31" spans="1:13" x14ac:dyDescent="0.2">
      <c r="A31" s="1">
        <v>29</v>
      </c>
      <c r="B31" s="28" t="s">
        <v>44</v>
      </c>
      <c r="C31" s="28" t="s">
        <v>34</v>
      </c>
      <c r="D31" s="28" t="s">
        <v>40</v>
      </c>
      <c r="E31" s="28" t="s">
        <v>31</v>
      </c>
      <c r="F31" s="1" t="s">
        <v>36</v>
      </c>
      <c r="G31" s="1" t="s">
        <v>23</v>
      </c>
      <c r="H31" s="1" t="s">
        <v>11</v>
      </c>
      <c r="I31" s="1" t="s">
        <v>16</v>
      </c>
      <c r="J31" s="28" t="s">
        <v>39</v>
      </c>
      <c r="K31" s="1">
        <v>0.34242232099999997</v>
      </c>
      <c r="L31" s="1" t="s">
        <v>15</v>
      </c>
      <c r="M31" s="28" t="s">
        <v>25</v>
      </c>
    </row>
    <row r="32" spans="1:13" x14ac:dyDescent="0.2">
      <c r="A32" s="1">
        <v>30</v>
      </c>
      <c r="B32" s="28" t="s">
        <v>44</v>
      </c>
      <c r="C32" s="1" t="s">
        <v>34</v>
      </c>
      <c r="D32" s="1" t="s">
        <v>40</v>
      </c>
      <c r="E32" s="28" t="s">
        <v>31</v>
      </c>
      <c r="F32" s="1" t="s">
        <v>36</v>
      </c>
      <c r="G32" s="1" t="s">
        <v>24</v>
      </c>
      <c r="H32" s="1" t="s">
        <v>11</v>
      </c>
      <c r="I32" s="1" t="s">
        <v>35</v>
      </c>
      <c r="J32" s="28" t="s">
        <v>39</v>
      </c>
      <c r="K32" s="1">
        <v>0</v>
      </c>
      <c r="L32" s="1" t="s">
        <v>17</v>
      </c>
      <c r="M32" s="28" t="s">
        <v>25</v>
      </c>
    </row>
    <row r="36" spans="1:13" x14ac:dyDescent="0.2">
      <c r="A36" s="1">
        <v>3</v>
      </c>
      <c r="B36" s="28" t="s">
        <v>45</v>
      </c>
      <c r="C36" s="1" t="s">
        <v>24</v>
      </c>
      <c r="D36" s="28" t="s">
        <v>41</v>
      </c>
      <c r="E36" s="1" t="s">
        <v>31</v>
      </c>
      <c r="F36" s="1" t="s">
        <v>36</v>
      </c>
      <c r="G36" s="1" t="s">
        <v>24</v>
      </c>
      <c r="H36" s="1" t="s">
        <v>11</v>
      </c>
      <c r="I36" s="1" t="s">
        <v>14</v>
      </c>
      <c r="J36" s="1" t="s">
        <v>29</v>
      </c>
      <c r="K36" s="1">
        <v>0</v>
      </c>
      <c r="L36" s="1" t="s">
        <v>15</v>
      </c>
      <c r="M36" s="29" t="s">
        <v>26</v>
      </c>
    </row>
    <row r="37" spans="1:13" x14ac:dyDescent="0.2">
      <c r="A37" s="1">
        <v>9</v>
      </c>
      <c r="B37" s="1" t="s">
        <v>45</v>
      </c>
      <c r="C37" s="1" t="s">
        <v>24</v>
      </c>
      <c r="D37" s="28" t="s">
        <v>41</v>
      </c>
      <c r="E37" s="1" t="s">
        <v>33</v>
      </c>
      <c r="F37" s="1" t="s">
        <v>36</v>
      </c>
      <c r="G37" s="1" t="s">
        <v>23</v>
      </c>
      <c r="H37" s="1" t="s">
        <v>11</v>
      </c>
      <c r="I37" s="1" t="s">
        <v>14</v>
      </c>
      <c r="J37" s="28" t="s">
        <v>30</v>
      </c>
      <c r="K37" s="1">
        <v>0.118294353</v>
      </c>
      <c r="L37" s="1" t="s">
        <v>15</v>
      </c>
      <c r="M37" s="29" t="s">
        <v>26</v>
      </c>
    </row>
    <row r="38" spans="1:13" x14ac:dyDescent="0.2">
      <c r="A38" s="1">
        <v>18</v>
      </c>
      <c r="B38" s="28" t="s">
        <v>44</v>
      </c>
      <c r="C38" s="28" t="s">
        <v>24</v>
      </c>
      <c r="D38" s="1" t="s">
        <v>40</v>
      </c>
      <c r="E38" s="1" t="s">
        <v>33</v>
      </c>
      <c r="F38" s="28" t="s">
        <v>36</v>
      </c>
      <c r="G38" s="1" t="s">
        <v>23</v>
      </c>
      <c r="H38" s="1" t="s">
        <v>11</v>
      </c>
      <c r="I38" s="1" t="s">
        <v>14</v>
      </c>
      <c r="J38" s="28" t="s">
        <v>39</v>
      </c>
      <c r="K38" s="1">
        <v>0.47928426899999999</v>
      </c>
      <c r="L38" s="1" t="s">
        <v>15</v>
      </c>
      <c r="M38" s="10" t="s">
        <v>26</v>
      </c>
    </row>
    <row r="39" spans="1:13" x14ac:dyDescent="0.2">
      <c r="A39" s="1">
        <v>26</v>
      </c>
      <c r="B39" s="1" t="s">
        <v>45</v>
      </c>
      <c r="C39" s="1" t="s">
        <v>24</v>
      </c>
      <c r="D39" s="28" t="s">
        <v>41</v>
      </c>
      <c r="E39" s="1" t="s">
        <v>33</v>
      </c>
      <c r="F39" s="1" t="s">
        <v>36</v>
      </c>
      <c r="G39" s="1" t="s">
        <v>24</v>
      </c>
      <c r="H39" s="1" t="s">
        <v>11</v>
      </c>
      <c r="I39" s="1" t="s">
        <v>35</v>
      </c>
      <c r="J39" s="28" t="s">
        <v>39</v>
      </c>
      <c r="K39" s="1">
        <v>0</v>
      </c>
      <c r="L39" s="1" t="s">
        <v>12</v>
      </c>
      <c r="M39" s="29" t="s">
        <v>26</v>
      </c>
    </row>
    <row r="42" spans="1:13" x14ac:dyDescent="0.2">
      <c r="A42" s="1">
        <v>13</v>
      </c>
      <c r="B42" s="1" t="s">
        <v>45</v>
      </c>
      <c r="C42" s="1" t="s">
        <v>24</v>
      </c>
      <c r="D42" s="28" t="s">
        <v>41</v>
      </c>
      <c r="E42" s="1" t="s">
        <v>32</v>
      </c>
      <c r="F42" s="1" t="s">
        <v>36</v>
      </c>
      <c r="G42" s="1" t="s">
        <v>23</v>
      </c>
      <c r="H42" s="1" t="s">
        <v>11</v>
      </c>
      <c r="I42" s="1" t="s">
        <v>19</v>
      </c>
      <c r="J42" s="28" t="s">
        <v>39</v>
      </c>
      <c r="K42" s="1">
        <v>0</v>
      </c>
      <c r="L42" s="1" t="s">
        <v>12</v>
      </c>
      <c r="M42" s="28" t="s">
        <v>25</v>
      </c>
    </row>
    <row r="43" spans="1:13" x14ac:dyDescent="0.2">
      <c r="A43" s="1">
        <v>16</v>
      </c>
      <c r="B43" s="28" t="s">
        <v>45</v>
      </c>
      <c r="C43" s="28" t="s">
        <v>24</v>
      </c>
      <c r="D43" s="28" t="s">
        <v>41</v>
      </c>
      <c r="E43" s="1" t="s">
        <v>32</v>
      </c>
      <c r="F43" s="28" t="s">
        <v>37</v>
      </c>
      <c r="G43" s="1" t="s">
        <v>23</v>
      </c>
      <c r="H43" s="1" t="s">
        <v>11</v>
      </c>
      <c r="I43" s="1" t="s">
        <v>16</v>
      </c>
      <c r="J43" s="28" t="s">
        <v>39</v>
      </c>
      <c r="K43" s="1">
        <v>0</v>
      </c>
      <c r="L43" s="1" t="s">
        <v>12</v>
      </c>
      <c r="M43" s="114" t="s">
        <v>25</v>
      </c>
    </row>
    <row r="44" spans="1:13" x14ac:dyDescent="0.2">
      <c r="A44" s="1">
        <v>32</v>
      </c>
      <c r="B44" s="1" t="s">
        <v>45</v>
      </c>
      <c r="C44" s="1" t="s">
        <v>24</v>
      </c>
      <c r="D44" s="28" t="s">
        <v>41</v>
      </c>
      <c r="E44" s="1" t="s">
        <v>32</v>
      </c>
      <c r="F44" s="28" t="s">
        <v>36</v>
      </c>
      <c r="G44" s="1" t="s">
        <v>23</v>
      </c>
      <c r="H44" s="1" t="s">
        <v>11</v>
      </c>
      <c r="I44" s="1" t="s">
        <v>16</v>
      </c>
      <c r="J44" s="28" t="s">
        <v>39</v>
      </c>
      <c r="K44" s="1">
        <v>0</v>
      </c>
      <c r="L44" s="1" t="s">
        <v>17</v>
      </c>
      <c r="M44" s="28" t="s">
        <v>25</v>
      </c>
    </row>
    <row r="45" spans="1:13" x14ac:dyDescent="0.2">
      <c r="A45" s="1">
        <v>39</v>
      </c>
      <c r="B45" s="28" t="s">
        <v>45</v>
      </c>
      <c r="C45" s="28" t="s">
        <v>34</v>
      </c>
      <c r="D45" s="28" t="s">
        <v>40</v>
      </c>
      <c r="E45" s="1" t="s">
        <v>32</v>
      </c>
      <c r="F45" s="28" t="s">
        <v>36</v>
      </c>
      <c r="G45" s="1" t="s">
        <v>23</v>
      </c>
      <c r="H45" s="1" t="s">
        <v>11</v>
      </c>
      <c r="I45" s="1" t="s">
        <v>35</v>
      </c>
      <c r="J45" s="28" t="s">
        <v>39</v>
      </c>
      <c r="K45" s="1">
        <v>0</v>
      </c>
      <c r="L45" s="1" t="s">
        <v>17</v>
      </c>
      <c r="M45" s="29" t="s">
        <v>26</v>
      </c>
    </row>
    <row r="49" spans="1:13" x14ac:dyDescent="0.2">
      <c r="A49" s="1">
        <v>1</v>
      </c>
      <c r="B49" s="1" t="s">
        <v>45</v>
      </c>
      <c r="C49" s="1" t="s">
        <v>24</v>
      </c>
      <c r="D49" s="1" t="s">
        <v>41</v>
      </c>
      <c r="E49" s="1" t="s">
        <v>31</v>
      </c>
      <c r="F49" s="1" t="s">
        <v>37</v>
      </c>
      <c r="G49" s="1" t="s">
        <v>23</v>
      </c>
      <c r="H49" s="1" t="s">
        <v>11</v>
      </c>
      <c r="I49" s="1" t="s">
        <v>35</v>
      </c>
      <c r="J49" s="1" t="s">
        <v>39</v>
      </c>
      <c r="K49" s="1">
        <v>0</v>
      </c>
      <c r="L49" s="1" t="s">
        <v>12</v>
      </c>
      <c r="M49" s="27" t="s">
        <v>26</v>
      </c>
    </row>
    <row r="50" spans="1:13" x14ac:dyDescent="0.2">
      <c r="A50" s="1">
        <v>2</v>
      </c>
      <c r="B50" s="1" t="s">
        <v>45</v>
      </c>
      <c r="C50" s="1" t="s">
        <v>24</v>
      </c>
      <c r="D50" s="28" t="s">
        <v>41</v>
      </c>
      <c r="E50" s="1" t="s">
        <v>31</v>
      </c>
      <c r="F50" s="1" t="s">
        <v>36</v>
      </c>
      <c r="G50" s="1" t="s">
        <v>23</v>
      </c>
      <c r="H50" s="1" t="s">
        <v>11</v>
      </c>
      <c r="I50" s="1" t="s">
        <v>13</v>
      </c>
      <c r="J50" s="1" t="s">
        <v>29</v>
      </c>
      <c r="K50" s="1">
        <v>0</v>
      </c>
      <c r="L50" s="1" t="s">
        <v>12</v>
      </c>
      <c r="M50" s="27" t="s">
        <v>26</v>
      </c>
    </row>
    <row r="51" spans="1:13" x14ac:dyDescent="0.2">
      <c r="A51" s="1">
        <v>7</v>
      </c>
      <c r="B51" s="1" t="s">
        <v>45</v>
      </c>
      <c r="C51" s="1" t="s">
        <v>24</v>
      </c>
      <c r="D51" s="28" t="s">
        <v>41</v>
      </c>
      <c r="E51" s="28" t="s">
        <v>31</v>
      </c>
      <c r="F51" s="1" t="s">
        <v>36</v>
      </c>
      <c r="G51" s="1" t="s">
        <v>23</v>
      </c>
      <c r="H51" s="1" t="s">
        <v>11</v>
      </c>
      <c r="I51" s="1" t="s">
        <v>16</v>
      </c>
      <c r="J51" s="1" t="s">
        <v>28</v>
      </c>
      <c r="K51" s="1">
        <v>0</v>
      </c>
      <c r="L51" s="1" t="s">
        <v>17</v>
      </c>
      <c r="M51" s="29" t="s">
        <v>26</v>
      </c>
    </row>
    <row r="52" spans="1:13" x14ac:dyDescent="0.2">
      <c r="A52" s="1">
        <v>10</v>
      </c>
      <c r="B52" s="1" t="s">
        <v>44</v>
      </c>
      <c r="C52" s="28" t="s">
        <v>24</v>
      </c>
      <c r="D52" s="28" t="s">
        <v>41</v>
      </c>
      <c r="E52" s="28" t="s">
        <v>31</v>
      </c>
      <c r="F52" s="1" t="s">
        <v>36</v>
      </c>
      <c r="G52" s="1" t="s">
        <v>23</v>
      </c>
      <c r="H52" s="1" t="s">
        <v>11</v>
      </c>
      <c r="I52" s="1" t="s">
        <v>14</v>
      </c>
      <c r="J52" s="1" t="s">
        <v>28</v>
      </c>
      <c r="K52" s="1">
        <v>0</v>
      </c>
      <c r="L52" s="1" t="s">
        <v>12</v>
      </c>
      <c r="M52" s="29" t="s">
        <v>26</v>
      </c>
    </row>
    <row r="53" spans="1:13" x14ac:dyDescent="0.2">
      <c r="A53" s="1">
        <v>12</v>
      </c>
      <c r="B53" s="1" t="s">
        <v>45</v>
      </c>
      <c r="C53" s="28" t="s">
        <v>34</v>
      </c>
      <c r="D53" s="28" t="s">
        <v>41</v>
      </c>
      <c r="E53" s="28" t="s">
        <v>31</v>
      </c>
      <c r="F53" s="1" t="s">
        <v>36</v>
      </c>
      <c r="G53" s="1" t="s">
        <v>24</v>
      </c>
      <c r="H53" s="1" t="s">
        <v>11</v>
      </c>
      <c r="I53" s="1" t="s">
        <v>13</v>
      </c>
      <c r="J53" s="1" t="s">
        <v>28</v>
      </c>
      <c r="K53" s="1">
        <v>0</v>
      </c>
      <c r="L53" s="1" t="s">
        <v>12</v>
      </c>
      <c r="M53" s="1" t="s">
        <v>25</v>
      </c>
    </row>
    <row r="54" spans="1:13" x14ac:dyDescent="0.2">
      <c r="A54" s="1">
        <v>14</v>
      </c>
      <c r="B54" s="1" t="s">
        <v>45</v>
      </c>
      <c r="C54" s="28" t="s">
        <v>34</v>
      </c>
      <c r="D54" s="28" t="s">
        <v>41</v>
      </c>
      <c r="E54" s="28" t="s">
        <v>31</v>
      </c>
      <c r="F54" s="28" t="s">
        <v>37</v>
      </c>
      <c r="G54" s="1" t="s">
        <v>23</v>
      </c>
      <c r="H54" s="1" t="s">
        <v>11</v>
      </c>
      <c r="I54" s="1" t="s">
        <v>14</v>
      </c>
      <c r="J54" s="28" t="s">
        <v>29</v>
      </c>
      <c r="K54" s="1">
        <v>0</v>
      </c>
      <c r="L54" s="1" t="s">
        <v>17</v>
      </c>
      <c r="M54" s="114" t="s">
        <v>25</v>
      </c>
    </row>
    <row r="55" spans="1:13" x14ac:dyDescent="0.2">
      <c r="A55" s="1">
        <v>19</v>
      </c>
      <c r="B55" s="28" t="s">
        <v>45</v>
      </c>
      <c r="C55" s="1" t="s">
        <v>34</v>
      </c>
      <c r="D55" s="1" t="s">
        <v>40</v>
      </c>
      <c r="E55" s="28" t="s">
        <v>31</v>
      </c>
      <c r="F55" s="1" t="s">
        <v>36</v>
      </c>
      <c r="G55" s="1" t="s">
        <v>24</v>
      </c>
      <c r="H55" s="1" t="s">
        <v>11</v>
      </c>
      <c r="I55" s="1" t="s">
        <v>20</v>
      </c>
      <c r="J55" s="28" t="s">
        <v>29</v>
      </c>
      <c r="K55" s="1">
        <v>0</v>
      </c>
      <c r="L55" s="1" t="s">
        <v>12</v>
      </c>
      <c r="M55" s="28" t="s">
        <v>26</v>
      </c>
    </row>
    <row r="56" spans="1:13" x14ac:dyDescent="0.2">
      <c r="A56" s="1">
        <v>21</v>
      </c>
      <c r="B56" s="28" t="s">
        <v>45</v>
      </c>
      <c r="C56" s="1" t="s">
        <v>34</v>
      </c>
      <c r="D56" s="28" t="s">
        <v>41</v>
      </c>
      <c r="E56" s="28" t="s">
        <v>31</v>
      </c>
      <c r="F56" s="28" t="s">
        <v>37</v>
      </c>
      <c r="G56" s="1" t="s">
        <v>24</v>
      </c>
      <c r="H56" s="1" t="s">
        <v>11</v>
      </c>
      <c r="I56" s="1" t="s">
        <v>14</v>
      </c>
      <c r="J56" s="28" t="s">
        <v>39</v>
      </c>
      <c r="K56" s="1">
        <v>0</v>
      </c>
      <c r="L56" s="1" t="s">
        <v>12</v>
      </c>
      <c r="M56" s="60" t="s">
        <v>25</v>
      </c>
    </row>
    <row r="57" spans="1:13" x14ac:dyDescent="0.2">
      <c r="A57" s="1">
        <v>34</v>
      </c>
      <c r="B57" s="1" t="s">
        <v>45</v>
      </c>
      <c r="C57" s="28" t="s">
        <v>34</v>
      </c>
      <c r="D57" s="28" t="s">
        <v>41</v>
      </c>
      <c r="E57" s="28" t="s">
        <v>31</v>
      </c>
      <c r="F57" s="28" t="s">
        <v>36</v>
      </c>
      <c r="G57" s="1" t="s">
        <v>24</v>
      </c>
      <c r="H57" s="1" t="s">
        <v>11</v>
      </c>
      <c r="I57" s="1" t="s">
        <v>16</v>
      </c>
      <c r="J57" s="28" t="s">
        <v>28</v>
      </c>
      <c r="K57" s="1">
        <v>0</v>
      </c>
      <c r="L57" s="1" t="s">
        <v>12</v>
      </c>
      <c r="M57" s="29" t="s">
        <v>26</v>
      </c>
    </row>
    <row r="58" spans="1:13" x14ac:dyDescent="0.2">
      <c r="A58" s="1">
        <v>35</v>
      </c>
      <c r="B58" s="1" t="s">
        <v>45</v>
      </c>
      <c r="C58" s="28" t="s">
        <v>24</v>
      </c>
      <c r="D58" s="28" t="s">
        <v>41</v>
      </c>
      <c r="E58" s="28" t="s">
        <v>31</v>
      </c>
      <c r="F58" s="28" t="s">
        <v>36</v>
      </c>
      <c r="G58" s="1" t="s">
        <v>23</v>
      </c>
      <c r="H58" s="1" t="s">
        <v>11</v>
      </c>
      <c r="I58" s="1" t="s">
        <v>20</v>
      </c>
      <c r="J58" s="28" t="s">
        <v>39</v>
      </c>
      <c r="K58" s="1">
        <v>0.52271720899999996</v>
      </c>
      <c r="L58" s="1" t="s">
        <v>17</v>
      </c>
      <c r="M58" s="29" t="s">
        <v>26</v>
      </c>
    </row>
    <row r="59" spans="1:13" x14ac:dyDescent="0.2">
      <c r="A59" s="1">
        <v>37</v>
      </c>
      <c r="B59" s="1" t="s">
        <v>45</v>
      </c>
      <c r="C59" s="1" t="s">
        <v>34</v>
      </c>
      <c r="D59" s="28" t="s">
        <v>41</v>
      </c>
      <c r="E59" s="28" t="s">
        <v>31</v>
      </c>
      <c r="F59" s="1" t="s">
        <v>36</v>
      </c>
      <c r="G59" s="1" t="s">
        <v>23</v>
      </c>
      <c r="H59" s="1" t="s">
        <v>11</v>
      </c>
      <c r="I59" s="1" t="s">
        <v>20</v>
      </c>
      <c r="J59" s="28" t="s">
        <v>39</v>
      </c>
      <c r="K59" s="1">
        <v>0.46390579500000001</v>
      </c>
      <c r="L59" s="1" t="s">
        <v>15</v>
      </c>
      <c r="M59" s="28" t="s">
        <v>25</v>
      </c>
    </row>
    <row r="60" spans="1:13" x14ac:dyDescent="0.2">
      <c r="A60" s="1">
        <v>38</v>
      </c>
      <c r="B60" s="1" t="s">
        <v>45</v>
      </c>
      <c r="C60" s="1" t="s">
        <v>24</v>
      </c>
      <c r="D60" s="28" t="s">
        <v>41</v>
      </c>
      <c r="E60" s="28" t="s">
        <v>31</v>
      </c>
      <c r="F60" s="28" t="s">
        <v>36</v>
      </c>
      <c r="G60" s="1" t="s">
        <v>23</v>
      </c>
      <c r="H60" s="1" t="s">
        <v>11</v>
      </c>
      <c r="I60" s="1" t="s">
        <v>16</v>
      </c>
      <c r="J60" s="28" t="s">
        <v>39</v>
      </c>
      <c r="K60" s="1">
        <v>0.34688764700000002</v>
      </c>
      <c r="L60" s="1" t="s">
        <v>15</v>
      </c>
      <c r="M60" s="28" t="s">
        <v>25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1"/>
  <sheetViews>
    <sheetView workbookViewId="0">
      <selection activeCell="F9" sqref="F9"/>
    </sheetView>
  </sheetViews>
  <sheetFormatPr baseColWidth="10" defaultRowHeight="16" x14ac:dyDescent="0.2"/>
  <sheetData>
    <row r="1" spans="2:8" x14ac:dyDescent="0.2">
      <c r="B1" s="1" t="s">
        <v>8</v>
      </c>
      <c r="C1" s="1" t="s">
        <v>5</v>
      </c>
      <c r="F1" t="s">
        <v>109</v>
      </c>
      <c r="G1">
        <f>16/40</f>
        <v>0.4</v>
      </c>
      <c r="H1" t="s">
        <v>110</v>
      </c>
    </row>
    <row r="2" spans="2:8" x14ac:dyDescent="0.2">
      <c r="B2" s="1" t="s">
        <v>39</v>
      </c>
      <c r="C2" s="1" t="s">
        <v>23</v>
      </c>
      <c r="F2" t="s">
        <v>111</v>
      </c>
      <c r="G2">
        <f>10/16</f>
        <v>0.625</v>
      </c>
      <c r="H2" t="s">
        <v>112</v>
      </c>
    </row>
    <row r="3" spans="2:8" x14ac:dyDescent="0.2">
      <c r="B3" s="109" t="s">
        <v>29</v>
      </c>
      <c r="C3" s="23" t="s">
        <v>23</v>
      </c>
    </row>
    <row r="4" spans="2:8" x14ac:dyDescent="0.2">
      <c r="B4" s="109" t="s">
        <v>29</v>
      </c>
      <c r="C4" s="1" t="s">
        <v>24</v>
      </c>
    </row>
    <row r="5" spans="2:8" x14ac:dyDescent="0.2">
      <c r="B5" s="28" t="s">
        <v>39</v>
      </c>
      <c r="C5" s="1" t="s">
        <v>23</v>
      </c>
    </row>
    <row r="6" spans="2:8" x14ac:dyDescent="0.2">
      <c r="B6" s="110" t="s">
        <v>30</v>
      </c>
      <c r="C6" s="23" t="s">
        <v>23</v>
      </c>
    </row>
    <row r="7" spans="2:8" x14ac:dyDescent="0.2">
      <c r="B7" s="110" t="s">
        <v>30</v>
      </c>
      <c r="C7" s="23" t="s">
        <v>23</v>
      </c>
    </row>
    <row r="8" spans="2:8" x14ac:dyDescent="0.2">
      <c r="B8" s="109" t="s">
        <v>28</v>
      </c>
      <c r="C8" s="23" t="s">
        <v>23</v>
      </c>
      <c r="F8" t="s">
        <v>113</v>
      </c>
    </row>
    <row r="9" spans="2:8" x14ac:dyDescent="0.2">
      <c r="B9" s="28" t="s">
        <v>39</v>
      </c>
      <c r="C9" s="1" t="s">
        <v>23</v>
      </c>
    </row>
    <row r="10" spans="2:8" x14ac:dyDescent="0.2">
      <c r="B10" s="111" t="s">
        <v>30</v>
      </c>
      <c r="C10" s="23" t="s">
        <v>23</v>
      </c>
    </row>
    <row r="11" spans="2:8" x14ac:dyDescent="0.2">
      <c r="B11" s="109" t="s">
        <v>28</v>
      </c>
      <c r="C11" s="23" t="s">
        <v>23</v>
      </c>
    </row>
    <row r="12" spans="2:8" x14ac:dyDescent="0.2">
      <c r="B12" s="111" t="s">
        <v>29</v>
      </c>
      <c r="C12" s="23" t="s">
        <v>23</v>
      </c>
    </row>
    <row r="13" spans="2:8" x14ac:dyDescent="0.2">
      <c r="B13" s="109" t="s">
        <v>28</v>
      </c>
      <c r="C13" s="1" t="s">
        <v>24</v>
      </c>
    </row>
    <row r="14" spans="2:8" x14ac:dyDescent="0.2">
      <c r="B14" s="28" t="s">
        <v>39</v>
      </c>
      <c r="C14" s="1" t="s">
        <v>23</v>
      </c>
    </row>
    <row r="15" spans="2:8" x14ac:dyDescent="0.2">
      <c r="B15" s="111" t="s">
        <v>29</v>
      </c>
      <c r="C15" s="23" t="s">
        <v>23</v>
      </c>
    </row>
    <row r="16" spans="2:8" x14ac:dyDescent="0.2">
      <c r="B16" s="28" t="s">
        <v>39</v>
      </c>
      <c r="C16" s="1" t="s">
        <v>24</v>
      </c>
    </row>
    <row r="17" spans="2:3" x14ac:dyDescent="0.2">
      <c r="B17" s="28" t="s">
        <v>39</v>
      </c>
      <c r="C17" s="1" t="s">
        <v>23</v>
      </c>
    </row>
    <row r="18" spans="2:3" x14ac:dyDescent="0.2">
      <c r="B18" s="28" t="s">
        <v>39</v>
      </c>
      <c r="C18" s="1" t="s">
        <v>24</v>
      </c>
    </row>
    <row r="19" spans="2:3" x14ac:dyDescent="0.2">
      <c r="B19" s="28" t="s">
        <v>39</v>
      </c>
      <c r="C19" s="1" t="s">
        <v>23</v>
      </c>
    </row>
    <row r="20" spans="2:3" x14ac:dyDescent="0.2">
      <c r="B20" s="111" t="s">
        <v>29</v>
      </c>
      <c r="C20" s="1" t="s">
        <v>24</v>
      </c>
    </row>
    <row r="21" spans="2:3" x14ac:dyDescent="0.2">
      <c r="B21" s="109" t="s">
        <v>28</v>
      </c>
      <c r="C21" s="1" t="s">
        <v>24</v>
      </c>
    </row>
    <row r="22" spans="2:3" x14ac:dyDescent="0.2">
      <c r="B22" s="28" t="s">
        <v>39</v>
      </c>
      <c r="C22" s="1" t="s">
        <v>24</v>
      </c>
    </row>
    <row r="23" spans="2:3" x14ac:dyDescent="0.2">
      <c r="B23" s="28" t="s">
        <v>39</v>
      </c>
      <c r="C23" s="1" t="s">
        <v>23</v>
      </c>
    </row>
    <row r="24" spans="2:3" x14ac:dyDescent="0.2">
      <c r="B24" s="28" t="s">
        <v>39</v>
      </c>
      <c r="C24" s="1" t="s">
        <v>24</v>
      </c>
    </row>
    <row r="25" spans="2:3" x14ac:dyDescent="0.2">
      <c r="B25" s="111" t="s">
        <v>29</v>
      </c>
      <c r="C25" s="1" t="s">
        <v>24</v>
      </c>
    </row>
    <row r="26" spans="2:3" x14ac:dyDescent="0.2">
      <c r="B26" s="28" t="s">
        <v>39</v>
      </c>
      <c r="C26" s="1" t="s">
        <v>24</v>
      </c>
    </row>
    <row r="27" spans="2:3" x14ac:dyDescent="0.2">
      <c r="B27" s="28" t="s">
        <v>39</v>
      </c>
      <c r="C27" s="1" t="s">
        <v>24</v>
      </c>
    </row>
    <row r="28" spans="2:3" x14ac:dyDescent="0.2">
      <c r="B28" s="111" t="s">
        <v>29</v>
      </c>
      <c r="C28" s="23" t="s">
        <v>23</v>
      </c>
    </row>
    <row r="29" spans="2:3" x14ac:dyDescent="0.2">
      <c r="B29" s="28" t="s">
        <v>39</v>
      </c>
      <c r="C29" s="1" t="s">
        <v>24</v>
      </c>
    </row>
    <row r="30" spans="2:3" x14ac:dyDescent="0.2">
      <c r="B30" s="28" t="s">
        <v>39</v>
      </c>
      <c r="C30" s="1" t="s">
        <v>23</v>
      </c>
    </row>
    <row r="31" spans="2:3" x14ac:dyDescent="0.2">
      <c r="B31" s="28" t="s">
        <v>39</v>
      </c>
      <c r="C31" s="1" t="s">
        <v>24</v>
      </c>
    </row>
    <row r="32" spans="2:3" x14ac:dyDescent="0.2">
      <c r="B32" s="28" t="s">
        <v>39</v>
      </c>
      <c r="C32" s="1" t="s">
        <v>24</v>
      </c>
    </row>
    <row r="33" spans="2:3" x14ac:dyDescent="0.2">
      <c r="B33" s="28" t="s">
        <v>39</v>
      </c>
      <c r="C33" s="1" t="s">
        <v>23</v>
      </c>
    </row>
    <row r="34" spans="2:3" x14ac:dyDescent="0.2">
      <c r="B34" s="111" t="s">
        <v>30</v>
      </c>
      <c r="C34" s="23" t="s">
        <v>23</v>
      </c>
    </row>
    <row r="35" spans="2:3" x14ac:dyDescent="0.2">
      <c r="B35" s="111" t="s">
        <v>28</v>
      </c>
      <c r="C35" s="1" t="s">
        <v>24</v>
      </c>
    </row>
    <row r="36" spans="2:3" x14ac:dyDescent="0.2">
      <c r="B36" s="28" t="s">
        <v>39</v>
      </c>
      <c r="C36" s="1" t="s">
        <v>23</v>
      </c>
    </row>
    <row r="37" spans="2:3" x14ac:dyDescent="0.2">
      <c r="B37" s="28" t="s">
        <v>39</v>
      </c>
      <c r="C37" s="1" t="s">
        <v>24</v>
      </c>
    </row>
    <row r="38" spans="2:3" x14ac:dyDescent="0.2">
      <c r="B38" s="28" t="s">
        <v>39</v>
      </c>
      <c r="C38" s="1" t="s">
        <v>23</v>
      </c>
    </row>
    <row r="39" spans="2:3" x14ac:dyDescent="0.2">
      <c r="B39" s="28" t="s">
        <v>39</v>
      </c>
      <c r="C39" s="1" t="s">
        <v>23</v>
      </c>
    </row>
    <row r="40" spans="2:3" x14ac:dyDescent="0.2">
      <c r="B40" s="28" t="s">
        <v>39</v>
      </c>
      <c r="C40" s="1" t="s">
        <v>23</v>
      </c>
    </row>
    <row r="41" spans="2:3" x14ac:dyDescent="0.2">
      <c r="B41" s="28" t="s">
        <v>39</v>
      </c>
      <c r="C41" s="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Feuil1</vt:lpstr>
      <vt:lpstr>Feuil2</vt:lpstr>
      <vt:lpstr>Feuil3</vt:lpstr>
      <vt:lpstr>typo des EA finale</vt:lpstr>
      <vt:lpstr>calendriers culturaux</vt:lpstr>
      <vt:lpstr>perf éco</vt:lpstr>
      <vt:lpstr>perf éco typo ecart type</vt:lpstr>
      <vt:lpstr>perf agro typo</vt:lpstr>
      <vt:lpstr>perf agro typo ecart type</vt:lpstr>
      <vt:lpstr>perf sociales typo</vt:lpstr>
      <vt:lpstr>perf sociales ecart type</vt:lpstr>
      <vt:lpstr>perf sociales P10_P90</vt:lpstr>
      <vt:lpstr>perf sociales Q1_Q3</vt:lpstr>
      <vt:lpstr>perf env typo</vt:lpstr>
      <vt:lpstr>calculs applications</vt:lpstr>
      <vt:lpstr>perf env typo ecart type </vt:lpstr>
      <vt:lpstr>Feuil5</vt:lpstr>
      <vt:lpstr>typo avec SAU modifiées</vt:lpstr>
      <vt:lpstr>% BF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2017-10-21T22:38:05Z</dcterms:created>
  <dcterms:modified xsi:type="dcterms:W3CDTF">2017-12-05T10:41:33Z</dcterms:modified>
</cp:coreProperties>
</file>