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9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boombaap/Desktop/"/>
    </mc:Choice>
  </mc:AlternateContent>
  <bookViews>
    <workbookView xWindow="1320" yWindow="460" windowWidth="25520" windowHeight="15920" tabRatio="500" activeTab="11"/>
  </bookViews>
  <sheets>
    <sheet name="performances agro radar" sheetId="1" r:id="rId1"/>
    <sheet name="perf agro box plot" sheetId="8" r:id="rId2"/>
    <sheet name="Feuil2" sheetId="9" r:id="rId3"/>
    <sheet name="performances éco radar" sheetId="2" r:id="rId4"/>
    <sheet name="perf éco box plot" sheetId="10" r:id="rId5"/>
    <sheet name="perf eco boxplot2" sheetId="13" r:id="rId6"/>
    <sheet name="perf éco atypiques" sheetId="14" r:id="rId7"/>
    <sheet name="Perf éco stylo RF vs GSDM" sheetId="6" r:id="rId8"/>
    <sheet name="performances env radar" sheetId="3" r:id="rId9"/>
    <sheet name="perf env box plot" sheetId="11" r:id="rId10"/>
    <sheet name="Feuil1" sheetId="5" r:id="rId11"/>
    <sheet name="performances sociales radar" sheetId="4" r:id="rId12"/>
    <sheet name="perf sociales box plot" sheetId="12" r:id="rId13"/>
    <sheet name="Feuil5" sheetId="15" r:id="rId14"/>
    <sheet name="Feuil6" sheetId="16" r:id="rId15"/>
  </sheets>
  <externalReferences>
    <externalReference r:id="rId16"/>
  </externalReferences>
  <definedNames>
    <definedName name="RevFR">'perf éco atypiques'!$C$2:$C$11</definedName>
    <definedName name="RevGSDM">'perf éco atypiques'!$C$12:$C$30</definedName>
    <definedName name="solGSDM">'perf sociales box plot'!$B$12:$B$30</definedName>
    <definedName name="TerreFR">'perf éco atypiques'!$A$2:$A$11</definedName>
    <definedName name="TerreGSDM">'perf éco atypiques'!$A$12:$A$30</definedName>
    <definedName name="TravailFR">'perf éco atypiques'!$B$2:$B$11</definedName>
    <definedName name="TravailGSDM">'perf éco atypiques'!$B$12:$B$30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0" i="2" l="1"/>
  <c r="W17" i="12"/>
  <c r="W16" i="12"/>
  <c r="W15" i="12"/>
  <c r="W14" i="12"/>
  <c r="W13" i="12"/>
  <c r="V17" i="12"/>
  <c r="V16" i="12"/>
  <c r="V15" i="12"/>
  <c r="V14" i="12"/>
  <c r="V13" i="12"/>
  <c r="Q7" i="12"/>
  <c r="O5" i="12"/>
  <c r="X8" i="12"/>
  <c r="Z8" i="12"/>
  <c r="Y8" i="12"/>
  <c r="AB8" i="12"/>
  <c r="AA8" i="12"/>
  <c r="W8" i="12"/>
  <c r="V8" i="12"/>
  <c r="U8" i="12"/>
  <c r="T8" i="12"/>
  <c r="S8" i="12"/>
  <c r="R8" i="12"/>
  <c r="Q8" i="12"/>
  <c r="P8" i="12"/>
  <c r="O8" i="12"/>
  <c r="G61" i="2"/>
  <c r="H13" i="14"/>
  <c r="G13" i="14"/>
  <c r="L13" i="14"/>
  <c r="K13" i="14"/>
  <c r="O8" i="14"/>
  <c r="O2" i="14"/>
  <c r="O14" i="14"/>
  <c r="O13" i="14"/>
  <c r="P13" i="14"/>
  <c r="P3" i="14"/>
  <c r="P8" i="14"/>
  <c r="P7" i="14"/>
  <c r="O7" i="14"/>
  <c r="P2" i="14"/>
  <c r="P16" i="14"/>
  <c r="P6" i="14" a="1"/>
  <c r="P6" i="14"/>
  <c r="O16" i="14"/>
  <c r="O6" i="14" a="1"/>
  <c r="O6" i="14"/>
  <c r="P5" i="14"/>
  <c r="O5" i="14"/>
  <c r="P15" i="14"/>
  <c r="P4" i="14" a="1"/>
  <c r="P4" i="14"/>
  <c r="O15" i="14"/>
  <c r="O4" i="14" a="1"/>
  <c r="O4" i="14"/>
  <c r="O3" i="14"/>
  <c r="P14" i="14"/>
  <c r="P12" i="14"/>
  <c r="O12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C2" i="14"/>
  <c r="L3" i="14"/>
  <c r="L2" i="14"/>
  <c r="L8" i="14"/>
  <c r="L15" i="14"/>
  <c r="L4" i="14" a="1"/>
  <c r="L4" i="14"/>
  <c r="K8" i="14"/>
  <c r="L16" i="14"/>
  <c r="L14" i="14"/>
  <c r="K2" i="14"/>
  <c r="K16" i="14"/>
  <c r="K15" i="14"/>
  <c r="K14" i="14"/>
  <c r="L12" i="14"/>
  <c r="K12" i="14"/>
  <c r="L7" i="14"/>
  <c r="K7" i="14"/>
  <c r="L6" i="14" a="1"/>
  <c r="L6" i="14"/>
  <c r="K6" i="14" a="1"/>
  <c r="K6" i="14"/>
  <c r="L5" i="14"/>
  <c r="K5" i="14"/>
  <c r="K4" i="14" a="1"/>
  <c r="K4" i="14"/>
  <c r="K3" i="14"/>
  <c r="G2" i="14"/>
  <c r="G3" i="14"/>
  <c r="G8" i="14"/>
  <c r="G15" i="14"/>
  <c r="G4" i="14"/>
  <c r="G5" i="14"/>
  <c r="G16" i="14"/>
  <c r="G6" i="14"/>
  <c r="G7" i="14"/>
  <c r="G12" i="14"/>
  <c r="G14" i="14"/>
  <c r="H2" i="14"/>
  <c r="H3" i="14"/>
  <c r="H8" i="14"/>
  <c r="H15" i="14"/>
  <c r="H4" i="14" a="1"/>
  <c r="H4" i="14"/>
  <c r="H5" i="14"/>
  <c r="H16" i="14"/>
  <c r="H6" i="14" a="1"/>
  <c r="H6" i="14"/>
  <c r="H7" i="14"/>
  <c r="H12" i="14"/>
  <c r="H14" i="14"/>
  <c r="B15" i="14"/>
  <c r="B16" i="14"/>
  <c r="U6" i="13"/>
  <c r="U7" i="13"/>
  <c r="U5" i="13"/>
  <c r="V6" i="13"/>
  <c r="V7" i="13"/>
  <c r="V5" i="13"/>
  <c r="V4" i="13"/>
  <c r="V3" i="13"/>
  <c r="U3" i="13"/>
  <c r="U4" i="13"/>
  <c r="R5" i="13"/>
  <c r="R6" i="13"/>
  <c r="R7" i="13"/>
  <c r="R4" i="13"/>
  <c r="R3" i="13"/>
  <c r="Q5" i="13"/>
  <c r="Q6" i="13"/>
  <c r="Q7" i="13"/>
  <c r="Q4" i="13"/>
  <c r="Q3" i="13"/>
  <c r="I7" i="13"/>
  <c r="N7" i="13"/>
  <c r="M7" i="13"/>
  <c r="L7" i="13"/>
  <c r="K7" i="13"/>
  <c r="J7" i="13"/>
  <c r="N6" i="13"/>
  <c r="M6" i="13"/>
  <c r="L6" i="13"/>
  <c r="K6" i="13"/>
  <c r="J6" i="13"/>
  <c r="I6" i="13"/>
  <c r="N5" i="13"/>
  <c r="M5" i="13"/>
  <c r="L5" i="13"/>
  <c r="K5" i="13"/>
  <c r="J5" i="13"/>
  <c r="I5" i="13"/>
  <c r="N4" i="13"/>
  <c r="M4" i="13"/>
  <c r="L4" i="13"/>
  <c r="K4" i="13"/>
  <c r="J4" i="13"/>
  <c r="I4" i="13"/>
  <c r="N3" i="13"/>
  <c r="M3" i="13"/>
  <c r="L3" i="13"/>
  <c r="K3" i="13"/>
  <c r="J3" i="13"/>
  <c r="I3" i="13"/>
  <c r="C31" i="13"/>
  <c r="D31" i="13"/>
  <c r="B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C16" i="13"/>
  <c r="D15" i="13"/>
  <c r="C15" i="13"/>
  <c r="D14" i="13"/>
  <c r="D13" i="13"/>
  <c r="D12" i="13"/>
  <c r="D2" i="13"/>
  <c r="D3" i="13"/>
  <c r="D4" i="13"/>
  <c r="D5" i="13"/>
  <c r="D6" i="13"/>
  <c r="D7" i="13"/>
  <c r="D8" i="13"/>
  <c r="D9" i="13"/>
  <c r="D10" i="13"/>
  <c r="D11" i="13"/>
  <c r="N52" i="2"/>
  <c r="F70" i="2"/>
  <c r="E8" i="2"/>
  <c r="E7" i="2"/>
  <c r="E6" i="2"/>
  <c r="E5" i="2"/>
  <c r="E4" i="2"/>
  <c r="Q16" i="2"/>
  <c r="R16" i="2"/>
  <c r="S16" i="2"/>
  <c r="Q17" i="2"/>
  <c r="R17" i="2"/>
  <c r="S17" i="2"/>
  <c r="K30" i="2"/>
  <c r="B21" i="2"/>
  <c r="G25" i="2"/>
  <c r="E55" i="2"/>
  <c r="G55" i="2"/>
  <c r="E56" i="2"/>
  <c r="G56" i="2"/>
  <c r="E57" i="2"/>
  <c r="G57" i="2"/>
  <c r="E58" i="2"/>
  <c r="G58" i="2"/>
  <c r="G59" i="2"/>
  <c r="E59" i="2"/>
  <c r="D20" i="3"/>
  <c r="M29" i="3"/>
  <c r="D32" i="3"/>
  <c r="F45" i="3"/>
  <c r="Q31" i="3"/>
  <c r="C20" i="3"/>
  <c r="L29" i="3"/>
  <c r="C32" i="3"/>
  <c r="F34" i="3"/>
  <c r="Q30" i="3"/>
  <c r="H16" i="3"/>
  <c r="L14" i="2"/>
  <c r="L15" i="2"/>
  <c r="L30" i="2"/>
  <c r="C21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D11" i="2"/>
  <c r="D12" i="2"/>
  <c r="D13" i="2"/>
  <c r="D14" i="2"/>
  <c r="D15" i="2"/>
  <c r="D16" i="2"/>
  <c r="D17" i="2"/>
  <c r="D18" i="2"/>
  <c r="D19" i="2"/>
  <c r="D20" i="2"/>
  <c r="D21" i="2"/>
  <c r="F55" i="2"/>
  <c r="F56" i="2"/>
  <c r="F57" i="2"/>
  <c r="F58" i="2"/>
  <c r="F59" i="2"/>
  <c r="F61" i="2"/>
  <c r="K60" i="2"/>
  <c r="N60" i="2"/>
  <c r="N57" i="2"/>
  <c r="K57" i="2"/>
  <c r="Z3" i="12"/>
  <c r="Z4" i="12"/>
  <c r="Z5" i="12"/>
  <c r="Z6" i="12"/>
  <c r="Z7" i="12"/>
  <c r="P5" i="12"/>
  <c r="AB4" i="12"/>
  <c r="AB5" i="12"/>
  <c r="AB6" i="12"/>
  <c r="AB7" i="12"/>
  <c r="AB3" i="12"/>
  <c r="AA3" i="12"/>
  <c r="AA4" i="12"/>
  <c r="AA6" i="12"/>
  <c r="AA7" i="12"/>
  <c r="AA5" i="12"/>
  <c r="Y5" i="12"/>
  <c r="Y6" i="12"/>
  <c r="Y7" i="12"/>
  <c r="Y3" i="12"/>
  <c r="Y4" i="12"/>
  <c r="W3" i="12"/>
  <c r="U3" i="12"/>
  <c r="S3" i="12"/>
  <c r="Q4" i="12"/>
  <c r="Q3" i="12"/>
  <c r="O3" i="12"/>
  <c r="X7" i="12"/>
  <c r="W7" i="12"/>
  <c r="V7" i="12"/>
  <c r="U7" i="12"/>
  <c r="T7" i="12"/>
  <c r="S7" i="12"/>
  <c r="R7" i="12"/>
  <c r="P7" i="12"/>
  <c r="O7" i="12"/>
  <c r="X6" i="12"/>
  <c r="W6" i="12"/>
  <c r="V6" i="12"/>
  <c r="U6" i="12"/>
  <c r="T6" i="12"/>
  <c r="S6" i="12"/>
  <c r="R6" i="12"/>
  <c r="Q6" i="12"/>
  <c r="P6" i="12"/>
  <c r="O6" i="12"/>
  <c r="X5" i="12"/>
  <c r="W5" i="12"/>
  <c r="V5" i="12"/>
  <c r="U5" i="12"/>
  <c r="T5" i="12"/>
  <c r="S5" i="12"/>
  <c r="R5" i="12"/>
  <c r="Q5" i="12"/>
  <c r="X4" i="12"/>
  <c r="W4" i="12"/>
  <c r="V4" i="12"/>
  <c r="U4" i="12"/>
  <c r="T4" i="12"/>
  <c r="S4" i="12"/>
  <c r="R4" i="12"/>
  <c r="P4" i="12"/>
  <c r="O4" i="12"/>
  <c r="X3" i="12"/>
  <c r="V3" i="12"/>
  <c r="T3" i="12"/>
  <c r="R3" i="12"/>
  <c r="P3" i="12"/>
  <c r="T4" i="11"/>
  <c r="T5" i="11"/>
  <c r="T6" i="11"/>
  <c r="T7" i="11"/>
  <c r="T3" i="11"/>
  <c r="R4" i="11"/>
  <c r="R5" i="11"/>
  <c r="R6" i="11"/>
  <c r="R7" i="11"/>
  <c r="R3" i="11"/>
  <c r="P4" i="11"/>
  <c r="P5" i="11"/>
  <c r="P6" i="11"/>
  <c r="P7" i="11"/>
  <c r="P3" i="11"/>
  <c r="N4" i="11"/>
  <c r="N5" i="11"/>
  <c r="N6" i="11"/>
  <c r="N7" i="11"/>
  <c r="N3" i="11"/>
  <c r="M7" i="11"/>
  <c r="M6" i="11"/>
  <c r="M5" i="11"/>
  <c r="M4" i="11"/>
  <c r="M3" i="11"/>
  <c r="O7" i="11"/>
  <c r="O6" i="11"/>
  <c r="O5" i="11"/>
  <c r="O4" i="11"/>
  <c r="O3" i="11"/>
  <c r="S5" i="11"/>
  <c r="Q3" i="11"/>
  <c r="S4" i="11"/>
  <c r="S6" i="11"/>
  <c r="S7" i="11"/>
  <c r="S3" i="11"/>
  <c r="Q4" i="11"/>
  <c r="Q5" i="11"/>
  <c r="Q6" i="11"/>
  <c r="Q7" i="11"/>
  <c r="L4" i="11"/>
  <c r="L5" i="11"/>
  <c r="L6" i="11"/>
  <c r="L7" i="11"/>
  <c r="L3" i="11"/>
  <c r="K7" i="11"/>
  <c r="K6" i="11"/>
  <c r="K5" i="11"/>
  <c r="K4" i="11"/>
  <c r="K3" i="11"/>
  <c r="M5" i="10"/>
  <c r="M4" i="10"/>
  <c r="M6" i="10"/>
  <c r="M7" i="10"/>
  <c r="M3" i="10"/>
  <c r="L4" i="10"/>
  <c r="L5" i="10"/>
  <c r="L6" i="10"/>
  <c r="L7" i="10"/>
  <c r="L3" i="10"/>
  <c r="K4" i="10"/>
  <c r="K5" i="10"/>
  <c r="K6" i="10"/>
  <c r="K7" i="10"/>
  <c r="K3" i="10"/>
  <c r="J4" i="10"/>
  <c r="J5" i="10"/>
  <c r="J6" i="10"/>
  <c r="J7" i="10"/>
  <c r="J3" i="10"/>
  <c r="H3" i="10"/>
  <c r="I7" i="10"/>
  <c r="I4" i="10"/>
  <c r="I5" i="10"/>
  <c r="I6" i="10"/>
  <c r="I3" i="10"/>
  <c r="H5" i="10"/>
  <c r="H4" i="10"/>
  <c r="H6" i="10"/>
  <c r="H7" i="10"/>
  <c r="D28" i="8"/>
  <c r="D43" i="8"/>
  <c r="D44" i="8"/>
  <c r="D45" i="8"/>
  <c r="D46" i="8"/>
  <c r="D42" i="8"/>
  <c r="D34" i="8"/>
  <c r="C34" i="8"/>
  <c r="C43" i="8"/>
  <c r="C44" i="8"/>
  <c r="C45" i="8"/>
  <c r="C46" i="8"/>
  <c r="C42" i="8"/>
  <c r="D35" i="8"/>
  <c r="D36" i="8"/>
  <c r="D37" i="8"/>
  <c r="D38" i="8"/>
  <c r="D27" i="8"/>
  <c r="D29" i="8"/>
  <c r="D30" i="8"/>
  <c r="D26" i="8"/>
  <c r="C27" i="8"/>
  <c r="C28" i="8"/>
  <c r="C29" i="8"/>
  <c r="C30" i="8"/>
  <c r="C26" i="8"/>
  <c r="C35" i="8"/>
  <c r="C36" i="8"/>
  <c r="C37" i="8"/>
  <c r="C38" i="8"/>
  <c r="D19" i="8"/>
  <c r="D20" i="8"/>
  <c r="D21" i="8"/>
  <c r="D22" i="8"/>
  <c r="D18" i="8"/>
  <c r="C19" i="8"/>
  <c r="C20" i="8"/>
  <c r="C21" i="8"/>
  <c r="C22" i="8"/>
  <c r="C18" i="8"/>
  <c r="H20" i="1"/>
  <c r="L30" i="1"/>
  <c r="B20" i="1"/>
  <c r="D40" i="1"/>
  <c r="B40" i="1"/>
  <c r="C40" i="1"/>
  <c r="L52" i="2"/>
  <c r="K52" i="2"/>
  <c r="E34" i="2"/>
  <c r="D34" i="2"/>
  <c r="C34" i="2"/>
  <c r="B34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G11" i="2"/>
  <c r="G12" i="2"/>
  <c r="G13" i="2"/>
  <c r="G14" i="2"/>
  <c r="G15" i="2"/>
  <c r="G16" i="2"/>
  <c r="G17" i="2"/>
  <c r="G18" i="2"/>
  <c r="G19" i="2"/>
  <c r="G20" i="2"/>
  <c r="G21" i="2"/>
  <c r="B40" i="2"/>
  <c r="B41" i="2"/>
  <c r="F46" i="2"/>
  <c r="G46" i="2"/>
  <c r="F47" i="2"/>
  <c r="G47" i="2"/>
  <c r="F48" i="2"/>
  <c r="G48" i="2"/>
  <c r="H25" i="4"/>
  <c r="B25" i="4"/>
  <c r="AE23" i="4"/>
  <c r="B31" i="1"/>
  <c r="B47" i="2"/>
  <c r="B46" i="2"/>
  <c r="B45" i="2"/>
  <c r="B30" i="1"/>
  <c r="C29" i="6"/>
  <c r="C6" i="6"/>
  <c r="C7" i="6"/>
  <c r="C8" i="6"/>
  <c r="C9" i="6"/>
  <c r="C28" i="6"/>
  <c r="B29" i="6"/>
  <c r="B6" i="6"/>
  <c r="B7" i="6"/>
  <c r="B8" i="6"/>
  <c r="B9" i="6"/>
  <c r="B28" i="6"/>
  <c r="G26" i="4"/>
  <c r="C25" i="4"/>
  <c r="D25" i="4"/>
  <c r="E25" i="4"/>
  <c r="F25" i="4"/>
  <c r="G25" i="4"/>
  <c r="I25" i="4"/>
  <c r="C26" i="4"/>
  <c r="D26" i="4"/>
  <c r="E26" i="4"/>
  <c r="F26" i="4"/>
  <c r="H26" i="4"/>
  <c r="I26" i="4"/>
  <c r="B26" i="4"/>
  <c r="F26" i="3"/>
  <c r="C26" i="3"/>
  <c r="D26" i="3"/>
  <c r="E26" i="3"/>
  <c r="B26" i="3"/>
  <c r="F25" i="3"/>
  <c r="C25" i="3"/>
  <c r="D25" i="3"/>
  <c r="E25" i="3"/>
  <c r="B25" i="3"/>
  <c r="E6" i="5"/>
  <c r="E34" i="1"/>
  <c r="D34" i="1"/>
  <c r="C34" i="1"/>
  <c r="B34" i="1"/>
  <c r="B33" i="1"/>
  <c r="C33" i="1"/>
  <c r="D33" i="1"/>
  <c r="E33" i="1"/>
</calcChain>
</file>

<file path=xl/sharedStrings.xml><?xml version="1.0" encoding="utf-8"?>
<sst xmlns="http://schemas.openxmlformats.org/spreadsheetml/2006/main" count="1021" uniqueCount="284">
  <si>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</si>
  <si>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</si>
  <si>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</si>
  <si>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</si>
  <si>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</si>
  <si>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</si>
  <si>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</si>
  <si>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</si>
  <si>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</si>
  <si>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</si>
  <si>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</si>
  <si>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</si>
  <si>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</si>
  <si>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</si>
  <si>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</si>
  <si>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</si>
  <si>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</si>
  <si>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</si>
  <si>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</si>
  <si>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</si>
  <si>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</si>
  <si>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</si>
  <si>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</si>
  <si>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</si>
  <si>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</si>
  <si>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</si>
  <si>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</si>
  <si>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</si>
  <si>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</si>
  <si>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</si>
  <si>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</si>
  <si>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</si>
  <si>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</si>
  <si>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</si>
  <si>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</si>
  <si>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</si>
  <si>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</si>
  <si>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</si>
  <si>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</si>
  <si>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</si>
  <si>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Humidité du sol</t>
  </si>
  <si>
    <t>Intégration AE</t>
  </si>
  <si>
    <t>Revenu agricole</t>
  </si>
  <si>
    <t>VAB/ha</t>
  </si>
  <si>
    <t>VAB/hj</t>
  </si>
  <si>
    <t>usage produits phyto</t>
  </si>
  <si>
    <t>usage d'intrants azotés</t>
  </si>
  <si>
    <t>gestion des résidus</t>
  </si>
  <si>
    <t>Participation à travaux agricoles</t>
  </si>
  <si>
    <t xml:space="preserve">Qualité de vie </t>
  </si>
  <si>
    <t>Charge de travail</t>
  </si>
  <si>
    <t xml:space="preserve">maladies </t>
  </si>
  <si>
    <t>0 = très sec ou très humide</t>
  </si>
  <si>
    <t>1 = peu drainé</t>
  </si>
  <si>
    <t xml:space="preserve">2 = moyennement drainé </t>
  </si>
  <si>
    <t>3 = bien drainé</t>
  </si>
  <si>
    <t>0 = nulle</t>
  </si>
  <si>
    <t>1 = faible</t>
  </si>
  <si>
    <t>2 = moyenne</t>
  </si>
  <si>
    <t>3 = élevée</t>
  </si>
  <si>
    <t xml:space="preserve">Intégration </t>
  </si>
  <si>
    <t>0 = je ne sais pas</t>
  </si>
  <si>
    <t xml:space="preserve">1 = sommets de tanety </t>
  </si>
  <si>
    <t xml:space="preserve">2 = pentes de tanety </t>
  </si>
  <si>
    <t xml:space="preserve">4 = bas-fonds </t>
  </si>
  <si>
    <t>Position topo</t>
  </si>
  <si>
    <t>évolution de la présence</t>
  </si>
  <si>
    <t>évolution maladies</t>
  </si>
  <si>
    <t>évo advent</t>
  </si>
  <si>
    <t>3 = forte diminution</t>
  </si>
  <si>
    <t>2 = diminution moyenne</t>
  </si>
  <si>
    <t>1 = diminution faible</t>
  </si>
  <si>
    <t xml:space="preserve">0 = aucune diminuton ou augmentation </t>
  </si>
  <si>
    <t>GSDM</t>
  </si>
  <si>
    <t>produit phyto</t>
  </si>
  <si>
    <t>(couv. Du sol)</t>
  </si>
  <si>
    <t>2 = moyen</t>
  </si>
  <si>
    <t>3 = élevé</t>
  </si>
  <si>
    <t>fertilisant orga</t>
  </si>
  <si>
    <t xml:space="preserve">enrobage </t>
  </si>
  <si>
    <t xml:space="preserve">10 kg NPK *2 </t>
  </si>
  <si>
    <t>0,6 kg/a NPK RP Et maÏS et 0,5 kg/a</t>
  </si>
  <si>
    <t>250 kg compost</t>
  </si>
  <si>
    <t xml:space="preserve">gestion des résidus </t>
  </si>
  <si>
    <t>ferti orga</t>
  </si>
  <si>
    <t xml:space="preserve">fertilisation chimique </t>
  </si>
  <si>
    <t xml:space="preserve">sur place </t>
  </si>
  <si>
    <t>Coexistence (pression des voisins, jalousies…)</t>
  </si>
  <si>
    <t>la pénibilité (pics et charge de travail supplémentaires due à l’introduction des légumineuses</t>
  </si>
  <si>
    <t>MO familiale (femmes et enfants moins de 15 ans) (stat)</t>
  </si>
  <si>
    <t>MO familiale (femmes et enfants moins de 15 ans) (dyn)</t>
  </si>
  <si>
    <t>Appartenance réseaux légumineuses</t>
  </si>
  <si>
    <t>Insertion dans réseaux socio-techniques</t>
  </si>
  <si>
    <t>Travail en entraide et mutualisation de matériels</t>
  </si>
  <si>
    <t xml:space="preserve">sollicitation des voisins depuis SCV </t>
  </si>
  <si>
    <t xml:space="preserve">sollicitation </t>
  </si>
  <si>
    <t xml:space="preserve">nulle </t>
  </si>
  <si>
    <t xml:space="preserve">faible </t>
  </si>
  <si>
    <t xml:space="preserve">moyenne </t>
  </si>
  <si>
    <t xml:space="preserve">importane </t>
  </si>
  <si>
    <t>0/1/2/3/4</t>
  </si>
  <si>
    <t xml:space="preserve">0 =je ne sais pas  </t>
  </si>
  <si>
    <t xml:space="preserve">1 = élevée </t>
  </si>
  <si>
    <t>3 = peu élevée</t>
  </si>
  <si>
    <t>4 = nulle</t>
  </si>
  <si>
    <t>0/1/2/3</t>
  </si>
  <si>
    <t>0 = élevée</t>
  </si>
  <si>
    <t>1 = moyenne</t>
  </si>
  <si>
    <t xml:space="preserve">2 = faible </t>
  </si>
  <si>
    <t>3 = nulle</t>
  </si>
  <si>
    <t>0 = « ostracisé »</t>
  </si>
  <si>
    <t>1 = problèmes fréquents</t>
  </si>
  <si>
    <t>2 = quelques problèmes</t>
  </si>
  <si>
    <t xml:space="preserve">3 = aucun problème </t>
  </si>
  <si>
    <t>2 = faible</t>
  </si>
  <si>
    <t>3 = très faible</t>
  </si>
  <si>
    <t>Importance des échanges informatifs pour l'EA</t>
  </si>
  <si>
    <t>référence</t>
  </si>
  <si>
    <t>intrants chim</t>
  </si>
  <si>
    <t xml:space="preserve">NPK </t>
  </si>
  <si>
    <t xml:space="preserve">urée </t>
  </si>
  <si>
    <t xml:space="preserve">1 charrette fumier </t>
  </si>
  <si>
    <t xml:space="preserve">300 kg </t>
  </si>
  <si>
    <t>0 = exportés</t>
  </si>
  <si>
    <t>produits NPK</t>
  </si>
  <si>
    <t>Urée (kg/ha)</t>
  </si>
  <si>
    <t>produits NPK (kg/ha)</t>
  </si>
  <si>
    <t>usage d'intrants chimiques</t>
  </si>
  <si>
    <t>0 = nul</t>
  </si>
  <si>
    <t xml:space="preserve">ferti. Urée </t>
  </si>
  <si>
    <t>3 à 5 t/ha</t>
  </si>
  <si>
    <t>&gt; 5</t>
  </si>
  <si>
    <t>&lt; 3</t>
  </si>
  <si>
    <t>P.165/716</t>
  </si>
  <si>
    <t>p.165/716</t>
  </si>
  <si>
    <t xml:space="preserve">voir le résumé qui dit quen défintive, c'est avec un minimum d'intrants donc peut prendre la tranche la plus basse. </t>
  </si>
  <si>
    <t xml:space="preserve">en supposant que les sols sont moyennement riches et pas super riches ni pauvres. Pour riz et maïs </t>
  </si>
  <si>
    <t>80 kg/ha</t>
  </si>
  <si>
    <t xml:space="preserve">40 kg/ha </t>
  </si>
  <si>
    <t>p. 410/716</t>
  </si>
  <si>
    <t xml:space="preserve">produits NPK </t>
  </si>
  <si>
    <t>&gt; 40</t>
  </si>
  <si>
    <t>OK</t>
  </si>
  <si>
    <t>&gt; 80</t>
  </si>
  <si>
    <t>&lt; 20</t>
  </si>
  <si>
    <t>&lt; 40</t>
  </si>
  <si>
    <t>gsdm</t>
  </si>
  <si>
    <t>Participation aux travaux agricoles</t>
  </si>
  <si>
    <t>Appartenance</t>
  </si>
  <si>
    <t xml:space="preserve">Importance des échanges </t>
  </si>
  <si>
    <t>3 = très faible ou nulle</t>
  </si>
  <si>
    <t xml:space="preserve">valeur de référence sur 240 EA </t>
  </si>
  <si>
    <t xml:space="preserve">2,3 millions par EA </t>
  </si>
  <si>
    <t>évolution de lmaladies</t>
  </si>
  <si>
    <t xml:space="preserve">évolution des adventices </t>
  </si>
  <si>
    <t>bas de tanety</t>
  </si>
  <si>
    <t>3 = bas de tanety ou baiboho</t>
  </si>
  <si>
    <t>RA</t>
  </si>
  <si>
    <t>RA/actif</t>
  </si>
  <si>
    <t xml:space="preserve">RT : revenu total </t>
  </si>
  <si>
    <t>RT/actif</t>
  </si>
  <si>
    <t xml:space="preserve">penot : résultats sur les productivités puis différence entre valorisation et productivité ? Comparaison à l'échelle des systèmes de culture puis de l'échelle de l'exploitation, est-ce une limite ? Avez-vous des donées sur les productivité à l'hectare ou productivité de la terre ? </t>
  </si>
  <si>
    <t>³</t>
  </si>
  <si>
    <t>⩽</t>
  </si>
  <si>
    <t>&lt;=</t>
  </si>
  <si>
    <t>≤</t>
  </si>
  <si>
    <t>40 ≤ X ≤ 80</t>
  </si>
  <si>
    <t>20 ≤ X ≤ 40</t>
  </si>
  <si>
    <t>3 ≤ X ≤ 5</t>
  </si>
  <si>
    <t>3 = non exportés</t>
  </si>
  <si>
    <t xml:space="preserve">3 g/kg de semences  </t>
  </si>
  <si>
    <t xml:space="preserve">1 = faible </t>
  </si>
  <si>
    <t>3 = plus de 2 groupes</t>
  </si>
  <si>
    <t>2 = 2 groupes</t>
  </si>
  <si>
    <t>1 = 1 groupe</t>
  </si>
  <si>
    <t>0 = 0 groupe</t>
  </si>
  <si>
    <t xml:space="preserve">0 = nulle ou élevée </t>
  </si>
  <si>
    <t>1 = très faible</t>
  </si>
  <si>
    <t xml:space="preserve">2 = moyene </t>
  </si>
  <si>
    <t xml:space="preserve">3 = normale </t>
  </si>
  <si>
    <t>calculs (ne pas se fier)</t>
  </si>
  <si>
    <t>Produits phytosanitaires</t>
  </si>
  <si>
    <t>Produits NPK (kg/ha)</t>
  </si>
  <si>
    <t>Intrants chimiques</t>
  </si>
  <si>
    <t>Gestion des résidus</t>
  </si>
  <si>
    <t>Fertilisant organique</t>
  </si>
  <si>
    <t>Sollicitation</t>
  </si>
  <si>
    <t>Coexistence</t>
  </si>
  <si>
    <t xml:space="preserve">Pénibilité </t>
  </si>
  <si>
    <t xml:space="preserve">Participation </t>
  </si>
  <si>
    <t>humidité</t>
  </si>
  <si>
    <t xml:space="preserve">0 = élevée </t>
  </si>
  <si>
    <t>2 = peu élevée</t>
  </si>
  <si>
    <t>3 = diminution élevée</t>
  </si>
  <si>
    <t>0 = aucune diminution ou augmentation</t>
  </si>
  <si>
    <t xml:space="preserve">2 = diminution moyenne </t>
  </si>
  <si>
    <t xml:space="preserve">classe 1 </t>
  </si>
  <si>
    <t xml:space="preserve">classe 2 </t>
  </si>
  <si>
    <t xml:space="preserve">classe 3 </t>
  </si>
  <si>
    <t xml:space="preserve">classe 4 </t>
  </si>
  <si>
    <t xml:space="preserve">VAB/HA </t>
  </si>
  <si>
    <t>prod. Terre</t>
  </si>
  <si>
    <t>prod travail</t>
  </si>
  <si>
    <t>VAB/HJ (par uta)</t>
  </si>
  <si>
    <t>moyenne</t>
  </si>
  <si>
    <t>moyennes</t>
  </si>
  <si>
    <t xml:space="preserve">moyennes </t>
  </si>
  <si>
    <t>Revenu total/actif</t>
  </si>
  <si>
    <t>revenu total/actif</t>
  </si>
  <si>
    <t>VAB/Hj</t>
  </si>
  <si>
    <t>faible</t>
  </si>
  <si>
    <t xml:space="preserve">élevée </t>
  </si>
  <si>
    <t>très élevée</t>
  </si>
  <si>
    <t xml:space="preserve">moyen </t>
  </si>
  <si>
    <t xml:space="preserve">élevé </t>
  </si>
  <si>
    <t>très élevé</t>
  </si>
  <si>
    <t>entre 1 et 1,3 m</t>
  </si>
  <si>
    <t>moins de 1 m</t>
  </si>
  <si>
    <t>entre 1,3 et 1,6 mil</t>
  </si>
  <si>
    <t>plus de 1,6 mi</t>
  </si>
  <si>
    <t>revenu agricole</t>
  </si>
  <si>
    <t>entre 2 et 3 m</t>
  </si>
  <si>
    <t>entre 3 et 4 m</t>
  </si>
  <si>
    <t>plus de 4 m</t>
  </si>
  <si>
    <t>moins de 2 mi</t>
  </si>
  <si>
    <t>Position topographique</t>
  </si>
  <si>
    <t>variances</t>
  </si>
  <si>
    <t>Évolution des adventices</t>
  </si>
  <si>
    <t xml:space="preserve">Évolution des maladies </t>
  </si>
  <si>
    <t>Intégration agriculture-élevage</t>
  </si>
  <si>
    <t>Évolution de la présence</t>
  </si>
  <si>
    <t xml:space="preserve">Évolution perception MO familiale </t>
  </si>
  <si>
    <t>Minimum</t>
  </si>
  <si>
    <t>Q1</t>
  </si>
  <si>
    <t>Médiane</t>
  </si>
  <si>
    <t>Q3</t>
  </si>
  <si>
    <t>Maximum</t>
  </si>
  <si>
    <t>Min</t>
  </si>
  <si>
    <t>Med</t>
  </si>
  <si>
    <t>max</t>
  </si>
  <si>
    <t>évolution des maladies</t>
  </si>
  <si>
    <t>Max</t>
  </si>
  <si>
    <t>Productivité de la terre</t>
  </si>
  <si>
    <t>Productivité du travail</t>
  </si>
  <si>
    <t>Consommation de produits phytosanitaires</t>
  </si>
  <si>
    <t xml:space="preserve">Consommation de produits NPK </t>
  </si>
  <si>
    <t>Consommation d'urée</t>
  </si>
  <si>
    <t>FR</t>
  </si>
  <si>
    <t xml:space="preserve">Coexistence </t>
  </si>
  <si>
    <t>Pénibilité pour l'agriculteur</t>
  </si>
  <si>
    <t xml:space="preserve">Pénibilité pour la MO familiale </t>
  </si>
  <si>
    <t>Appartenance aux réseaux professionnels</t>
  </si>
  <si>
    <t>Importance des échanges</t>
  </si>
  <si>
    <t>moyenne valeurs</t>
  </si>
  <si>
    <t xml:space="preserve">moyennes des valeurs </t>
  </si>
  <si>
    <t>série 1</t>
  </si>
  <si>
    <t>série 2</t>
  </si>
  <si>
    <t>série 3</t>
  </si>
  <si>
    <t>série 4</t>
  </si>
  <si>
    <t>série 5</t>
  </si>
  <si>
    <t>élevé</t>
  </si>
  <si>
    <t xml:space="preserve">inf à   30000000  = 0 </t>
  </si>
  <si>
    <r>
      <t>3000000</t>
    </r>
    <r>
      <rPr>
        <sz val="9"/>
        <color theme="1"/>
        <rFont val="Times New Roman"/>
      </rPr>
      <t xml:space="preserve"> ≤ X ≤ 6000000</t>
    </r>
  </si>
  <si>
    <r>
      <t>6000000</t>
    </r>
    <r>
      <rPr>
        <sz val="9"/>
        <color theme="1"/>
        <rFont val="Times New Roman"/>
      </rPr>
      <t xml:space="preserve"> ≤ X ≤ 9000000</t>
    </r>
  </si>
  <si>
    <t>sup à 9millions =3</t>
  </si>
  <si>
    <t>moins de 1200 0 =0</t>
  </si>
  <si>
    <t xml:space="preserve">entre 12 et 24 000 = 1 </t>
  </si>
  <si>
    <t xml:space="preserve">entre 24 et 36 000 = 2 </t>
  </si>
  <si>
    <t>plus de 36 000 =3</t>
  </si>
  <si>
    <t>entre 1 et 2 m</t>
  </si>
  <si>
    <t>entre 2 et 3 mil</t>
  </si>
  <si>
    <t>plus de 3 mi</t>
  </si>
  <si>
    <t>Productivités de la terre</t>
  </si>
  <si>
    <t xml:space="preserve">Nb </t>
  </si>
  <si>
    <t>Moyenne</t>
  </si>
  <si>
    <t xml:space="preserve">Q3-Q1 </t>
  </si>
  <si>
    <t>Front basse</t>
  </si>
  <si>
    <t>Front haute</t>
  </si>
  <si>
    <t xml:space="preserve">revenu total/actif </t>
  </si>
  <si>
    <t>Moy</t>
  </si>
  <si>
    <t>Moustache inférieure</t>
  </si>
  <si>
    <t>Moustache supérieure</t>
  </si>
  <si>
    <t>Maximum atypique</t>
  </si>
  <si>
    <t xml:space="preserve">Sollicitation des voisins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</si>
</sst>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 * #,##0_)\ _€_ ;_ * \(#,##0\)\ _€_ ;_ * &quot;-&quot;??_)\ _€_ ;_ @_ "/>
    <numFmt numFmtId="165" formatCode="_ * #,##0.000_)\ _€_ ;_ * \(#,##0.000\)\ _€_ ;_ * &quot;-&quot;??_)\ _€_ ;_ @_ "/>
    <numFmt numFmtId="166" formatCode="0.000"/>
    <numFmt numFmtId="167" formatCode="0.000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rgb="FF000000"/>
      <name val="Calibri"/>
      <scheme val="minor"/>
    </font>
    <font>
      <sz val="12"/>
      <color rgb="FF000000"/>
      <name val="Calibri"/>
      <family val="2"/>
      <scheme val="minor"/>
    </font>
    <font>
      <sz val="15"/>
      <color rgb="FF000000"/>
      <name val="Calibri"/>
      <scheme val="minor"/>
    </font>
    <font>
      <sz val="15"/>
      <color rgb="FF000000"/>
      <name val="Calibri"/>
    </font>
    <font>
      <b/>
      <sz val="15"/>
      <color rgb="FF000000"/>
      <name val="Calibri"/>
    </font>
    <font>
      <sz val="11"/>
      <color rgb="FF000000"/>
      <name val="Calibri"/>
      <family val="2"/>
      <scheme val="minor"/>
    </font>
    <font>
      <sz val="12"/>
      <color theme="1"/>
      <name val="Symbol"/>
      <charset val="2"/>
    </font>
    <font>
      <b/>
      <sz val="24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2"/>
      <color rgb="FF000000"/>
      <name val="Calibri"/>
    </font>
    <font>
      <sz val="9"/>
      <color theme="1"/>
      <name val="Times New Roman"/>
    </font>
  </fonts>
  <fills count="1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AD47"/>
        <bgColor rgb="FF000000"/>
      </patternFill>
    </fill>
    <fill>
      <patternFill patternType="solid">
        <fgColor rgb="FFFFEB84"/>
        <bgColor rgb="FF000000"/>
      </patternFill>
    </fill>
    <fill>
      <patternFill patternType="solid">
        <fgColor rgb="FFF8696B"/>
        <bgColor rgb="FF000000"/>
      </patternFill>
    </fill>
    <fill>
      <patternFill patternType="solid">
        <fgColor rgb="FFFBAA77"/>
        <bgColor rgb="FF000000"/>
      </patternFill>
    </fill>
    <fill>
      <patternFill patternType="solid">
        <fgColor rgb="FF63BE7B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FFD966"/>
        <bgColor rgb="FF000000"/>
      </patternFill>
    </fill>
  </fills>
  <borders count="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thick">
        <color rgb="FFFFFFFF"/>
      </bottom>
      <diagonal/>
    </border>
  </borders>
  <cellStyleXfs count="22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9">
    <xf numFmtId="0" fontId="0" fillId="0" borderId="0" xfId="0"/>
    <xf numFmtId="0" fontId="5" fillId="0" borderId="0" xfId="0" applyFont="1" applyAlignment="1">
      <alignment horizontal="left" vertical="center" readingOrder="1"/>
    </xf>
    <xf numFmtId="0" fontId="6" fillId="0" borderId="0" xfId="0" applyFont="1"/>
    <xf numFmtId="0" fontId="0" fillId="0" borderId="0" xfId="0" applyFill="1"/>
    <xf numFmtId="0" fontId="7" fillId="0" borderId="0" xfId="0" applyFont="1" applyAlignment="1">
      <alignment horizontal="left" vertical="center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9" fillId="2" borderId="1" xfId="0" applyFont="1" applyFill="1" applyBorder="1" applyAlignment="1">
      <alignment horizontal="left" vertical="center" wrapText="1" readingOrder="1"/>
    </xf>
    <xf numFmtId="0" fontId="9" fillId="2" borderId="2" xfId="0" applyFont="1" applyFill="1" applyBorder="1" applyAlignment="1">
      <alignment horizontal="left" vertical="center" wrapText="1" readingOrder="1"/>
    </xf>
    <xf numFmtId="0" fontId="9" fillId="2" borderId="3" xfId="0" applyFont="1" applyFill="1" applyBorder="1" applyAlignment="1">
      <alignment horizontal="left" vertical="center" wrapText="1" readingOrder="1"/>
    </xf>
    <xf numFmtId="0" fontId="8" fillId="2" borderId="2" xfId="0" applyFont="1" applyFill="1" applyBorder="1" applyAlignment="1">
      <alignment horizontal="left" vertical="center" wrapText="1" readingOrder="1"/>
    </xf>
    <xf numFmtId="0" fontId="8" fillId="2" borderId="3" xfId="0" applyFont="1" applyFill="1" applyBorder="1" applyAlignment="1">
      <alignment horizontal="left" vertical="center" wrapText="1" readingOrder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5" fillId="3" borderId="0" xfId="0" applyFont="1" applyFill="1" applyAlignment="1">
      <alignment horizontal="left" vertical="center" readingOrder="1"/>
    </xf>
    <xf numFmtId="0" fontId="5" fillId="6" borderId="0" xfId="0" applyFont="1" applyFill="1" applyAlignment="1">
      <alignment horizontal="left" vertical="center" readingOrder="1"/>
    </xf>
    <xf numFmtId="0" fontId="5" fillId="4" borderId="0" xfId="0" applyFont="1" applyFill="1" applyAlignment="1">
      <alignment horizontal="left" vertical="center" readingOrder="1"/>
    </xf>
    <xf numFmtId="0" fontId="5" fillId="5" borderId="0" xfId="0" applyFont="1" applyFill="1" applyAlignment="1">
      <alignment horizontal="left" vertical="center" readingOrder="1"/>
    </xf>
    <xf numFmtId="0" fontId="10" fillId="0" borderId="0" xfId="0" applyFont="1"/>
    <xf numFmtId="0" fontId="8" fillId="2" borderId="5" xfId="0" applyFont="1" applyFill="1" applyBorder="1" applyAlignment="1">
      <alignment horizontal="left" vertical="center" wrapText="1" readingOrder="1"/>
    </xf>
    <xf numFmtId="0" fontId="8" fillId="2" borderId="6" xfId="0" applyFont="1" applyFill="1" applyBorder="1" applyAlignment="1">
      <alignment horizontal="left" vertical="center" wrapText="1" readingOrder="1"/>
    </xf>
    <xf numFmtId="0" fontId="8" fillId="2" borderId="7" xfId="0" applyFont="1" applyFill="1" applyBorder="1" applyAlignment="1">
      <alignment horizontal="left" vertical="center" wrapText="1" readingOrder="1"/>
    </xf>
    <xf numFmtId="0" fontId="0" fillId="0" borderId="4" xfId="0" applyBorder="1"/>
    <xf numFmtId="0" fontId="9" fillId="3" borderId="4" xfId="0" applyFont="1" applyFill="1" applyBorder="1" applyAlignment="1">
      <alignment horizontal="left" vertical="center" wrapText="1" readingOrder="1"/>
    </xf>
    <xf numFmtId="0" fontId="9" fillId="4" borderId="4" xfId="0" applyFont="1" applyFill="1" applyBorder="1" applyAlignment="1">
      <alignment horizontal="left" vertical="center" wrapText="1" readingOrder="1"/>
    </xf>
    <xf numFmtId="0" fontId="9" fillId="5" borderId="4" xfId="0" applyFont="1" applyFill="1" applyBorder="1" applyAlignment="1">
      <alignment horizontal="left" vertical="center" wrapText="1" readingOrder="1"/>
    </xf>
    <xf numFmtId="0" fontId="9" fillId="6" borderId="4" xfId="0" applyFont="1" applyFill="1" applyBorder="1" applyAlignment="1">
      <alignment horizontal="left" vertical="center" wrapText="1" readingOrder="1"/>
    </xf>
    <xf numFmtId="0" fontId="0" fillId="6" borderId="4" xfId="0" applyFill="1" applyBorder="1"/>
    <xf numFmtId="0" fontId="0" fillId="5" borderId="4" xfId="0" applyFill="1" applyBorder="1"/>
    <xf numFmtId="0" fontId="0" fillId="4" borderId="4" xfId="0" applyFill="1" applyBorder="1"/>
    <xf numFmtId="0" fontId="0" fillId="3" borderId="4" xfId="0" applyFill="1" applyBorder="1"/>
    <xf numFmtId="0" fontId="0" fillId="0" borderId="0" xfId="0" applyBorder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6" fillId="0" borderId="0" xfId="0" applyFont="1" applyFill="1"/>
    <xf numFmtId="0" fontId="0" fillId="0" borderId="0" xfId="0" applyFont="1"/>
    <xf numFmtId="2" fontId="0" fillId="0" borderId="0" xfId="0" applyNumberFormat="1"/>
    <xf numFmtId="1" fontId="0" fillId="0" borderId="0" xfId="0" applyNumberFormat="1"/>
    <xf numFmtId="43" fontId="0" fillId="0" borderId="0" xfId="63" applyFont="1"/>
    <xf numFmtId="164" fontId="0" fillId="0" borderId="0" xfId="63" applyNumberFormat="1" applyFont="1"/>
    <xf numFmtId="43" fontId="0" fillId="0" borderId="0" xfId="63" applyFont="1" applyFill="1" applyBorder="1"/>
    <xf numFmtId="1" fontId="6" fillId="0" borderId="0" xfId="0" applyNumberFormat="1" applyFont="1" applyFill="1"/>
    <xf numFmtId="43" fontId="6" fillId="0" borderId="0" xfId="0" applyNumberFormat="1" applyFont="1" applyFill="1"/>
    <xf numFmtId="164" fontId="0" fillId="0" borderId="0" xfId="63" applyNumberFormat="1" applyFont="1" applyFill="1" applyBorder="1"/>
    <xf numFmtId="164" fontId="0" fillId="0" borderId="4" xfId="63" applyNumberFormat="1" applyFont="1" applyFill="1" applyBorder="1"/>
    <xf numFmtId="164" fontId="6" fillId="0" borderId="4" xfId="63" applyNumberFormat="1" applyFont="1" applyFill="1" applyBorder="1"/>
    <xf numFmtId="43" fontId="6" fillId="0" borderId="0" xfId="63" applyFont="1"/>
    <xf numFmtId="164" fontId="6" fillId="0" borderId="0" xfId="0" applyNumberFormat="1" applyFont="1" applyFill="1"/>
    <xf numFmtId="43" fontId="6" fillId="0" borderId="0" xfId="63" applyFont="1" applyFill="1"/>
    <xf numFmtId="164" fontId="6" fillId="0" borderId="0" xfId="63" applyNumberFormat="1" applyFont="1" applyFill="1"/>
    <xf numFmtId="43" fontId="0" fillId="0" borderId="0" xfId="63" applyFont="1" applyFill="1"/>
    <xf numFmtId="164" fontId="0" fillId="0" borderId="0" xfId="63" applyNumberFormat="1" applyFont="1" applyFill="1"/>
    <xf numFmtId="1" fontId="6" fillId="0" borderId="0" xfId="63" applyNumberFormat="1" applyFont="1" applyFill="1"/>
    <xf numFmtId="1" fontId="0" fillId="0" borderId="0" xfId="63" applyNumberFormat="1" applyFont="1" applyFill="1"/>
    <xf numFmtId="2" fontId="6" fillId="0" borderId="0" xfId="0" applyNumberFormat="1" applyFont="1" applyFill="1"/>
    <xf numFmtId="1" fontId="0" fillId="0" borderId="0" xfId="63" applyNumberFormat="1" applyFont="1" applyFill="1" applyBorder="1"/>
    <xf numFmtId="1" fontId="0" fillId="0" borderId="0" xfId="63" applyNumberFormat="1" applyFont="1"/>
    <xf numFmtId="2" fontId="6" fillId="0" borderId="0" xfId="63" applyNumberFormat="1" applyFont="1"/>
    <xf numFmtId="0" fontId="6" fillId="7" borderId="0" xfId="0" applyFont="1" applyFill="1"/>
    <xf numFmtId="0" fontId="6" fillId="8" borderId="0" xfId="0" applyFont="1" applyFill="1"/>
    <xf numFmtId="0" fontId="6" fillId="9" borderId="0" xfId="0" applyFont="1" applyFill="1"/>
    <xf numFmtId="0" fontId="6" fillId="10" borderId="0" xfId="0" applyFont="1" applyFill="1"/>
    <xf numFmtId="0" fontId="6" fillId="11" borderId="0" xfId="0" applyFont="1" applyFill="1"/>
    <xf numFmtId="0" fontId="5" fillId="12" borderId="0" xfId="0" applyFont="1" applyFill="1" applyAlignment="1">
      <alignment horizontal="left" vertical="center" readingOrder="1"/>
    </xf>
    <xf numFmtId="0" fontId="5" fillId="13" borderId="0" xfId="0" applyFont="1" applyFill="1" applyAlignment="1">
      <alignment horizontal="left" vertical="center" readingOrder="1"/>
    </xf>
    <xf numFmtId="0" fontId="5" fillId="14" borderId="0" xfId="0" applyFont="1" applyFill="1" applyAlignment="1">
      <alignment horizontal="left" vertical="center" readingOrder="1"/>
    </xf>
    <xf numFmtId="0" fontId="5" fillId="7" borderId="0" xfId="0" applyFont="1" applyFill="1" applyAlignment="1">
      <alignment horizontal="left" vertical="center" readingOrder="1"/>
    </xf>
    <xf numFmtId="43" fontId="0" fillId="0" borderId="0" xfId="0" applyNumberFormat="1"/>
    <xf numFmtId="165" fontId="6" fillId="0" borderId="0" xfId="0" applyNumberFormat="1" applyFont="1" applyFill="1"/>
    <xf numFmtId="0" fontId="14" fillId="0" borderId="0" xfId="0" applyFont="1" applyAlignment="1">
      <alignment horizontal="center" vertical="center" wrapText="1"/>
    </xf>
    <xf numFmtId="0" fontId="0" fillId="0" borderId="0" xfId="136" applyNumberFormat="1" applyFont="1" applyFill="1" applyBorder="1"/>
    <xf numFmtId="0" fontId="0" fillId="0" borderId="0" xfId="63" applyNumberFormat="1" applyFont="1" applyFill="1" applyBorder="1"/>
    <xf numFmtId="0" fontId="6" fillId="0" borderId="0" xfId="0" applyNumberFormat="1" applyFont="1" applyFill="1"/>
    <xf numFmtId="166" fontId="6" fillId="0" borderId="0" xfId="0" applyNumberFormat="1" applyFont="1" applyFill="1"/>
    <xf numFmtId="167" fontId="0" fillId="0" borderId="0" xfId="63" applyNumberFormat="1" applyFont="1"/>
    <xf numFmtId="43" fontId="6" fillId="0" borderId="0" xfId="0" applyNumberFormat="1" applyFont="1"/>
    <xf numFmtId="43" fontId="0" fillId="0" borderId="0" xfId="63" applyFont="1" applyBorder="1"/>
    <xf numFmtId="167" fontId="0" fillId="0" borderId="0" xfId="0" applyNumberFormat="1"/>
    <xf numFmtId="0" fontId="9" fillId="2" borderId="1" xfId="0" applyFont="1" applyFill="1" applyBorder="1" applyAlignment="1">
      <alignment horizontal="left" vertical="center" wrapText="1" readingOrder="1"/>
    </xf>
    <xf numFmtId="0" fontId="9" fillId="2" borderId="2" xfId="0" applyFont="1" applyFill="1" applyBorder="1" applyAlignment="1">
      <alignment horizontal="left" vertical="center" wrapText="1" readingOrder="1"/>
    </xf>
    <xf numFmtId="0" fontId="9" fillId="2" borderId="3" xfId="0" applyFont="1" applyFill="1" applyBorder="1" applyAlignment="1">
      <alignment horizontal="left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8" fillId="2" borderId="2" xfId="0" applyFont="1" applyFill="1" applyBorder="1" applyAlignment="1">
      <alignment horizontal="left" vertical="center" wrapText="1" readingOrder="1"/>
    </xf>
    <xf numFmtId="0" fontId="8" fillId="2" borderId="3" xfId="0" applyFont="1" applyFill="1" applyBorder="1" applyAlignment="1">
      <alignment horizontal="left" vertical="center" wrapText="1" readingOrder="1"/>
    </xf>
    <xf numFmtId="0" fontId="8" fillId="2" borderId="5" xfId="0" applyFont="1" applyFill="1" applyBorder="1" applyAlignment="1">
      <alignment horizontal="left" vertical="center" wrapText="1" readingOrder="1"/>
    </xf>
    <xf numFmtId="0" fontId="8" fillId="2" borderId="6" xfId="0" applyFont="1" applyFill="1" applyBorder="1" applyAlignment="1">
      <alignment horizontal="left" vertical="center" wrapText="1" readingOrder="1"/>
    </xf>
    <xf numFmtId="0" fontId="8" fillId="2" borderId="7" xfId="0" applyFont="1" applyFill="1" applyBorder="1" applyAlignment="1">
      <alignment horizontal="left" vertical="center" wrapText="1" readingOrder="1"/>
    </xf>
  </cellXfs>
  <cellStyles count="2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Milliers" xfId="63" builtinId="3"/>
    <cellStyle name="Monétaire" xfId="136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_rels/chart8.xml.rels><?xml version="1.0" encoding="UTF-8" standalone="yes"?>
<Relationships xmlns="http://schemas.openxmlformats.org/package/2006/relationships"><Relationship Id="rId1" Type="http://schemas.microsoft.com/office/2011/relationships/chartStyle" Target="style8.xml"/><Relationship Id="rId2" Type="http://schemas.microsoft.com/office/2011/relationships/chartColorStyle" Target="colors8.xml"/></Relationships>
</file>

<file path=xl/charts/_rels/chart9.xml.rels><?xml version="1.0" encoding="UTF-8" standalone="yes"?>
<Relationships xmlns="http://schemas.openxmlformats.org/package/2006/relationships"><Relationship Id="rId1" Type="http://schemas.microsoft.com/office/2011/relationships/chartStyle" Target="style9.xml"/><Relationship Id="rId2" Type="http://schemas.microsoft.com/office/2011/relationships/chartColorStyle" Target="colors9.xml"/><Relationship Id="rId3" Type="http://schemas.openxmlformats.org/officeDocument/2006/relationships/chartUserShapes" Target="../drawings/drawing8.xml"/></Relationships>
</file>

<file path=xl/charts/_rels/chart10.xml.rels><?xml version="1.0" encoding="UTF-8" standalone="yes"?>
<Relationships xmlns="http://schemas.openxmlformats.org/package/2006/relationships"><Relationship Id="rId1" Type="http://schemas.microsoft.com/office/2011/relationships/chartStyle" Target="style10.xml"/><Relationship Id="rId2" Type="http://schemas.microsoft.com/office/2011/relationships/chartColorStyle" Target="colors10.xml"/><Relationship Id="rId3" Type="http://schemas.openxmlformats.org/officeDocument/2006/relationships/chartUserShapes" Target="../drawings/drawing9.xml"/></Relationships>
</file>

<file path=xl/charts/_rels/chart11.xml.rels><?xml version="1.0" encoding="UTF-8" standalone="yes"?>
<Relationships xmlns="http://schemas.openxmlformats.org/package/2006/relationships"><Relationship Id="rId1" Type="http://schemas.microsoft.com/office/2011/relationships/chartStyle" Target="style11.xml"/><Relationship Id="rId2" Type="http://schemas.microsoft.com/office/2011/relationships/chartColorStyle" Target="colors11.xml"/><Relationship Id="rId3" Type="http://schemas.openxmlformats.org/officeDocument/2006/relationships/chartUserShapes" Target="../drawings/drawing10.xml"/></Relationships>
</file>

<file path=xl/charts/_rels/chart12.xml.rels><?xml version="1.0" encoding="UTF-8" standalone="yes"?>
<Relationships xmlns="http://schemas.openxmlformats.org/package/2006/relationships"><Relationship Id="rId1" Type="http://schemas.microsoft.com/office/2011/relationships/chartStyle" Target="style12.xml"/><Relationship Id="rId2" Type="http://schemas.microsoft.com/office/2011/relationships/chartColorStyle" Target="colors12.xml"/></Relationships>
</file>

<file path=xl/charts/_rels/chart13.xml.rels><?xml version="1.0" encoding="UTF-8" standalone="yes"?>
<Relationships xmlns="http://schemas.openxmlformats.org/package/2006/relationships"><Relationship Id="rId1" Type="http://schemas.microsoft.com/office/2011/relationships/chartStyle" Target="style13.xml"/><Relationship Id="rId2" Type="http://schemas.microsoft.com/office/2011/relationships/chartColorStyle" Target="colors13.xml"/></Relationships>
</file>

<file path=xl/charts/_rels/chart14.xml.rels><?xml version="1.0" encoding="UTF-8" standalone="yes"?>
<Relationships xmlns="http://schemas.openxmlformats.org/package/2006/relationships"><Relationship Id="rId1" Type="http://schemas.microsoft.com/office/2011/relationships/chartStyle" Target="style14.xml"/><Relationship Id="rId2" Type="http://schemas.microsoft.com/office/2011/relationships/chartColorStyle" Target="colors14.xml"/></Relationships>
</file>

<file path=xl/charts/_rels/chart15.xml.rels><?xml version="1.0" encoding="UTF-8" standalone="yes"?>
<Relationships xmlns="http://schemas.openxmlformats.org/package/2006/relationships"><Relationship Id="rId1" Type="http://schemas.microsoft.com/office/2011/relationships/chartStyle" Target="style15.xml"/><Relationship Id="rId2" Type="http://schemas.microsoft.com/office/2011/relationships/chartColorStyle" Target="colors15.xml"/></Relationships>
</file>

<file path=xl/charts/_rels/chart16.xml.rels><?xml version="1.0" encoding="UTF-8" standalone="yes"?>
<Relationships xmlns="http://schemas.openxmlformats.org/package/2006/relationships"><Relationship Id="rId1" Type="http://schemas.microsoft.com/office/2011/relationships/chartStyle" Target="style16.xml"/><Relationship Id="rId2" Type="http://schemas.microsoft.com/office/2011/relationships/chartColorStyle" Target="colors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28678477690289"/>
          <c:y val="0.242435429459356"/>
          <c:w val="0.394027352926586"/>
          <c:h val="0.671015665180997"/>
        </c:manualLayout>
      </c:layout>
      <c:radarChart>
        <c:radarStyle val="marker"/>
        <c:varyColors val="0"/>
        <c:ser>
          <c:idx val="0"/>
          <c:order val="0"/>
          <c:tx>
            <c:strRef>
              <c:f>'performances agro radar'!$A$33</c:f>
              <c:strCache>
                <c:ptCount val="1"/>
                <c:pt idx="0">
                  <c:v>FR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'performances agro radar'!$B$32:$E$32</c:f>
              <c:strCache>
                <c:ptCount val="4"/>
                <c:pt idx="0">
                  <c:v>Humidité du sol</c:v>
                </c:pt>
                <c:pt idx="1">
                  <c:v>Évolution des adventices</c:v>
                </c:pt>
                <c:pt idx="2">
                  <c:v>Évolution des maladies </c:v>
                </c:pt>
                <c:pt idx="3">
                  <c:v>Intégration agriculture-élevage</c:v>
                </c:pt>
              </c:strCache>
            </c:strRef>
          </c:cat>
          <c:val>
            <c:numRef>
              <c:f>'performances agro radar'!$B$33:$E$33</c:f>
              <c:numCache>
                <c:formatCode>General</c:formatCode>
                <c:ptCount val="4"/>
                <c:pt idx="0">
                  <c:v>2.1</c:v>
                </c:pt>
                <c:pt idx="1">
                  <c:v>2.2</c:v>
                </c:pt>
                <c:pt idx="2">
                  <c:v>2.3</c:v>
                </c:pt>
                <c:pt idx="3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'performances agro radar'!$A$34</c:f>
              <c:strCache>
                <c:ptCount val="1"/>
                <c:pt idx="0">
                  <c:v>GSDM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'performances agro radar'!$B$32:$E$32</c:f>
              <c:strCache>
                <c:ptCount val="4"/>
                <c:pt idx="0">
                  <c:v>Humidité du sol</c:v>
                </c:pt>
                <c:pt idx="1">
                  <c:v>Évolution des adventices</c:v>
                </c:pt>
                <c:pt idx="2">
                  <c:v>Évolution des maladies </c:v>
                </c:pt>
                <c:pt idx="3">
                  <c:v>Intégration agriculture-élevage</c:v>
                </c:pt>
              </c:strCache>
            </c:strRef>
          </c:cat>
          <c:val>
            <c:numRef>
              <c:f>'performances agro radar'!$B$34:$E$34</c:f>
              <c:numCache>
                <c:formatCode>General</c:formatCode>
                <c:ptCount val="4"/>
                <c:pt idx="0">
                  <c:v>1.842105263157895</c:v>
                </c:pt>
                <c:pt idx="1">
                  <c:v>2.105263157894737</c:v>
                </c:pt>
                <c:pt idx="2">
                  <c:v>1.105263157894737</c:v>
                </c:pt>
                <c:pt idx="3">
                  <c:v>0.105263157894737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68622512"/>
        <c:axId val="-1768620032"/>
      </c:radarChart>
      <c:catAx>
        <c:axId val="-176862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620032"/>
        <c:crosses val="autoZero"/>
        <c:auto val="1"/>
        <c:lblAlgn val="ctr"/>
        <c:lblOffset val="100"/>
        <c:noMultiLvlLbl val="0"/>
      </c:catAx>
      <c:valAx>
        <c:axId val="-176862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62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'perf agro box plot'!$A$19:$B$19</c:f>
              <c:strCache>
                <c:ptCount val="2"/>
                <c:pt idx="0">
                  <c:v>1</c:v>
                </c:pt>
                <c:pt idx="1">
                  <c:v>Q1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spPr>
              <a:ln w="28575" cap="rnd">
                <a:noFill/>
                <a:round/>
              </a:ln>
              <a:effectLst/>
            </c:spPr>
          </c:dPt>
          <c:cat>
            <c:strRef>
              <c:f>'perf agro box plot'!$C$17:$D$17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agro box plot'!$C$19:$D$19</c:f>
              <c:numCache>
                <c:formatCode>General</c:formatCode>
                <c:ptCount val="2"/>
                <c:pt idx="0">
                  <c:v>2.0</c:v>
                </c:pt>
                <c:pt idx="1">
                  <c:v>2.0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'perf agro box plot'!$A$18:$B$18</c:f>
              <c:strCache>
                <c:ptCount val="2"/>
                <c:pt idx="0">
                  <c:v>0</c:v>
                </c:pt>
                <c:pt idx="1">
                  <c:v>Minimum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agro box plot'!$C$17:$D$17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agro box plot'!$C$18:$D$18</c:f>
              <c:numCache>
                <c:formatCode>General</c:formatCode>
                <c:ptCount val="2"/>
                <c:pt idx="0">
                  <c:v>1.0</c:v>
                </c:pt>
                <c:pt idx="1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agro box plot'!$A$20:$B$20</c:f>
              <c:strCache>
                <c:ptCount val="2"/>
                <c:pt idx="0">
                  <c:v>2</c:v>
                </c:pt>
                <c:pt idx="1">
                  <c:v>Médiane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5"/>
            <c:spPr>
              <a:solidFill>
                <a:srgbClr val="FF0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'perf agro box plot'!$C$17:$D$17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agro box plot'!$C$20:$D$20</c:f>
              <c:numCache>
                <c:formatCode>General</c:formatCode>
                <c:ptCount val="2"/>
                <c:pt idx="0">
                  <c:v>2.0</c:v>
                </c:pt>
                <c:pt idx="1">
                  <c:v>2.0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'perf agro box plot'!$A$22:$B$22</c:f>
              <c:strCache>
                <c:ptCount val="2"/>
                <c:pt idx="0">
                  <c:v>4</c:v>
                </c:pt>
                <c:pt idx="1">
                  <c:v>Maximum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agro box plot'!$C$17:$D$17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agro box plot'!$C$22:$D$22</c:f>
              <c:numCache>
                <c:formatCode>General</c:formatCode>
                <c:ptCount val="2"/>
                <c:pt idx="0">
                  <c:v>3.0</c:v>
                </c:pt>
                <c:pt idx="1">
                  <c:v>3.0</c:v>
                </c:pt>
              </c:numCache>
            </c:numRef>
          </c:val>
          <c:smooth val="0"/>
        </c:ser>
        <c:ser>
          <c:idx val="3"/>
          <c:order val="4"/>
          <c:tx>
            <c:strRef>
              <c:f>'perf agro box plot'!$A$21:$B$21</c:f>
              <c:strCache>
                <c:ptCount val="2"/>
                <c:pt idx="0">
                  <c:v>3</c:v>
                </c:pt>
                <c:pt idx="1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agro box plot'!$C$17:$D$17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agro box plot'!$C$21:$D$21</c:f>
              <c:numCache>
                <c:formatCode>General</c:formatCode>
                <c:ptCount val="2"/>
                <c:pt idx="0">
                  <c:v>2.75</c:v>
                </c:pt>
                <c:pt idx="1">
                  <c:v>2.0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-1797089696"/>
        <c:axId val="-1797087376"/>
      </c:lineChart>
      <c:catAx>
        <c:axId val="-17970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7087376"/>
        <c:crosses val="autoZero"/>
        <c:auto val="1"/>
        <c:lblAlgn val="ctr"/>
        <c:lblOffset val="100"/>
        <c:noMultiLvlLbl val="0"/>
      </c:catAx>
      <c:valAx>
        <c:axId val="-179708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70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Feuil2!$S$4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Feuil2!$T$4</c:f>
              <c:numCache>
                <c:formatCode>General</c:formatCode>
                <c:ptCount val="1"/>
                <c:pt idx="0">
                  <c:v>11.75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Feuil2!$S$5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Feuil2!$T$5</c:f>
              <c:numCache>
                <c:formatCode>General</c:formatCode>
                <c:ptCount val="1"/>
                <c:pt idx="0">
                  <c:v>6.0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Feuil2!$S$6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Feuil2!$T$6</c:f>
              <c:numCache>
                <c:formatCode>General</c:formatCode>
                <c:ptCount val="1"/>
                <c:pt idx="0">
                  <c:v>14.5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Feuil2!$S$7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Feuil2!$T$7</c:f>
              <c:numCache>
                <c:formatCode>General</c:formatCode>
                <c:ptCount val="1"/>
                <c:pt idx="0">
                  <c:v>17.0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Feuil2!$S$8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Feuil2!$T$8</c:f>
              <c:numCache>
                <c:formatCode>General</c:formatCode>
                <c:ptCount val="1"/>
                <c:pt idx="0">
                  <c:v>15.75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68563920"/>
        <c:axId val="-1768561168"/>
      </c:lineChart>
      <c:catAx>
        <c:axId val="-176856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561168"/>
        <c:crosses val="autoZero"/>
        <c:auto val="1"/>
        <c:lblAlgn val="ctr"/>
        <c:lblOffset val="100"/>
        <c:noMultiLvlLbl val="0"/>
      </c:catAx>
      <c:valAx>
        <c:axId val="-176856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563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'performances éco radar'!$P$16</c:f>
              <c:strCache>
                <c:ptCount val="1"/>
                <c:pt idx="0">
                  <c:v>FR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'performances éco radar'!$Q$15:$S$15</c:f>
              <c:strCache>
                <c:ptCount val="3"/>
                <c:pt idx="0">
                  <c:v>Productivité de la terre</c:v>
                </c:pt>
                <c:pt idx="1">
                  <c:v>Productivité du travail</c:v>
                </c:pt>
                <c:pt idx="2">
                  <c:v>Revenu total/actif</c:v>
                </c:pt>
              </c:strCache>
            </c:strRef>
          </c:cat>
          <c:val>
            <c:numRef>
              <c:f>'performances éco radar'!$Q$16:$S$16</c:f>
              <c:numCache>
                <c:formatCode>0</c:formatCode>
                <c:ptCount val="3"/>
                <c:pt idx="0">
                  <c:v>1.5</c:v>
                </c:pt>
                <c:pt idx="1">
                  <c:v>1.3</c:v>
                </c:pt>
                <c:pt idx="2">
                  <c:v>0.5</c:v>
                </c:pt>
              </c:numCache>
            </c:numRef>
          </c:val>
        </c:ser>
        <c:ser>
          <c:idx val="1"/>
          <c:order val="1"/>
          <c:tx>
            <c:strRef>
              <c:f>'performances éco radar'!$P$17</c:f>
              <c:strCache>
                <c:ptCount val="1"/>
                <c:pt idx="0">
                  <c:v>GSDM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'performances éco radar'!$Q$15:$S$15</c:f>
              <c:strCache>
                <c:ptCount val="3"/>
                <c:pt idx="0">
                  <c:v>Productivité de la terre</c:v>
                </c:pt>
                <c:pt idx="1">
                  <c:v>Productivité du travail</c:v>
                </c:pt>
                <c:pt idx="2">
                  <c:v>Revenu total/actif</c:v>
                </c:pt>
              </c:strCache>
            </c:strRef>
          </c:cat>
          <c:val>
            <c:numRef>
              <c:f>'performances éco radar'!$Q$17:$S$17</c:f>
              <c:numCache>
                <c:formatCode>0</c:formatCode>
                <c:ptCount val="3"/>
                <c:pt idx="0">
                  <c:v>1.105263157894737</c:v>
                </c:pt>
                <c:pt idx="1">
                  <c:v>0.368421052631579</c:v>
                </c:pt>
                <c:pt idx="2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7051056"/>
        <c:axId val="-1797048576"/>
      </c:radarChart>
      <c:catAx>
        <c:axId val="-179705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7048576"/>
        <c:crosses val="autoZero"/>
        <c:auto val="1"/>
        <c:lblAlgn val="ctr"/>
        <c:lblOffset val="100"/>
        <c:noMultiLvlLbl val="0"/>
      </c:catAx>
      <c:valAx>
        <c:axId val="-179704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7051056"/>
        <c:crosses val="autoZero"/>
        <c:crossBetween val="between"/>
        <c:majorUnit val="1.0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Performances économiques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0440935016949761"/>
          <c:y val="0.0765272727272727"/>
          <c:w val="0.882111993973418"/>
          <c:h val="0.811842662848962"/>
        </c:manualLayout>
      </c:layout>
      <c:lineChart>
        <c:grouping val="standard"/>
        <c:varyColors val="0"/>
        <c:ser>
          <c:idx val="0"/>
          <c:order val="0"/>
          <c:tx>
            <c:strRef>
              <c:f>'perf éco box plot'!$G$3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éco box plot'!$H$1:$M$2</c:f>
              <c:multiLvlStrCache>
                <c:ptCount val="6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</c:lvl>
                <c:lvl>
                  <c:pt idx="0">
                    <c:v>Productivité de la terre</c:v>
                  </c:pt>
                  <c:pt idx="2">
                    <c:v>Productivité du travail</c:v>
                  </c:pt>
                  <c:pt idx="4">
                    <c:v>Revenu total/actif</c:v>
                  </c:pt>
                </c:lvl>
              </c:multiLvlStrCache>
            </c:multiLvlStrRef>
          </c:cat>
          <c:val>
            <c:numRef>
              <c:f>'perf éco box plot'!$H$3:$M$3</c:f>
              <c:numCache>
                <c:formatCode>General</c:formatCode>
                <c:ptCount val="6"/>
                <c:pt idx="0">
                  <c:v>0.0</c:v>
                </c:pt>
                <c:pt idx="1">
                  <c:v>0.25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éco box plot'!$G$4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éco box plot'!$H$1:$M$2</c:f>
              <c:multiLvlStrCache>
                <c:ptCount val="6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</c:lvl>
                <c:lvl>
                  <c:pt idx="0">
                    <c:v>Productivité de la terre</c:v>
                  </c:pt>
                  <c:pt idx="2">
                    <c:v>Productivité du travail</c:v>
                  </c:pt>
                  <c:pt idx="4">
                    <c:v>Revenu total/actif</c:v>
                  </c:pt>
                </c:lvl>
              </c:multiLvlStrCache>
            </c:multiLvlStrRef>
          </c:cat>
          <c:val>
            <c:numRef>
              <c:f>'perf éco box plot'!$H$4:$M$4</c:f>
              <c:numCache>
                <c:formatCode>General</c:formatCode>
                <c:ptCount val="6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éco box plot'!$G$5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0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Pt>
            <c:idx val="2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Pt>
            <c:idx val="4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éco box plot'!$H$1:$M$2</c:f>
              <c:multiLvlStrCache>
                <c:ptCount val="6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</c:lvl>
                <c:lvl>
                  <c:pt idx="0">
                    <c:v>Productivité de la terre</c:v>
                  </c:pt>
                  <c:pt idx="2">
                    <c:v>Productivité du travail</c:v>
                  </c:pt>
                  <c:pt idx="4">
                    <c:v>Revenu total/actif</c:v>
                  </c:pt>
                </c:lvl>
              </c:multiLvlStrCache>
            </c:multiLvlStrRef>
          </c:cat>
          <c:val>
            <c:numRef>
              <c:f>'perf éco box plot'!$H$5:$M$5</c:f>
              <c:numCache>
                <c:formatCode>General</c:formatCode>
                <c:ptCount val="6"/>
                <c:pt idx="0">
                  <c:v>1.0</c:v>
                </c:pt>
                <c:pt idx="1">
                  <c:v>1.5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éco box plot'!$G$6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éco box plot'!$H$1:$M$2</c:f>
              <c:multiLvlStrCache>
                <c:ptCount val="6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</c:lvl>
                <c:lvl>
                  <c:pt idx="0">
                    <c:v>Productivité de la terre</c:v>
                  </c:pt>
                  <c:pt idx="2">
                    <c:v>Productivité du travail</c:v>
                  </c:pt>
                  <c:pt idx="4">
                    <c:v>Revenu total/actif</c:v>
                  </c:pt>
                </c:lvl>
              </c:multiLvlStrCache>
            </c:multiLvlStrRef>
          </c:cat>
          <c:val>
            <c:numRef>
              <c:f>'perf éco box plot'!$H$6:$M$6</c:f>
              <c:numCache>
                <c:formatCode>General</c:formatCode>
                <c:ptCount val="6"/>
                <c:pt idx="0">
                  <c:v>3.0</c:v>
                </c:pt>
                <c:pt idx="1">
                  <c:v>3.0</c:v>
                </c:pt>
                <c:pt idx="2">
                  <c:v>3.0</c:v>
                </c:pt>
                <c:pt idx="3">
                  <c:v>3.0</c:v>
                </c:pt>
                <c:pt idx="4">
                  <c:v>3.0</c:v>
                </c:pt>
                <c:pt idx="5">
                  <c:v>2.0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éco box plot'!$G$7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éco box plot'!$H$1:$M$2</c:f>
              <c:multiLvlStrCache>
                <c:ptCount val="6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</c:lvl>
                <c:lvl>
                  <c:pt idx="0">
                    <c:v>Productivité de la terre</c:v>
                  </c:pt>
                  <c:pt idx="2">
                    <c:v>Productivité du travail</c:v>
                  </c:pt>
                  <c:pt idx="4">
                    <c:v>Revenu total/actif</c:v>
                  </c:pt>
                </c:lvl>
              </c:multiLvlStrCache>
            </c:multiLvlStrRef>
          </c:cat>
          <c:val>
            <c:numRef>
              <c:f>'perf éco box plot'!$H$7:$M$7</c:f>
              <c:numCache>
                <c:formatCode>General</c:formatCode>
                <c:ptCount val="6"/>
                <c:pt idx="0">
                  <c:v>2.0</c:v>
                </c:pt>
                <c:pt idx="1">
                  <c:v>2.75</c:v>
                </c:pt>
                <c:pt idx="2">
                  <c:v>0.0</c:v>
                </c:pt>
                <c:pt idx="3">
                  <c:v>1.0</c:v>
                </c:pt>
                <c:pt idx="4">
                  <c:v>1.0</c:v>
                </c:pt>
                <c:pt idx="5">
                  <c:v>1.0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96023440"/>
        <c:axId val="-1796020608"/>
      </c:lineChart>
      <c:catAx>
        <c:axId val="-179602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6020608"/>
        <c:crosses val="autoZero"/>
        <c:auto val="1"/>
        <c:lblAlgn val="ctr"/>
        <c:lblOffset val="100"/>
        <c:noMultiLvlLbl val="0"/>
      </c:catAx>
      <c:valAx>
        <c:axId val="-1796020608"/>
        <c:scaling>
          <c:orientation val="minMax"/>
          <c:max val="3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96023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51262443276595"/>
          <c:y val="0.439740300644238"/>
          <c:w val="0.0396259394113321"/>
          <c:h val="0.291591982820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Productivité de la terre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'perf eco boxplot2'!$H$3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eco boxplot2'!$I$2:$J$2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boxplot2'!$I$3:$J$3</c:f>
              <c:numCache>
                <c:formatCode>General</c:formatCode>
                <c:ptCount val="2"/>
                <c:pt idx="0">
                  <c:v>1.4712E6</c:v>
                </c:pt>
                <c:pt idx="1">
                  <c:v>2.85285357142857E6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eco boxplot2'!$H$4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eco boxplot2'!$I$2:$J$2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boxplot2'!$I$4:$J$4</c:f>
              <c:numCache>
                <c:formatCode>General</c:formatCode>
                <c:ptCount val="2"/>
                <c:pt idx="0">
                  <c:v>1.1325E6</c:v>
                </c:pt>
                <c:pt idx="1">
                  <c:v>1.4712E6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eco boxplot2'!$H$5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'perf eco boxplot2'!$I$2:$J$2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boxplot2'!$I$5:$J$5</c:f>
              <c:numCache>
                <c:formatCode>General</c:formatCode>
                <c:ptCount val="2"/>
                <c:pt idx="0">
                  <c:v>5.42619444444444E6</c:v>
                </c:pt>
                <c:pt idx="1">
                  <c:v>5.51453333333333E6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eco boxplot2'!$H$6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eco boxplot2'!$I$2:$J$2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boxplot2'!$I$6:$J$6</c:f>
              <c:numCache>
                <c:formatCode>General</c:formatCode>
                <c:ptCount val="2"/>
                <c:pt idx="0">
                  <c:v>3.5505E7</c:v>
                </c:pt>
                <c:pt idx="1">
                  <c:v>1.16535E7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eco boxplot2'!$H$7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eco boxplot2'!$I$2:$J$2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boxplot2'!$I$7:$J$7</c:f>
              <c:numCache>
                <c:formatCode>General</c:formatCode>
                <c:ptCount val="2"/>
                <c:pt idx="0">
                  <c:v>6.50604837530864E6</c:v>
                </c:pt>
                <c:pt idx="1">
                  <c:v>9.69375E6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500"/>
          <c:upBars>
            <c:spPr>
              <a:solidFill>
                <a:schemeClr val="lt1"/>
              </a:solidFill>
              <a:ln w="12700">
                <a:solidFill>
                  <a:schemeClr val="tx1"/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69719888"/>
        <c:axId val="-1803433456"/>
      </c:lineChart>
      <c:catAx>
        <c:axId val="-1769719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433456"/>
        <c:crosses val="autoZero"/>
        <c:auto val="1"/>
        <c:lblAlgn val="ctr"/>
        <c:lblOffset val="100"/>
        <c:noMultiLvlLbl val="0"/>
      </c:catAx>
      <c:valAx>
        <c:axId val="-180343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9719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Productivité du travail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'perf eco boxplot2'!$P$3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multiLvlStrRef>
              <c:f>'perf eco boxplot2'!$Q$1:$R$2</c:f>
              <c:multiLvlStrCache>
                <c:ptCount val="2"/>
                <c:lvl>
                  <c:pt idx="0">
                    <c:v>GSDM</c:v>
                  </c:pt>
                  <c:pt idx="1">
                    <c:v>FR</c:v>
                  </c:pt>
                </c:lvl>
                <c:lvl>
                  <c:pt idx="0">
                    <c:v>Productivité du travail</c:v>
                  </c:pt>
                </c:lvl>
              </c:multiLvlStrCache>
            </c:multiLvlStrRef>
          </c:cat>
          <c:val>
            <c:numRef>
              <c:f>'perf eco boxplot2'!$Q$3:$R$3</c:f>
              <c:numCache>
                <c:formatCode>General</c:formatCode>
                <c:ptCount val="2"/>
                <c:pt idx="0">
                  <c:v>5538.722316066066</c:v>
                </c:pt>
                <c:pt idx="1">
                  <c:v>14790.2097902098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eco boxplot2'!$P$4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multiLvlStrRef>
              <c:f>'perf eco boxplot2'!$Q$1:$R$2</c:f>
              <c:multiLvlStrCache>
                <c:ptCount val="2"/>
                <c:lvl>
                  <c:pt idx="0">
                    <c:v>GSDM</c:v>
                  </c:pt>
                  <c:pt idx="1">
                    <c:v>FR</c:v>
                  </c:pt>
                </c:lvl>
                <c:lvl>
                  <c:pt idx="0">
                    <c:v>Productivité du travail</c:v>
                  </c:pt>
                </c:lvl>
              </c:multiLvlStrCache>
            </c:multiLvlStrRef>
          </c:cat>
          <c:val>
            <c:numRef>
              <c:f>'perf eco boxplot2'!$Q$4:$R$4</c:f>
              <c:numCache>
                <c:formatCode>General</c:formatCode>
                <c:ptCount val="2"/>
                <c:pt idx="0">
                  <c:v>1752.599090318388</c:v>
                </c:pt>
                <c:pt idx="1">
                  <c:v>11746.97554697555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eco boxplot2'!$P$5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'perf eco boxplot2'!$Q$1:$R$2</c:f>
              <c:multiLvlStrCache>
                <c:ptCount val="2"/>
                <c:lvl>
                  <c:pt idx="0">
                    <c:v>GSDM</c:v>
                  </c:pt>
                  <c:pt idx="1">
                    <c:v>FR</c:v>
                  </c:pt>
                </c:lvl>
                <c:lvl>
                  <c:pt idx="0">
                    <c:v>Productivité du travail</c:v>
                  </c:pt>
                </c:lvl>
              </c:multiLvlStrCache>
            </c:multiLvlStrRef>
          </c:cat>
          <c:val>
            <c:numRef>
              <c:f>'perf eco boxplot2'!$Q$5:$R$5</c:f>
              <c:numCache>
                <c:formatCode>General</c:formatCode>
                <c:ptCount val="2"/>
                <c:pt idx="0">
                  <c:v>7037.727814823078</c:v>
                </c:pt>
                <c:pt idx="1">
                  <c:v>17721.31417131417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eco boxplot2'!$P$6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multiLvlStrRef>
              <c:f>'perf eco boxplot2'!$Q$1:$R$2</c:f>
              <c:multiLvlStrCache>
                <c:ptCount val="2"/>
                <c:lvl>
                  <c:pt idx="0">
                    <c:v>GSDM</c:v>
                  </c:pt>
                  <c:pt idx="1">
                    <c:v>FR</c:v>
                  </c:pt>
                </c:lvl>
                <c:lvl>
                  <c:pt idx="0">
                    <c:v>Productivité du travail</c:v>
                  </c:pt>
                </c:lvl>
              </c:multiLvlStrCache>
            </c:multiLvlStrRef>
          </c:cat>
          <c:val>
            <c:numRef>
              <c:f>'perf eco boxplot2'!$Q$6:$R$6</c:f>
              <c:numCache>
                <c:formatCode>General</c:formatCode>
                <c:ptCount val="2"/>
                <c:pt idx="0">
                  <c:v>57413.68563685637</c:v>
                </c:pt>
                <c:pt idx="1">
                  <c:v>123365.2151898734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eco boxplot2'!$P$7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multiLvlStrRef>
              <c:f>'perf eco boxplot2'!$Q$1:$R$2</c:f>
              <c:multiLvlStrCache>
                <c:ptCount val="2"/>
                <c:lvl>
                  <c:pt idx="0">
                    <c:v>GSDM</c:v>
                  </c:pt>
                  <c:pt idx="1">
                    <c:v>FR</c:v>
                  </c:pt>
                </c:lvl>
                <c:lvl>
                  <c:pt idx="0">
                    <c:v>Productivité du travail</c:v>
                  </c:pt>
                </c:lvl>
              </c:multiLvlStrCache>
            </c:multiLvlStrRef>
          </c:cat>
          <c:val>
            <c:numRef>
              <c:f>'perf eco boxplot2'!$Q$7:$R$7</c:f>
              <c:numCache>
                <c:formatCode>General</c:formatCode>
                <c:ptCount val="2"/>
                <c:pt idx="0">
                  <c:v>9700.147388088964</c:v>
                </c:pt>
                <c:pt idx="1">
                  <c:v>26565.95890410959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500"/>
          <c:upBars>
            <c:spPr>
              <a:solidFill>
                <a:schemeClr val="lt1"/>
              </a:solidFill>
              <a:ln w="12700" cap="flat" cmpd="sng">
                <a:solidFill>
                  <a:schemeClr val="tx1"/>
                </a:solidFill>
                <a:prstDash val="solid"/>
                <a:round/>
              </a:ln>
              <a:effectLst>
                <a:softEdge rad="0"/>
              </a:effectLst>
              <a:scene3d>
                <a:camera prst="orthographicFront"/>
                <a:lightRig rig="threePt" dir="t"/>
              </a:scene3d>
              <a:sp3d>
                <a:bevelB w="82550" h="139700"/>
              </a:sp3d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803300416"/>
        <c:axId val="-1803375504"/>
      </c:lineChart>
      <c:catAx>
        <c:axId val="-180330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375504"/>
        <c:crosses val="autoZero"/>
        <c:auto val="1"/>
        <c:lblAlgn val="ctr"/>
        <c:lblOffset val="100"/>
        <c:noMultiLvlLbl val="0"/>
      </c:catAx>
      <c:valAx>
        <c:axId val="-1803375504"/>
        <c:scaling>
          <c:orientation val="minMax"/>
          <c:max val="125000.0"/>
          <c:min val="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300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'perf eco boxplot2'!$T$3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eco boxplot2'!$U$2:$V$2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boxplot2'!$U$3:$V$3</c:f>
              <c:numCache>
                <c:formatCode>General</c:formatCode>
                <c:ptCount val="2"/>
                <c:pt idx="0">
                  <c:v>324375.0</c:v>
                </c:pt>
                <c:pt idx="1">
                  <c:v>430753.0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eco boxplot2'!$T$4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eco boxplot2'!$U$2:$V$2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boxplot2'!$U$4:$V$4</c:f>
              <c:numCache>
                <c:formatCode>General</c:formatCode>
                <c:ptCount val="2"/>
                <c:pt idx="0">
                  <c:v>105500.0</c:v>
                </c:pt>
                <c:pt idx="1">
                  <c:v>220778.0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eco boxplot2'!$T$5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'perf eco boxplot2'!$U$2:$V$2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boxplot2'!$U$5:$V$5</c:f>
              <c:numCache>
                <c:formatCode>General</c:formatCode>
                <c:ptCount val="2"/>
                <c:pt idx="0">
                  <c:v>506900.0</c:v>
                </c:pt>
                <c:pt idx="1">
                  <c:v>886089.0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eco boxplot2'!$T$6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eco boxplot2'!$U$2:$V$2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boxplot2'!$U$6:$V$6</c:f>
              <c:numCache>
                <c:formatCode>General</c:formatCode>
                <c:ptCount val="2"/>
                <c:pt idx="0">
                  <c:v>4.3786071E7</c:v>
                </c:pt>
                <c:pt idx="1">
                  <c:v>2.0533E6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eco boxplot2'!$T$7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eco boxplot2'!$U$2:$V$2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eco boxplot2'!$U$7:$V$7</c:f>
              <c:numCache>
                <c:formatCode>General</c:formatCode>
                <c:ptCount val="2"/>
                <c:pt idx="0">
                  <c:v>1.2884575E6</c:v>
                </c:pt>
                <c:pt idx="1">
                  <c:v>1.2313915E6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69697056"/>
        <c:axId val="-1769694736"/>
      </c:lineChart>
      <c:catAx>
        <c:axId val="-17696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9694736"/>
        <c:crosses val="autoZero"/>
        <c:auto val="1"/>
        <c:lblAlgn val="ctr"/>
        <c:lblOffset val="100"/>
        <c:noMultiLvlLbl val="0"/>
      </c:catAx>
      <c:valAx>
        <c:axId val="-1769694736"/>
        <c:scaling>
          <c:orientation val="minMax"/>
          <c:max val="4.4E7"/>
          <c:min val="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969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2964657303218"/>
          <c:y val="0.066284563525584"/>
          <c:w val="0.492966416810406"/>
          <c:h val="0.694564264309597"/>
        </c:manualLayout>
      </c:layout>
      <c:lineChart>
        <c:grouping val="standard"/>
        <c:varyColors val="0"/>
        <c:ser>
          <c:idx val="0"/>
          <c:order val="0"/>
          <c:tx>
            <c:strRef>
              <c:f>'perf éco atypiques'!$F$2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atypiques'!$G$2:$H$2</c:f>
              <c:numCache>
                <c:formatCode>General</c:formatCode>
                <c:ptCount val="2"/>
                <c:pt idx="0">
                  <c:v>2.85285357142857E6</c:v>
                </c:pt>
                <c:pt idx="1">
                  <c:v>2.936E6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éco atypiques'!$F$3</c:f>
              <c:strCache>
                <c:ptCount val="1"/>
                <c:pt idx="0">
                  <c:v>Minimum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noFill/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atypiques'!$G$3:$H$3</c:f>
              <c:numCache>
                <c:formatCode>General</c:formatCode>
                <c:ptCount val="2"/>
                <c:pt idx="0">
                  <c:v>1.4712E6</c:v>
                </c:pt>
                <c:pt idx="1">
                  <c:v>1.1325E6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éco atypiques'!$F$4</c:f>
              <c:strCache>
                <c:ptCount val="1"/>
                <c:pt idx="0">
                  <c:v>Moustache inférieure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atypiques'!$G$4:$H$4</c:f>
              <c:numCache>
                <c:formatCode>General</c:formatCode>
                <c:ptCount val="2"/>
                <c:pt idx="0">
                  <c:v>1.4712E6</c:v>
                </c:pt>
                <c:pt idx="1">
                  <c:v>1.1325E6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éco atypiques'!$F$5</c:f>
              <c:strCache>
                <c:ptCount val="1"/>
                <c:pt idx="0">
                  <c:v>Médiane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8"/>
            <c:spPr>
              <a:solidFill>
                <a:schemeClr val="tx1"/>
              </a:solidFill>
              <a:ln w="0">
                <a:solidFill>
                  <a:schemeClr val="tx1"/>
                </a:solidFill>
                <a:headEnd type="none"/>
              </a:ln>
              <a:effectLst/>
            </c:spPr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atypiques'!$G$5:$H$5</c:f>
              <c:numCache>
                <c:formatCode>General</c:formatCode>
                <c:ptCount val="2"/>
                <c:pt idx="0">
                  <c:v>5.51453333333333E6</c:v>
                </c:pt>
                <c:pt idx="1">
                  <c:v>5.42619444444444E6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éco atypiques'!$F$6</c:f>
              <c:strCache>
                <c:ptCount val="1"/>
                <c:pt idx="0">
                  <c:v>Moustache supérieure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atypiques'!$G$6:$H$6</c:f>
              <c:numCache>
                <c:formatCode>General</c:formatCode>
                <c:ptCount val="2"/>
                <c:pt idx="0">
                  <c:v>1.16535E7</c:v>
                </c:pt>
                <c:pt idx="1">
                  <c:v>8.46E6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'perf éco atypiques'!$F$7</c:f>
              <c:strCache>
                <c:ptCount val="1"/>
                <c:pt idx="0">
                  <c:v>Maximum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0">
                <a:solidFill>
                  <a:schemeClr val="tx1"/>
                </a:solidFill>
              </a:ln>
              <a:effectLst/>
            </c:spPr>
          </c:marker>
          <c:dPt>
            <c:idx val="1"/>
            <c:marker>
              <c:symbol val="circle"/>
              <c:size val="7"/>
              <c:spPr>
                <a:noFill/>
                <a:ln w="0">
                  <a:solidFill>
                    <a:srgbClr val="FF0000"/>
                  </a:solidFill>
                </a:ln>
                <a:effectLst/>
              </c:spPr>
            </c:marker>
            <c:bubble3D val="0"/>
          </c:dPt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atypiques'!$G$7:$H$7</c:f>
              <c:numCache>
                <c:formatCode>General</c:formatCode>
                <c:ptCount val="2"/>
                <c:pt idx="0">
                  <c:v>1.16535E7</c:v>
                </c:pt>
                <c:pt idx="1">
                  <c:v>3.5505E7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'perf éco atypiques'!$F$8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noFill/>
              <a:ln w="9525">
                <a:noFill/>
              </a:ln>
              <a:effectLst/>
            </c:spPr>
          </c:marker>
          <c:cat>
            <c:strRef>
              <c:f>'perf éco atypiques'!$G$1:$H$1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atypiques'!$G$8:$H$8</c:f>
              <c:numCache>
                <c:formatCode>General</c:formatCode>
                <c:ptCount val="2"/>
                <c:pt idx="0">
                  <c:v>9.69375E6</c:v>
                </c:pt>
                <c:pt idx="1">
                  <c:v>6.50604837530864E6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500"/>
          <c:upBars>
            <c:spPr>
              <a:solidFill>
                <a:schemeClr val="lt1"/>
              </a:solidFill>
              <a:ln w="9525">
                <a:solidFill>
                  <a:schemeClr val="tx1"/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803292160"/>
        <c:axId val="-1803290256"/>
      </c:lineChart>
      <c:catAx>
        <c:axId val="-1803292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Échantillons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90256"/>
        <c:crosses val="autoZero"/>
        <c:auto val="1"/>
        <c:lblAlgn val="ctr"/>
        <c:lblOffset val="100"/>
        <c:noMultiLvlLbl val="0"/>
      </c:catAx>
      <c:valAx>
        <c:axId val="-1803290256"/>
        <c:scaling>
          <c:orientation val="minMax"/>
          <c:max val="3.8E7"/>
          <c:min val="9000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Productivité</a:t>
                </a:r>
                <a:r>
                  <a:rPr lang="fr-FR" baseline="0"/>
                  <a:t> de la terre (Ar/ha)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92160"/>
        <c:crosses val="autoZero"/>
        <c:crossBetween val="between"/>
        <c:majorUnit val="4.0E6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132417340683"/>
          <c:y val="0.062825280649395"/>
          <c:w val="0.53241157037363"/>
          <c:h val="0.710504455419736"/>
        </c:manualLayout>
      </c:layout>
      <c:lineChart>
        <c:grouping val="standard"/>
        <c:varyColors val="0"/>
        <c:ser>
          <c:idx val="0"/>
          <c:order val="0"/>
          <c:tx>
            <c:strRef>
              <c:f>'perf éco atypiques'!$J$2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atypiques'!$K$2:$L$2</c:f>
              <c:numCache>
                <c:formatCode>General</c:formatCode>
                <c:ptCount val="2"/>
                <c:pt idx="0">
                  <c:v>13125.07962146549</c:v>
                </c:pt>
                <c:pt idx="1">
                  <c:v>5538.722316066066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éco atypiques'!$J$3</c:f>
              <c:strCache>
                <c:ptCount val="1"/>
                <c:pt idx="0">
                  <c:v>Minimum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atypiques'!$K$3:$L$3</c:f>
              <c:numCache>
                <c:formatCode>General</c:formatCode>
                <c:ptCount val="2"/>
                <c:pt idx="0">
                  <c:v>8933.333333333334</c:v>
                </c:pt>
                <c:pt idx="1">
                  <c:v>1752.599090318388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éco atypiques'!$J$4</c:f>
              <c:strCache>
                <c:ptCount val="1"/>
                <c:pt idx="0">
                  <c:v>Moustache inférieure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atypiques'!$K$4:$L$4</c:f>
              <c:numCache>
                <c:formatCode>General</c:formatCode>
                <c:ptCount val="2"/>
                <c:pt idx="0">
                  <c:v>8933.333333333334</c:v>
                </c:pt>
                <c:pt idx="1">
                  <c:v>1752.599090318388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éco atypiques'!$J$5</c:f>
              <c:strCache>
                <c:ptCount val="1"/>
                <c:pt idx="0">
                  <c:v>Médiane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8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atypiques'!$K$5:$L$5</c:f>
              <c:numCache>
                <c:formatCode>General</c:formatCode>
                <c:ptCount val="2"/>
                <c:pt idx="0">
                  <c:v>16456.37901079078</c:v>
                </c:pt>
                <c:pt idx="1">
                  <c:v>7037.727814823078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éco atypiques'!$J$6</c:f>
              <c:strCache>
                <c:ptCount val="1"/>
                <c:pt idx="0">
                  <c:v>Moustache supérieure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atypiques'!$K$6:$L$6</c:f>
              <c:numCache>
                <c:formatCode>General</c:formatCode>
                <c:ptCount val="2"/>
                <c:pt idx="0">
                  <c:v>26565.95890410959</c:v>
                </c:pt>
                <c:pt idx="1">
                  <c:v>15856.06060606061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'perf éco atypiques'!$J$7</c:f>
              <c:strCache>
                <c:ptCount val="1"/>
                <c:pt idx="0">
                  <c:v>Maximum atypique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atypiques'!$K$7:$L$7</c:f>
              <c:numCache>
                <c:formatCode>General</c:formatCode>
                <c:ptCount val="2"/>
                <c:pt idx="0">
                  <c:v>123365.2151898734</c:v>
                </c:pt>
                <c:pt idx="1">
                  <c:v>57413.68563685637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'perf éco atypiques'!$J$8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éco atypiques'!$K$1:$L$1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atypiques'!$K$8:$L$8</c:f>
              <c:numCache>
                <c:formatCode>General</c:formatCode>
                <c:ptCount val="2"/>
                <c:pt idx="0">
                  <c:v>25440.38298139973</c:v>
                </c:pt>
                <c:pt idx="1">
                  <c:v>9700.147388088964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500"/>
          <c:upBars>
            <c:spPr>
              <a:solidFill>
                <a:schemeClr val="lt1"/>
              </a:solidFill>
              <a:ln w="9525">
                <a:solidFill>
                  <a:schemeClr val="tx1"/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68506816"/>
        <c:axId val="-1768502272"/>
      </c:lineChart>
      <c:catAx>
        <c:axId val="-1768506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Échantillons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502272"/>
        <c:crosses val="autoZero"/>
        <c:auto val="1"/>
        <c:lblAlgn val="ctr"/>
        <c:lblOffset val="100"/>
        <c:noMultiLvlLbl val="0"/>
      </c:catAx>
      <c:valAx>
        <c:axId val="-1768502272"/>
        <c:scaling>
          <c:orientation val="minMax"/>
          <c:max val="125000.0"/>
          <c:min val="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Productivité</a:t>
                </a:r>
                <a:r>
                  <a:rPr lang="fr-FR" baseline="0"/>
                  <a:t> du travail (Ar/hj)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506816"/>
        <c:crosses val="autoZero"/>
        <c:crossBetween val="between"/>
        <c:majorUnit val="25000.0"/>
        <c:minorUnit val="5000.0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771537811225128"/>
          <c:y val="0.457712421558775"/>
          <c:w val="0.219050090336098"/>
          <c:h val="0.1824360911640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000791252439"/>
          <c:y val="0.0601851851851852"/>
          <c:w val="0.539779301090232"/>
          <c:h val="0.722669874599008"/>
        </c:manualLayout>
      </c:layout>
      <c:lineChart>
        <c:grouping val="standard"/>
        <c:varyColors val="0"/>
        <c:ser>
          <c:idx val="0"/>
          <c:order val="0"/>
          <c:tx>
            <c:strRef>
              <c:f>'perf éco atypiques'!$N$2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atypiques'!$O$2:$P$2</c:f>
              <c:numCache>
                <c:formatCode>General</c:formatCode>
                <c:ptCount val="2"/>
                <c:pt idx="0">
                  <c:v>430753.0</c:v>
                </c:pt>
                <c:pt idx="1">
                  <c:v>324375.0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éco atypiques'!$N$3</c:f>
              <c:strCache>
                <c:ptCount val="1"/>
                <c:pt idx="0">
                  <c:v>Minimum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atypiques'!$O$3:$P$3</c:f>
              <c:numCache>
                <c:formatCode>General</c:formatCode>
                <c:ptCount val="2"/>
                <c:pt idx="0">
                  <c:v>220778.0</c:v>
                </c:pt>
                <c:pt idx="1">
                  <c:v>105500.0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éco atypiques'!$N$4</c:f>
              <c:strCache>
                <c:ptCount val="1"/>
                <c:pt idx="0">
                  <c:v>Moustache inférieure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atypiques'!$O$4:$P$4</c:f>
              <c:numCache>
                <c:formatCode>General</c:formatCode>
                <c:ptCount val="2"/>
                <c:pt idx="0">
                  <c:v>220778.0</c:v>
                </c:pt>
                <c:pt idx="1">
                  <c:v>105500.0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éco atypiques'!$N$5</c:f>
              <c:strCache>
                <c:ptCount val="1"/>
                <c:pt idx="0">
                  <c:v>Médiane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8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atypiques'!$O$5:$P$5</c:f>
              <c:numCache>
                <c:formatCode>General</c:formatCode>
                <c:ptCount val="2"/>
                <c:pt idx="0">
                  <c:v>886089.0</c:v>
                </c:pt>
                <c:pt idx="1">
                  <c:v>506900.0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éco atypiques'!$N$6</c:f>
              <c:strCache>
                <c:ptCount val="1"/>
                <c:pt idx="0">
                  <c:v>Moustache supérieure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atypiques'!$O$6:$P$6</c:f>
              <c:numCache>
                <c:formatCode>General</c:formatCode>
                <c:ptCount val="2"/>
                <c:pt idx="0">
                  <c:v>2.0533E6</c:v>
                </c:pt>
                <c:pt idx="1">
                  <c:v>2.619007E6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'perf éco atypiques'!$N$7</c:f>
              <c:strCache>
                <c:ptCount val="1"/>
                <c:pt idx="0">
                  <c:v>Maximum atypique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noFill/>
                <a:ln w="9525">
                  <a:solidFill>
                    <a:schemeClr val="tx1"/>
                  </a:solidFill>
                </a:ln>
                <a:effectLst/>
              </c:spPr>
            </c:marker>
            <c:bubble3D val="0"/>
          </c:dPt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atypiques'!$O$7:$P$7</c:f>
              <c:numCache>
                <c:formatCode>General</c:formatCode>
                <c:ptCount val="2"/>
                <c:pt idx="0">
                  <c:v>2.0533E6</c:v>
                </c:pt>
                <c:pt idx="1">
                  <c:v>4.3786071E7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'perf éco atypiques'!$N$8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'perf éco atypiques'!$O$1:$P$1</c:f>
              <c:strCache>
                <c:ptCount val="2"/>
                <c:pt idx="0">
                  <c:v>FR</c:v>
                </c:pt>
                <c:pt idx="1">
                  <c:v>GSDM</c:v>
                </c:pt>
              </c:strCache>
            </c:strRef>
          </c:cat>
          <c:val>
            <c:numRef>
              <c:f>'perf éco atypiques'!$O$8:$P$8</c:f>
              <c:numCache>
                <c:formatCode>General</c:formatCode>
                <c:ptCount val="2"/>
                <c:pt idx="0">
                  <c:v>1.2313915E6</c:v>
                </c:pt>
                <c:pt idx="1">
                  <c:v>1.2884575E6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500"/>
          <c:upBars>
            <c:spPr>
              <a:solidFill>
                <a:schemeClr val="lt1"/>
              </a:solidFill>
              <a:ln w="9525">
                <a:solidFill>
                  <a:schemeClr val="tx1"/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803249968"/>
        <c:axId val="-1803245424"/>
      </c:lineChart>
      <c:catAx>
        <c:axId val="-1803249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Échantillons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45424"/>
        <c:crosses val="autoZero"/>
        <c:auto val="1"/>
        <c:lblAlgn val="ctr"/>
        <c:lblOffset val="100"/>
        <c:noMultiLvlLbl val="0"/>
      </c:catAx>
      <c:valAx>
        <c:axId val="-1803245424"/>
        <c:scaling>
          <c:orientation val="minMax"/>
          <c:max val="4.5E7"/>
          <c:min val="1000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Revenus totaux/actif (Ar/actif)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49968"/>
        <c:crosses val="autoZero"/>
        <c:crossBetween val="between"/>
        <c:minorUnit val="1.0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758134531813775"/>
          <c:y val="0.499472967127857"/>
          <c:w val="0.180153033680387"/>
          <c:h val="0.2087433685980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'performances env radar'!$A$25</c:f>
              <c:strCache>
                <c:ptCount val="1"/>
                <c:pt idx="0">
                  <c:v>FR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'performances env radar'!$B$24:$F$24</c:f>
              <c:strCache>
                <c:ptCount val="5"/>
                <c:pt idx="0">
                  <c:v>Produits phytosanitaires</c:v>
                </c:pt>
                <c:pt idx="1">
                  <c:v>Produits NPK (kg/ha)</c:v>
                </c:pt>
                <c:pt idx="2">
                  <c:v>Urée (kg/ha)</c:v>
                </c:pt>
                <c:pt idx="3">
                  <c:v>Gestion des résidus</c:v>
                </c:pt>
                <c:pt idx="4">
                  <c:v>Fertilisant organique</c:v>
                </c:pt>
              </c:strCache>
            </c:strRef>
          </c:cat>
          <c:val>
            <c:numRef>
              <c:f>'performances env radar'!$B$25:$F$25</c:f>
              <c:numCache>
                <c:formatCode>General</c:formatCode>
                <c:ptCount val="5"/>
                <c:pt idx="0">
                  <c:v>3.0</c:v>
                </c:pt>
                <c:pt idx="1">
                  <c:v>2.6</c:v>
                </c:pt>
                <c:pt idx="2">
                  <c:v>2.9</c:v>
                </c:pt>
                <c:pt idx="3">
                  <c:v>3.0</c:v>
                </c:pt>
                <c:pt idx="4">
                  <c:v>0.7</c:v>
                </c:pt>
              </c:numCache>
            </c:numRef>
          </c:val>
        </c:ser>
        <c:ser>
          <c:idx val="1"/>
          <c:order val="1"/>
          <c:tx>
            <c:strRef>
              <c:f>'performances env radar'!$A$26</c:f>
              <c:strCache>
                <c:ptCount val="1"/>
                <c:pt idx="0">
                  <c:v>GSDM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'performances env radar'!$B$24:$F$24</c:f>
              <c:strCache>
                <c:ptCount val="5"/>
                <c:pt idx="0">
                  <c:v>Produits phytosanitaires</c:v>
                </c:pt>
                <c:pt idx="1">
                  <c:v>Produits NPK (kg/ha)</c:v>
                </c:pt>
                <c:pt idx="2">
                  <c:v>Urée (kg/ha)</c:v>
                </c:pt>
                <c:pt idx="3">
                  <c:v>Gestion des résidus</c:v>
                </c:pt>
                <c:pt idx="4">
                  <c:v>Fertilisant organique</c:v>
                </c:pt>
              </c:strCache>
            </c:strRef>
          </c:cat>
          <c:val>
            <c:numRef>
              <c:f>'performances env radar'!$B$26:$F$26</c:f>
              <c:numCache>
                <c:formatCode>General</c:formatCode>
                <c:ptCount val="5"/>
                <c:pt idx="0">
                  <c:v>3.0</c:v>
                </c:pt>
                <c:pt idx="1">
                  <c:v>2.105263157894737</c:v>
                </c:pt>
                <c:pt idx="2">
                  <c:v>2.210526315789474</c:v>
                </c:pt>
                <c:pt idx="3">
                  <c:v>3.0</c:v>
                </c:pt>
                <c:pt idx="4">
                  <c:v>0.368421052631579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68458848"/>
        <c:axId val="-1768456368"/>
      </c:radarChart>
      <c:catAx>
        <c:axId val="-176845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456368"/>
        <c:crosses val="autoZero"/>
        <c:auto val="1"/>
        <c:lblAlgn val="ctr"/>
        <c:lblOffset val="100"/>
        <c:noMultiLvlLbl val="0"/>
      </c:catAx>
      <c:valAx>
        <c:axId val="-1768456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458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Performances environnementales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0703169653298288"/>
          <c:y val="0.136371989004333"/>
          <c:w val="0.850769916136721"/>
          <c:h val="0.600256239156546"/>
        </c:manualLayout>
      </c:layout>
      <c:lineChart>
        <c:grouping val="standard"/>
        <c:varyColors val="0"/>
        <c:ser>
          <c:idx val="0"/>
          <c:order val="0"/>
          <c:tx>
            <c:strRef>
              <c:f>'perf env box plot'!$J$3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env box plot'!$K$1:$T$2</c:f>
              <c:multiLvlStrCache>
                <c:ptCount val="10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</c:lvl>
                <c:lvl>
                  <c:pt idx="0">
                    <c:v>Consommation de produits phytosanitaires</c:v>
                  </c:pt>
                  <c:pt idx="2">
                    <c:v>Consommation de produits NPK </c:v>
                  </c:pt>
                  <c:pt idx="4">
                    <c:v>Consommation d'urée</c:v>
                  </c:pt>
                  <c:pt idx="6">
                    <c:v>Gestion des résidus</c:v>
                  </c:pt>
                  <c:pt idx="8">
                    <c:v>Fertilisant organique</c:v>
                  </c:pt>
                </c:lvl>
              </c:multiLvlStrCache>
            </c:multiLvlStrRef>
          </c:cat>
          <c:val>
            <c:numRef>
              <c:f>'perf env box plot'!$K$3:$T$3</c:f>
              <c:numCache>
                <c:formatCode>General</c:formatCode>
                <c:ptCount val="10"/>
                <c:pt idx="0">
                  <c:v>3.0</c:v>
                </c:pt>
                <c:pt idx="1">
                  <c:v>3.0</c:v>
                </c:pt>
                <c:pt idx="2">
                  <c:v>1.5</c:v>
                </c:pt>
                <c:pt idx="3">
                  <c:v>2.25</c:v>
                </c:pt>
                <c:pt idx="4">
                  <c:v>1.5</c:v>
                </c:pt>
                <c:pt idx="5">
                  <c:v>3.0</c:v>
                </c:pt>
                <c:pt idx="6">
                  <c:v>3.0</c:v>
                </c:pt>
                <c:pt idx="7">
                  <c:v>3.0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env box plot'!$J$4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env box plot'!$K$1:$T$2</c:f>
              <c:multiLvlStrCache>
                <c:ptCount val="10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</c:lvl>
                <c:lvl>
                  <c:pt idx="0">
                    <c:v>Consommation de produits phytosanitaires</c:v>
                  </c:pt>
                  <c:pt idx="2">
                    <c:v>Consommation de produits NPK </c:v>
                  </c:pt>
                  <c:pt idx="4">
                    <c:v>Consommation d'urée</c:v>
                  </c:pt>
                  <c:pt idx="6">
                    <c:v>Gestion des résidus</c:v>
                  </c:pt>
                  <c:pt idx="8">
                    <c:v>Fertilisant organique</c:v>
                  </c:pt>
                </c:lvl>
              </c:multiLvlStrCache>
            </c:multiLvlStrRef>
          </c:cat>
          <c:val>
            <c:numRef>
              <c:f>'perf env box plot'!$K$4:$T$4</c:f>
              <c:numCache>
                <c:formatCode>General</c:formatCode>
                <c:ptCount val="10"/>
                <c:pt idx="0">
                  <c:v>3.0</c:v>
                </c:pt>
                <c:pt idx="1">
                  <c:v>3.0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2.0</c:v>
                </c:pt>
                <c:pt idx="6">
                  <c:v>0.0</c:v>
                </c:pt>
                <c:pt idx="7">
                  <c:v>3.0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env box plot'!$J$5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0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FFC000"/>
                </a:solidFill>
                <a:round/>
              </a:ln>
              <a:effectLst/>
            </c:spPr>
          </c:dPt>
          <c:dPt>
            <c:idx val="2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Pt>
            <c:idx val="4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  <c:spPr>
              <a:ln w="28575" cap="rnd">
                <a:noFill/>
                <a:round/>
              </a:ln>
              <a:effectLst/>
            </c:spPr>
          </c:dPt>
          <c:dPt>
            <c:idx val="6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Pt>
            <c:idx val="8"/>
            <c:marker>
              <c:symbol val="dash"/>
              <c:size val="20"/>
              <c:spPr>
                <a:solidFill>
                  <a:schemeClr val="tx2"/>
                </a:solidFill>
                <a:ln w="9525">
                  <a:solidFill>
                    <a:schemeClr val="tx2"/>
                  </a:solidFill>
                </a:ln>
                <a:effectLst/>
              </c:spPr>
            </c:marker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env box plot'!$K$1:$T$2</c:f>
              <c:multiLvlStrCache>
                <c:ptCount val="10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</c:lvl>
                <c:lvl>
                  <c:pt idx="0">
                    <c:v>Consommation de produits phytosanitaires</c:v>
                  </c:pt>
                  <c:pt idx="2">
                    <c:v>Consommation de produits NPK </c:v>
                  </c:pt>
                  <c:pt idx="4">
                    <c:v>Consommation d'urée</c:v>
                  </c:pt>
                  <c:pt idx="6">
                    <c:v>Gestion des résidus</c:v>
                  </c:pt>
                  <c:pt idx="8">
                    <c:v>Fertilisant organique</c:v>
                  </c:pt>
                </c:lvl>
              </c:multiLvlStrCache>
            </c:multiLvlStrRef>
          </c:cat>
          <c:val>
            <c:numRef>
              <c:f>'perf env box plot'!$K$5:$T$5</c:f>
              <c:numCache>
                <c:formatCode>General</c:formatCode>
                <c:ptCount val="10"/>
                <c:pt idx="0">
                  <c:v>3.0</c:v>
                </c:pt>
                <c:pt idx="1">
                  <c:v>3.0</c:v>
                </c:pt>
                <c:pt idx="2">
                  <c:v>3.0</c:v>
                </c:pt>
                <c:pt idx="3">
                  <c:v>3.0</c:v>
                </c:pt>
                <c:pt idx="4">
                  <c:v>3.0</c:v>
                </c:pt>
                <c:pt idx="5">
                  <c:v>3.0</c:v>
                </c:pt>
                <c:pt idx="6">
                  <c:v>3.0</c:v>
                </c:pt>
                <c:pt idx="7">
                  <c:v>3.0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env box plot'!$J$6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env box plot'!$K$1:$T$2</c:f>
              <c:multiLvlStrCache>
                <c:ptCount val="10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</c:lvl>
                <c:lvl>
                  <c:pt idx="0">
                    <c:v>Consommation de produits phytosanitaires</c:v>
                  </c:pt>
                  <c:pt idx="2">
                    <c:v>Consommation de produits NPK </c:v>
                  </c:pt>
                  <c:pt idx="4">
                    <c:v>Consommation d'urée</c:v>
                  </c:pt>
                  <c:pt idx="6">
                    <c:v>Gestion des résidus</c:v>
                  </c:pt>
                  <c:pt idx="8">
                    <c:v>Fertilisant organique</c:v>
                  </c:pt>
                </c:lvl>
              </c:multiLvlStrCache>
            </c:multiLvlStrRef>
          </c:cat>
          <c:val>
            <c:numRef>
              <c:f>'perf env box plot'!$K$6:$T$6</c:f>
              <c:numCache>
                <c:formatCode>General</c:formatCode>
                <c:ptCount val="10"/>
                <c:pt idx="0">
                  <c:v>3.0</c:v>
                </c:pt>
                <c:pt idx="1">
                  <c:v>3.0</c:v>
                </c:pt>
                <c:pt idx="2">
                  <c:v>3.0</c:v>
                </c:pt>
                <c:pt idx="3">
                  <c:v>3.0</c:v>
                </c:pt>
                <c:pt idx="4">
                  <c:v>3.0</c:v>
                </c:pt>
                <c:pt idx="5">
                  <c:v>3.0</c:v>
                </c:pt>
                <c:pt idx="6">
                  <c:v>3.0</c:v>
                </c:pt>
                <c:pt idx="7">
                  <c:v>3.0</c:v>
                </c:pt>
                <c:pt idx="8">
                  <c:v>2.0</c:v>
                </c:pt>
                <c:pt idx="9">
                  <c:v>2.0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env box plot'!$J$7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Pt>
            <c:idx val="4"/>
            <c:marker>
              <c:symbol val="none"/>
            </c:marker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'perf env box plot'!$K$1:$T$2</c:f>
              <c:multiLvlStrCache>
                <c:ptCount val="10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</c:lvl>
                <c:lvl>
                  <c:pt idx="0">
                    <c:v>Consommation de produits phytosanitaires</c:v>
                  </c:pt>
                  <c:pt idx="2">
                    <c:v>Consommation de produits NPK </c:v>
                  </c:pt>
                  <c:pt idx="4">
                    <c:v>Consommation d'urée</c:v>
                  </c:pt>
                  <c:pt idx="6">
                    <c:v>Gestion des résidus</c:v>
                  </c:pt>
                  <c:pt idx="8">
                    <c:v>Fertilisant organique</c:v>
                  </c:pt>
                </c:lvl>
              </c:multiLvlStrCache>
            </c:multiLvlStrRef>
          </c:cat>
          <c:val>
            <c:numRef>
              <c:f>'perf env box plot'!$K$7:$T$7</c:f>
              <c:numCache>
                <c:formatCode>General</c:formatCode>
                <c:ptCount val="10"/>
                <c:pt idx="0">
                  <c:v>3.0</c:v>
                </c:pt>
                <c:pt idx="1">
                  <c:v>3.0</c:v>
                </c:pt>
                <c:pt idx="2">
                  <c:v>3.0</c:v>
                </c:pt>
                <c:pt idx="3">
                  <c:v>3.0</c:v>
                </c:pt>
                <c:pt idx="4">
                  <c:v>3.0</c:v>
                </c:pt>
                <c:pt idx="5">
                  <c:v>3.0</c:v>
                </c:pt>
                <c:pt idx="6">
                  <c:v>3.0</c:v>
                </c:pt>
                <c:pt idx="7">
                  <c:v>3.0</c:v>
                </c:pt>
                <c:pt idx="8">
                  <c:v>0.0</c:v>
                </c:pt>
                <c:pt idx="9">
                  <c:v>1.75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-1768402736"/>
        <c:axId val="-1768399984"/>
      </c:lineChart>
      <c:catAx>
        <c:axId val="-1768402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399984"/>
        <c:crosses val="autoZero"/>
        <c:auto val="1"/>
        <c:lblAlgn val="ctr"/>
        <c:lblOffset val="100"/>
        <c:noMultiLvlLbl val="0"/>
      </c:catAx>
      <c:valAx>
        <c:axId val="-1768399984"/>
        <c:scaling>
          <c:orientation val="minMax"/>
          <c:max val="3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402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'performances sociales radar'!$A$30</c:f>
              <c:strCache>
                <c:ptCount val="1"/>
                <c:pt idx="0">
                  <c:v>FR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'performances sociales radar'!$B$29:$H$29</c:f>
              <c:strCache>
                <c:ptCount val="7"/>
                <c:pt idx="0">
                  <c:v>Sollicitation</c:v>
                </c:pt>
                <c:pt idx="1">
                  <c:v>Coexistence</c:v>
                </c:pt>
                <c:pt idx="2">
                  <c:v>Pénibilité </c:v>
                </c:pt>
                <c:pt idx="3">
                  <c:v>Évolution perception MO familiale </c:v>
                </c:pt>
                <c:pt idx="4">
                  <c:v>Participation </c:v>
                </c:pt>
                <c:pt idx="5">
                  <c:v>Appartenance</c:v>
                </c:pt>
                <c:pt idx="6">
                  <c:v>Importance des échanges </c:v>
                </c:pt>
              </c:strCache>
            </c:strRef>
          </c:cat>
          <c:val>
            <c:numRef>
              <c:f>'performances sociales radar'!$B$30:$H$30</c:f>
              <c:numCache>
                <c:formatCode>General</c:formatCode>
                <c:ptCount val="7"/>
                <c:pt idx="0">
                  <c:v>1.0</c:v>
                </c:pt>
                <c:pt idx="1">
                  <c:v>3.0</c:v>
                </c:pt>
                <c:pt idx="2">
                  <c:v>2.0</c:v>
                </c:pt>
                <c:pt idx="3">
                  <c:v>1.0</c:v>
                </c:pt>
                <c:pt idx="4">
                  <c:v>0.0</c:v>
                </c:pt>
                <c:pt idx="5">
                  <c:v>1.0</c:v>
                </c:pt>
                <c:pt idx="6">
                  <c:v>3.0</c:v>
                </c:pt>
              </c:numCache>
            </c:numRef>
          </c:val>
        </c:ser>
        <c:ser>
          <c:idx val="1"/>
          <c:order val="1"/>
          <c:tx>
            <c:strRef>
              <c:f>'performances sociales radar'!$A$31</c:f>
              <c:strCache>
                <c:ptCount val="1"/>
                <c:pt idx="0">
                  <c:v>GSDM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'performances sociales radar'!$B$29:$H$29</c:f>
              <c:strCache>
                <c:ptCount val="7"/>
                <c:pt idx="0">
                  <c:v>Sollicitation</c:v>
                </c:pt>
                <c:pt idx="1">
                  <c:v>Coexistence</c:v>
                </c:pt>
                <c:pt idx="2">
                  <c:v>Pénibilité </c:v>
                </c:pt>
                <c:pt idx="3">
                  <c:v>Évolution perception MO familiale </c:v>
                </c:pt>
                <c:pt idx="4">
                  <c:v>Participation </c:v>
                </c:pt>
                <c:pt idx="5">
                  <c:v>Appartenance</c:v>
                </c:pt>
                <c:pt idx="6">
                  <c:v>Importance des échanges </c:v>
                </c:pt>
              </c:strCache>
            </c:strRef>
          </c:cat>
          <c:val>
            <c:numRef>
              <c:f>'performances sociales radar'!$B$31:$H$31</c:f>
              <c:numCache>
                <c:formatCode>General</c:formatCode>
                <c:ptCount val="7"/>
                <c:pt idx="0">
                  <c:v>1.0</c:v>
                </c:pt>
                <c:pt idx="1">
                  <c:v>2.0</c:v>
                </c:pt>
                <c:pt idx="2">
                  <c:v>1.0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  <c:pt idx="6">
                  <c:v>2.0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68368992"/>
        <c:axId val="-1768366512"/>
      </c:radarChart>
      <c:catAx>
        <c:axId val="-1768368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366512"/>
        <c:crosses val="autoZero"/>
        <c:auto val="1"/>
        <c:lblAlgn val="ctr"/>
        <c:lblOffset val="100"/>
        <c:noMultiLvlLbl val="0"/>
      </c:catAx>
      <c:valAx>
        <c:axId val="-176836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6836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'perf sociales box plot'!$N$3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'perf sociales box plot'!$O$1:$AB$2</c:f>
              <c:multiLvlStrCache>
                <c:ptCount val="14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  <c:pt idx="10">
                    <c:v>GSDM</c:v>
                  </c:pt>
                  <c:pt idx="11">
                    <c:v>FR</c:v>
                  </c:pt>
                  <c:pt idx="12">
                    <c:v>GSDM</c:v>
                  </c:pt>
                  <c:pt idx="13">
                    <c:v>FR</c:v>
                  </c:pt>
                </c:lvl>
                <c:lvl>
                  <c:pt idx="0">
                    <c:v>Sollicitation des voisins </c:v>
                  </c:pt>
                  <c:pt idx="2">
                    <c:v>Coexistence </c:v>
                  </c:pt>
                  <c:pt idx="4">
                    <c:v>Pénibilité pour l'agriculteur</c:v>
                  </c:pt>
                  <c:pt idx="6">
                    <c:v>Pénibilité pour la MO familiale </c:v>
                  </c:pt>
                  <c:pt idx="8">
                    <c:v>Participation aux travaux agricoles</c:v>
                  </c:pt>
                  <c:pt idx="10">
                    <c:v>Appartenance aux réseaux professionnels</c:v>
                  </c:pt>
                  <c:pt idx="12">
                    <c:v>Importance des échanges</c:v>
                  </c:pt>
                </c:lvl>
              </c:multiLvlStrCache>
            </c:multiLvlStrRef>
          </c:cat>
          <c:val>
            <c:numRef>
              <c:f>'perf sociales box plot'!$O$3:$AB$3</c:f>
              <c:numCache>
                <c:formatCode>General</c:formatCode>
                <c:ptCount val="14"/>
                <c:pt idx="0">
                  <c:v>0.0</c:v>
                </c:pt>
                <c:pt idx="1">
                  <c:v>0.25</c:v>
                </c:pt>
                <c:pt idx="2">
                  <c:v>1.0</c:v>
                </c:pt>
                <c:pt idx="3">
                  <c:v>2.25</c:v>
                </c:pt>
                <c:pt idx="4">
                  <c:v>1.0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3.0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sociales box plot'!$N$4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multiLvlStrRef>
              <c:f>'perf sociales box plot'!$O$1:$AB$2</c:f>
              <c:multiLvlStrCache>
                <c:ptCount val="14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  <c:pt idx="10">
                    <c:v>GSDM</c:v>
                  </c:pt>
                  <c:pt idx="11">
                    <c:v>FR</c:v>
                  </c:pt>
                  <c:pt idx="12">
                    <c:v>GSDM</c:v>
                  </c:pt>
                  <c:pt idx="13">
                    <c:v>FR</c:v>
                  </c:pt>
                </c:lvl>
                <c:lvl>
                  <c:pt idx="0">
                    <c:v>Sollicitation des voisins </c:v>
                  </c:pt>
                  <c:pt idx="2">
                    <c:v>Coexistence </c:v>
                  </c:pt>
                  <c:pt idx="4">
                    <c:v>Pénibilité pour l'agriculteur</c:v>
                  </c:pt>
                  <c:pt idx="6">
                    <c:v>Pénibilité pour la MO familiale </c:v>
                  </c:pt>
                  <c:pt idx="8">
                    <c:v>Participation aux travaux agricoles</c:v>
                  </c:pt>
                  <c:pt idx="10">
                    <c:v>Appartenance aux réseaux professionnels</c:v>
                  </c:pt>
                  <c:pt idx="12">
                    <c:v>Importance des échanges</c:v>
                  </c:pt>
                </c:lvl>
              </c:multiLvlStrCache>
            </c:multiLvlStrRef>
          </c:cat>
          <c:val>
            <c:numRef>
              <c:f>'perf sociales box plot'!$O$4:$AB$4</c:f>
              <c:numCache>
                <c:formatCode>General</c:formatCode>
                <c:ptCount val="1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1.0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sociales box plot'!$N$5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'perf sociales box plot'!$O$1:$AB$2</c:f>
              <c:multiLvlStrCache>
                <c:ptCount val="14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  <c:pt idx="10">
                    <c:v>GSDM</c:v>
                  </c:pt>
                  <c:pt idx="11">
                    <c:v>FR</c:v>
                  </c:pt>
                  <c:pt idx="12">
                    <c:v>GSDM</c:v>
                  </c:pt>
                  <c:pt idx="13">
                    <c:v>FR</c:v>
                  </c:pt>
                </c:lvl>
                <c:lvl>
                  <c:pt idx="0">
                    <c:v>Sollicitation des voisins </c:v>
                  </c:pt>
                  <c:pt idx="2">
                    <c:v>Coexistence </c:v>
                  </c:pt>
                  <c:pt idx="4">
                    <c:v>Pénibilité pour l'agriculteur</c:v>
                  </c:pt>
                  <c:pt idx="6">
                    <c:v>Pénibilité pour la MO familiale </c:v>
                  </c:pt>
                  <c:pt idx="8">
                    <c:v>Participation aux travaux agricoles</c:v>
                  </c:pt>
                  <c:pt idx="10">
                    <c:v>Appartenance aux réseaux professionnels</c:v>
                  </c:pt>
                  <c:pt idx="12">
                    <c:v>Importance des échanges</c:v>
                  </c:pt>
                </c:lvl>
              </c:multiLvlStrCache>
            </c:multiLvlStrRef>
          </c:cat>
          <c:val>
            <c:numRef>
              <c:f>'perf sociales box plot'!$O$5:$AB$5</c:f>
              <c:numCache>
                <c:formatCode>General</c:formatCode>
                <c:ptCount val="14"/>
                <c:pt idx="0">
                  <c:v>2.0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1.0</c:v>
                </c:pt>
                <c:pt idx="5">
                  <c:v>2.0</c:v>
                </c:pt>
                <c:pt idx="6">
                  <c:v>1.0</c:v>
                </c:pt>
                <c:pt idx="7">
                  <c:v>1.0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2.0</c:v>
                </c:pt>
                <c:pt idx="13">
                  <c:v>3.0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sociales box plot'!$N$6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tx1"/>
              </a:solidFill>
              <a:ln w="0">
                <a:solidFill>
                  <a:schemeClr val="tx1"/>
                </a:solidFill>
              </a:ln>
              <a:effectLst/>
            </c:spPr>
          </c:marker>
          <c:cat>
            <c:multiLvlStrRef>
              <c:f>'perf sociales box plot'!$O$1:$AB$2</c:f>
              <c:multiLvlStrCache>
                <c:ptCount val="14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  <c:pt idx="10">
                    <c:v>GSDM</c:v>
                  </c:pt>
                  <c:pt idx="11">
                    <c:v>FR</c:v>
                  </c:pt>
                  <c:pt idx="12">
                    <c:v>GSDM</c:v>
                  </c:pt>
                  <c:pt idx="13">
                    <c:v>FR</c:v>
                  </c:pt>
                </c:lvl>
                <c:lvl>
                  <c:pt idx="0">
                    <c:v>Sollicitation des voisins </c:v>
                  </c:pt>
                  <c:pt idx="2">
                    <c:v>Coexistence </c:v>
                  </c:pt>
                  <c:pt idx="4">
                    <c:v>Pénibilité pour l'agriculteur</c:v>
                  </c:pt>
                  <c:pt idx="6">
                    <c:v>Pénibilité pour la MO familiale </c:v>
                  </c:pt>
                  <c:pt idx="8">
                    <c:v>Participation aux travaux agricoles</c:v>
                  </c:pt>
                  <c:pt idx="10">
                    <c:v>Appartenance aux réseaux professionnels</c:v>
                  </c:pt>
                  <c:pt idx="12">
                    <c:v>Importance des échanges</c:v>
                  </c:pt>
                </c:lvl>
              </c:multiLvlStrCache>
            </c:multiLvlStrRef>
          </c:cat>
          <c:val>
            <c:numRef>
              <c:f>'perf sociales box plot'!$O$6:$AB$6</c:f>
              <c:numCache>
                <c:formatCode>General</c:formatCode>
                <c:ptCount val="14"/>
                <c:pt idx="0">
                  <c:v>3.0</c:v>
                </c:pt>
                <c:pt idx="1">
                  <c:v>3.0</c:v>
                </c:pt>
                <c:pt idx="2">
                  <c:v>3.0</c:v>
                </c:pt>
                <c:pt idx="3">
                  <c:v>3.0</c:v>
                </c:pt>
                <c:pt idx="4">
                  <c:v>3.0</c:v>
                </c:pt>
                <c:pt idx="5">
                  <c:v>3.0</c:v>
                </c:pt>
                <c:pt idx="6">
                  <c:v>2.0</c:v>
                </c:pt>
                <c:pt idx="7">
                  <c:v>2.0</c:v>
                </c:pt>
                <c:pt idx="8">
                  <c:v>1.0</c:v>
                </c:pt>
                <c:pt idx="9">
                  <c:v>3.0</c:v>
                </c:pt>
                <c:pt idx="10">
                  <c:v>2.0</c:v>
                </c:pt>
                <c:pt idx="11">
                  <c:v>2.0</c:v>
                </c:pt>
                <c:pt idx="12">
                  <c:v>3.0</c:v>
                </c:pt>
                <c:pt idx="13">
                  <c:v>3.0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sociales box plot'!$N$7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'perf sociales box plot'!$O$1:$AB$2</c:f>
              <c:multiLvlStrCache>
                <c:ptCount val="14"/>
                <c:lvl>
                  <c:pt idx="0">
                    <c:v>GSDM</c:v>
                  </c:pt>
                  <c:pt idx="1">
                    <c:v>FR</c:v>
                  </c:pt>
                  <c:pt idx="2">
                    <c:v>GSDM</c:v>
                  </c:pt>
                  <c:pt idx="3">
                    <c:v>FR</c:v>
                  </c:pt>
                  <c:pt idx="4">
                    <c:v>GSDM</c:v>
                  </c:pt>
                  <c:pt idx="5">
                    <c:v>FR</c:v>
                  </c:pt>
                  <c:pt idx="6">
                    <c:v>GSDM</c:v>
                  </c:pt>
                  <c:pt idx="7">
                    <c:v>FR</c:v>
                  </c:pt>
                  <c:pt idx="8">
                    <c:v>GSDM</c:v>
                  </c:pt>
                  <c:pt idx="9">
                    <c:v>FR</c:v>
                  </c:pt>
                  <c:pt idx="10">
                    <c:v>GSDM</c:v>
                  </c:pt>
                  <c:pt idx="11">
                    <c:v>FR</c:v>
                  </c:pt>
                  <c:pt idx="12">
                    <c:v>GSDM</c:v>
                  </c:pt>
                  <c:pt idx="13">
                    <c:v>FR</c:v>
                  </c:pt>
                </c:lvl>
                <c:lvl>
                  <c:pt idx="0">
                    <c:v>Sollicitation des voisins </c:v>
                  </c:pt>
                  <c:pt idx="2">
                    <c:v>Coexistence </c:v>
                  </c:pt>
                  <c:pt idx="4">
                    <c:v>Pénibilité pour l'agriculteur</c:v>
                  </c:pt>
                  <c:pt idx="6">
                    <c:v>Pénibilité pour la MO familiale </c:v>
                  </c:pt>
                  <c:pt idx="8">
                    <c:v>Participation aux travaux agricoles</c:v>
                  </c:pt>
                  <c:pt idx="10">
                    <c:v>Appartenance aux réseaux professionnels</c:v>
                  </c:pt>
                  <c:pt idx="12">
                    <c:v>Importance des échanges</c:v>
                  </c:pt>
                </c:lvl>
              </c:multiLvlStrCache>
            </c:multiLvlStrRef>
          </c:cat>
          <c:val>
            <c:numRef>
              <c:f>'perf sociales box plot'!$O$7:$AB$7</c:f>
              <c:numCache>
                <c:formatCode>General</c:formatCode>
                <c:ptCount val="14"/>
                <c:pt idx="0">
                  <c:v>2.0</c:v>
                </c:pt>
                <c:pt idx="1">
                  <c:v>2.0</c:v>
                </c:pt>
                <c:pt idx="2">
                  <c:v>3.0</c:v>
                </c:pt>
                <c:pt idx="3">
                  <c:v>3.0</c:v>
                </c:pt>
                <c:pt idx="4">
                  <c:v>1.0</c:v>
                </c:pt>
                <c:pt idx="5">
                  <c:v>2.0</c:v>
                </c:pt>
                <c:pt idx="6">
                  <c:v>1.0</c:v>
                </c:pt>
                <c:pt idx="7">
                  <c:v>1.0</c:v>
                </c:pt>
                <c:pt idx="8">
                  <c:v>0.5</c:v>
                </c:pt>
                <c:pt idx="9">
                  <c:v>0.0</c:v>
                </c:pt>
                <c:pt idx="10">
                  <c:v>0.0</c:v>
                </c:pt>
                <c:pt idx="11">
                  <c:v>2.0</c:v>
                </c:pt>
                <c:pt idx="12">
                  <c:v>3.0</c:v>
                </c:pt>
                <c:pt idx="13">
                  <c:v>3.0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-1803211904"/>
        <c:axId val="-1803207872"/>
      </c:lineChart>
      <c:catAx>
        <c:axId val="-180321190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07872"/>
        <c:crosses val="autoZero"/>
        <c:auto val="1"/>
        <c:lblAlgn val="ctr"/>
        <c:lblOffset val="100"/>
        <c:noMultiLvlLbl val="0"/>
      </c:catAx>
      <c:valAx>
        <c:axId val="-180320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211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'perf sociales box plot'!$U$13</c:f>
              <c:strCache>
                <c:ptCount val="1"/>
                <c:pt idx="0">
                  <c:v>Q1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'perf sociales box plot'!$V$12:$W$12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sociales box plot'!$V$13:$W$13</c:f>
              <c:numCache>
                <c:formatCode>General</c:formatCode>
                <c:ptCount val="2"/>
                <c:pt idx="0">
                  <c:v>1.0</c:v>
                </c:pt>
                <c:pt idx="1">
                  <c:v>1.0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'perf sociales box plot'!$U$14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sociales box plot'!$V$12:$W$12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sociales box plot'!$V$14:$W$14</c:f>
              <c:numCache>
                <c:formatCode>General</c:formatCode>
                <c:ptCount val="2"/>
                <c:pt idx="0">
                  <c:v>0.0</c:v>
                </c:pt>
                <c:pt idx="1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'perf sociales box plot'!$U$15</c:f>
              <c:strCache>
                <c:ptCount val="1"/>
                <c:pt idx="0">
                  <c:v>Med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'perf sociales box plot'!$V$12:$W$12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sociales box plot'!$V$15:$W$15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'perf sociales box plot'!$U$16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'perf sociales box plot'!$V$12:$W$12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sociales box plot'!$V$16:$W$16</c:f>
              <c:numCache>
                <c:formatCode>General</c:formatCode>
                <c:ptCount val="2"/>
                <c:pt idx="0">
                  <c:v>3.0</c:v>
                </c:pt>
                <c:pt idx="1">
                  <c:v>3.0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'perf sociales box plot'!$U$17</c:f>
              <c:strCache>
                <c:ptCount val="1"/>
                <c:pt idx="0">
                  <c:v>Q3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'perf sociales box plot'!$V$12:$W$12</c:f>
              <c:strCache>
                <c:ptCount val="2"/>
                <c:pt idx="0">
                  <c:v>GSDM</c:v>
                </c:pt>
                <c:pt idx="1">
                  <c:v>FR</c:v>
                </c:pt>
              </c:strCache>
            </c:strRef>
          </c:cat>
          <c:val>
            <c:numRef>
              <c:f>'perf sociales box plot'!$V$17:$W$17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-1803162416"/>
        <c:axId val="-1803159664"/>
      </c:lineChart>
      <c:catAx>
        <c:axId val="-180316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159664"/>
        <c:crosses val="autoZero"/>
        <c:auto val="1"/>
        <c:lblAlgn val="ctr"/>
        <c:lblOffset val="100"/>
        <c:noMultiLvlLbl val="0"/>
      </c:catAx>
      <c:valAx>
        <c:axId val="-180315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3162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Relationship Id="rId2" Type="http://schemas.openxmlformats.org/officeDocument/2006/relationships/chart" Target="../charts/chart7.xml"/><Relationship Id="rId3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Relationship Id="rId2" Type="http://schemas.openxmlformats.org/officeDocument/2006/relationships/chart" Target="../charts/chart10.xml"/><Relationship Id="rId3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Relationship Id="rId2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756023</xdr:colOff>
      <xdr:row>16</xdr:row>
      <xdr:rowOff>179294</xdr:rowOff>
    </xdr:from>
    <xdr:to>
      <xdr:col>24</xdr:col>
      <xdr:colOff>612588</xdr:colOff>
      <xdr:row>36</xdr:row>
      <xdr:rowOff>115794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739237</xdr:colOff>
      <xdr:row>24</xdr:row>
      <xdr:rowOff>96087</xdr:rowOff>
    </xdr:from>
    <xdr:to>
      <xdr:col>17</xdr:col>
      <xdr:colOff>351048</xdr:colOff>
      <xdr:row>37</xdr:row>
      <xdr:rowOff>191457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492911</xdr:colOff>
      <xdr:row>12</xdr:row>
      <xdr:rowOff>5282</xdr:rowOff>
    </xdr:from>
    <xdr:to>
      <xdr:col>19</xdr:col>
      <xdr:colOff>85505</xdr:colOff>
      <xdr:row>25</xdr:row>
      <xdr:rowOff>133036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13</xdr:row>
      <xdr:rowOff>171450</xdr:rowOff>
    </xdr:from>
    <xdr:to>
      <xdr:col>16</xdr:col>
      <xdr:colOff>482600</xdr:colOff>
      <xdr:row>27</xdr:row>
      <xdr:rowOff>69850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13</xdr:row>
      <xdr:rowOff>88900</xdr:rowOff>
    </xdr:from>
    <xdr:to>
      <xdr:col>18</xdr:col>
      <xdr:colOff>254000</xdr:colOff>
      <xdr:row>47</xdr:row>
      <xdr:rowOff>165100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676730</xdr:colOff>
      <xdr:row>11</xdr:row>
      <xdr:rowOff>93435</xdr:rowOff>
    </xdr:from>
    <xdr:to>
      <xdr:col>10</xdr:col>
      <xdr:colOff>295730</xdr:colOff>
      <xdr:row>24</xdr:row>
      <xdr:rowOff>191407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9072</xdr:colOff>
      <xdr:row>9</xdr:row>
      <xdr:rowOff>175076</xdr:rowOff>
    </xdr:from>
    <xdr:to>
      <xdr:col>17</xdr:col>
      <xdr:colOff>453572</xdr:colOff>
      <xdr:row>23</xdr:row>
      <xdr:rowOff>124276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208643</xdr:colOff>
      <xdr:row>6</xdr:row>
      <xdr:rowOff>138792</xdr:rowOff>
    </xdr:from>
    <xdr:to>
      <xdr:col>21</xdr:col>
      <xdr:colOff>653143</xdr:colOff>
      <xdr:row>20</xdr:row>
      <xdr:rowOff>87992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425075</xdr:colOff>
      <xdr:row>17</xdr:row>
      <xdr:rowOff>54108</xdr:rowOff>
    </xdr:from>
    <xdr:to>
      <xdr:col>8</xdr:col>
      <xdr:colOff>589641</xdr:colOff>
      <xdr:row>30</xdr:row>
      <xdr:rowOff>131884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390769</xdr:colOff>
      <xdr:row>17</xdr:row>
      <xdr:rowOff>185616</xdr:rowOff>
    </xdr:from>
    <xdr:to>
      <xdr:col>14</xdr:col>
      <xdr:colOff>327269</xdr:colOff>
      <xdr:row>30</xdr:row>
      <xdr:rowOff>146539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586155</xdr:colOff>
      <xdr:row>16</xdr:row>
      <xdr:rowOff>79130</xdr:rowOff>
    </xdr:from>
    <xdr:to>
      <xdr:col>20</xdr:col>
      <xdr:colOff>595923</xdr:colOff>
      <xdr:row>28</xdr:row>
      <xdr:rowOff>146538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0.22153</cdr:x>
      <cdr:y>0.75463</cdr:y>
    </cdr:from>
    <cdr:to>
      <cdr:x>0.71847</cdr:x>
      <cdr:y>0.75591</cdr:y>
    </cdr:to>
    <cdr:cxnSp macro="">
      <cdr:nvCxnSpPr>
        <cdr:cNvPr id="5" name="Connecteur droit 4"/>
        <cdr:cNvCxnSpPr/>
      </cdr:nvCxnSpPr>
      <cdr:spPr>
        <a:xfrm xmlns:a="http://schemas.openxmlformats.org/drawingml/2006/main" flipV="1">
          <a:off x="1102333" y="2071277"/>
          <a:ext cx="2472702" cy="3536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0.7853</cdr:x>
      <cdr:y>0.354</cdr:y>
    </cdr:from>
    <cdr:to>
      <cdr:x>0.95022</cdr:x>
      <cdr:y>0.47502</cdr:y>
    </cdr:to>
    <cdr:sp macro="" textlink="">
      <cdr:nvSpPr>
        <cdr:cNvPr id="7" name="ZoneTexte 6"/>
        <cdr:cNvSpPr txBox="1"/>
      </cdr:nvSpPr>
      <cdr:spPr>
        <a:xfrm xmlns:a="http://schemas.openxmlformats.org/drawingml/2006/main">
          <a:off x="3907579" y="971661"/>
          <a:ext cx="820615" cy="3321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0.77548</cdr:x>
      <cdr:y>0.31129</cdr:y>
    </cdr:from>
    <cdr:to>
      <cdr:x>0.94531</cdr:x>
      <cdr:y>0.91992</cdr:y>
    </cdr:to>
    <cdr:sp macro="" textlink="">
      <cdr:nvSpPr>
        <cdr:cNvPr id="8" name="ZoneTexte 7"/>
        <cdr:cNvSpPr txBox="1"/>
      </cdr:nvSpPr>
      <cdr:spPr>
        <a:xfrm xmlns:a="http://schemas.openxmlformats.org/drawingml/2006/main">
          <a:off x="3858733" y="854429"/>
          <a:ext cx="845039" cy="16705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700"/>
            <a:t>       Moyenne des 240 EA</a:t>
          </a:r>
        </a:p>
        <a:p xmlns:a="http://schemas.openxmlformats.org/drawingml/2006/main">
          <a:r>
            <a:rPr lang="fr-FR" sz="700"/>
            <a:t>        </a:t>
          </a:r>
        </a:p>
        <a:p xmlns:a="http://schemas.openxmlformats.org/drawingml/2006/main">
          <a:r>
            <a:rPr lang="fr-FR" sz="700"/>
            <a:t>     Moyenne dans les FR</a:t>
          </a:r>
        </a:p>
        <a:p xmlns:a="http://schemas.openxmlformats.org/drawingml/2006/main">
          <a:endParaRPr lang="fr-FR" sz="700"/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/>
            <a:t>     Moyenne du GSDM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700"/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/>
            <a:t>       Maximum atypique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700"/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700"/>
        </a:p>
        <a:p xmlns:a="http://schemas.openxmlformats.org/drawingml/2006/main">
          <a:endParaRPr lang="fr-FR" sz="700"/>
        </a:p>
        <a:p xmlns:a="http://schemas.openxmlformats.org/drawingml/2006/main">
          <a:r>
            <a:rPr lang="fr-FR" sz="700"/>
            <a:t> </a:t>
          </a:r>
        </a:p>
      </cdr:txBody>
    </cdr:sp>
  </cdr:relSizeAnchor>
  <cdr:relSizeAnchor xmlns:cdr="http://schemas.openxmlformats.org/drawingml/2006/chartDrawing">
    <cdr:from>
      <cdr:x>0.78824</cdr:x>
      <cdr:y>0.34689</cdr:y>
    </cdr:from>
    <cdr:to>
      <cdr:x>0.81279</cdr:x>
      <cdr:y>0.34689</cdr:y>
    </cdr:to>
    <cdr:cxnSp macro="">
      <cdr:nvCxnSpPr>
        <cdr:cNvPr id="10" name="Connecteur droit 9"/>
        <cdr:cNvCxnSpPr/>
      </cdr:nvCxnSpPr>
      <cdr:spPr>
        <a:xfrm xmlns:a="http://schemas.openxmlformats.org/drawingml/2006/main" flipV="1">
          <a:off x="3922232" y="952124"/>
          <a:ext cx="122115" cy="1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0.33767</cdr:x>
      <cdr:y>0.64052</cdr:y>
    </cdr:from>
    <cdr:to>
      <cdr:x>0.35239</cdr:x>
      <cdr:y>0.66721</cdr:y>
    </cdr:to>
    <cdr:sp macro="" textlink="">
      <cdr:nvSpPr>
        <cdr:cNvPr id="13" name="Plus 12"/>
        <cdr:cNvSpPr/>
      </cdr:nvSpPr>
      <cdr:spPr>
        <a:xfrm xmlns:a="http://schemas.openxmlformats.org/drawingml/2006/main">
          <a:off x="1680195" y="1758085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0.58448</cdr:x>
      <cdr:y>0.65205</cdr:y>
    </cdr:from>
    <cdr:to>
      <cdr:x>0.5992</cdr:x>
      <cdr:y>0.67874</cdr:y>
    </cdr:to>
    <cdr:sp macro="" textlink="">
      <cdr:nvSpPr>
        <cdr:cNvPr id="14" name="Plus 13"/>
        <cdr:cNvSpPr/>
      </cdr:nvSpPr>
      <cdr:spPr>
        <a:xfrm xmlns:a="http://schemas.openxmlformats.org/drawingml/2006/main">
          <a:off x="2908301" y="1789728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0.79553</cdr:x>
      <cdr:y>0.45451</cdr:y>
    </cdr:from>
    <cdr:to>
      <cdr:x>0.81026</cdr:x>
      <cdr:y>0.48121</cdr:y>
    </cdr:to>
    <cdr:sp macro="" textlink="">
      <cdr:nvSpPr>
        <cdr:cNvPr id="15" name="Plus 14"/>
        <cdr:cNvSpPr/>
      </cdr:nvSpPr>
      <cdr:spPr>
        <a:xfrm xmlns:a="http://schemas.openxmlformats.org/drawingml/2006/main">
          <a:off x="3958492" y="1247532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0.79749</cdr:x>
      <cdr:y>0.57019</cdr:y>
    </cdr:from>
    <cdr:to>
      <cdr:x>0.81222</cdr:x>
      <cdr:y>0.59688</cdr:y>
    </cdr:to>
    <cdr:sp macro="" textlink="">
      <cdr:nvSpPr>
        <cdr:cNvPr id="16" name="Plus 15"/>
        <cdr:cNvSpPr/>
      </cdr:nvSpPr>
      <cdr:spPr>
        <a:xfrm xmlns:a="http://schemas.openxmlformats.org/drawingml/2006/main">
          <a:off x="3968260" y="1565032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0.80002</cdr:x>
      <cdr:y>0.67967</cdr:y>
    </cdr:from>
    <cdr:to>
      <cdr:x>0.81573</cdr:x>
      <cdr:y>0.70814</cdr:y>
    </cdr:to>
    <cdr:sp macro="" textlink="">
      <cdr:nvSpPr>
        <cdr:cNvPr id="17" name="Bouée 16"/>
        <cdr:cNvSpPr/>
      </cdr:nvSpPr>
      <cdr:spPr>
        <a:xfrm xmlns:a="http://schemas.openxmlformats.org/drawingml/2006/main">
          <a:off x="3980849" y="1865545"/>
          <a:ext cx="78154" cy="78153"/>
        </a:xfrm>
        <a:prstGeom xmlns:a="http://schemas.openxmlformats.org/drawingml/2006/main" prst="donut">
          <a:avLst>
            <a:gd name="adj" fmla="val 0"/>
          </a:avLst>
        </a:prstGeom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0.76432</cdr:x>
      <cdr:y>0.20706</cdr:y>
    </cdr:from>
    <cdr:to>
      <cdr:x>0.99905</cdr:x>
      <cdr:y>0.45539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949944" y="544146"/>
          <a:ext cx="1213095" cy="6525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700"/>
            <a:t>       Moyenne des 240 EA</a:t>
          </a:r>
        </a:p>
        <a:p xmlns:a="http://schemas.openxmlformats.org/drawingml/2006/main">
          <a:r>
            <a:rPr lang="fr-FR" sz="700"/>
            <a:t>        </a:t>
          </a:r>
        </a:p>
        <a:p xmlns:a="http://schemas.openxmlformats.org/drawingml/2006/main">
          <a:r>
            <a:rPr lang="fr-FR" sz="700"/>
            <a:t>     Moyenne dans les FR</a:t>
          </a:r>
        </a:p>
        <a:p xmlns:a="http://schemas.openxmlformats.org/drawingml/2006/main">
          <a:endParaRPr lang="fr-FR" sz="700"/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/>
            <a:t>     Moyenne du GSDM</a:t>
          </a:r>
        </a:p>
        <a:p xmlns:a="http://schemas.openxmlformats.org/drawingml/2006/main">
          <a:endParaRPr lang="fr-FR" sz="700"/>
        </a:p>
        <a:p xmlns:a="http://schemas.openxmlformats.org/drawingml/2006/main">
          <a:endParaRPr lang="fr-FR" sz="700"/>
        </a:p>
      </cdr:txBody>
    </cdr:sp>
  </cdr:relSizeAnchor>
  <cdr:relSizeAnchor xmlns:cdr="http://schemas.openxmlformats.org/drawingml/2006/chartDrawing">
    <cdr:from>
      <cdr:x>0.77732</cdr:x>
      <cdr:y>0.2461</cdr:y>
    </cdr:from>
    <cdr:to>
      <cdr:x>0.80094</cdr:x>
      <cdr:y>0.2461</cdr:y>
    </cdr:to>
    <cdr:cxnSp macro="">
      <cdr:nvCxnSpPr>
        <cdr:cNvPr id="3" name="Connecteur droit 2"/>
        <cdr:cNvCxnSpPr/>
      </cdr:nvCxnSpPr>
      <cdr:spPr>
        <a:xfrm xmlns:a="http://schemas.openxmlformats.org/drawingml/2006/main" flipV="1">
          <a:off x="4017107" y="646724"/>
          <a:ext cx="122115" cy="1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0.56843</cdr:x>
      <cdr:y>0.69219</cdr:y>
    </cdr:from>
    <cdr:to>
      <cdr:x>0.58261</cdr:x>
      <cdr:y>0.72007</cdr:y>
    </cdr:to>
    <cdr:sp macro="" textlink="">
      <cdr:nvSpPr>
        <cdr:cNvPr id="4" name="Plus 3"/>
        <cdr:cNvSpPr/>
      </cdr:nvSpPr>
      <cdr:spPr>
        <a:xfrm xmlns:a="http://schemas.openxmlformats.org/drawingml/2006/main">
          <a:off x="2937608" y="1819031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0.78204</cdr:x>
      <cdr:y>0.39294</cdr:y>
    </cdr:from>
    <cdr:to>
      <cdr:x>0.79622</cdr:x>
      <cdr:y>0.42082</cdr:y>
    </cdr:to>
    <cdr:sp macro="" textlink="">
      <cdr:nvSpPr>
        <cdr:cNvPr id="6" name="Plus 5"/>
        <cdr:cNvSpPr/>
      </cdr:nvSpPr>
      <cdr:spPr>
        <a:xfrm xmlns:a="http://schemas.openxmlformats.org/drawingml/2006/main">
          <a:off x="4041531" y="1032608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0.30851</cdr:x>
      <cdr:y>0.55279</cdr:y>
    </cdr:from>
    <cdr:to>
      <cdr:x>0.32268</cdr:x>
      <cdr:y>0.58067</cdr:y>
    </cdr:to>
    <cdr:sp macro="" textlink="">
      <cdr:nvSpPr>
        <cdr:cNvPr id="7" name="Plus 6"/>
        <cdr:cNvSpPr/>
      </cdr:nvSpPr>
      <cdr:spPr>
        <a:xfrm xmlns:a="http://schemas.openxmlformats.org/drawingml/2006/main">
          <a:off x="1594338" y="1452685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0.78015</cdr:x>
      <cdr:y>0.31859</cdr:y>
    </cdr:from>
    <cdr:to>
      <cdr:x>0.79433</cdr:x>
      <cdr:y>0.34647</cdr:y>
    </cdr:to>
    <cdr:sp macro="" textlink="">
      <cdr:nvSpPr>
        <cdr:cNvPr id="8" name="Plus 7"/>
        <cdr:cNvSpPr/>
      </cdr:nvSpPr>
      <cdr:spPr>
        <a:xfrm xmlns:a="http://schemas.openxmlformats.org/drawingml/2006/main">
          <a:off x="4031762" y="837223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0.18053</cdr:x>
      <cdr:y>0.56691</cdr:y>
    </cdr:from>
    <cdr:to>
      <cdr:x>0.70983</cdr:x>
      <cdr:y>0.56877</cdr:y>
    </cdr:to>
    <cdr:cxnSp macro="">
      <cdr:nvCxnSpPr>
        <cdr:cNvPr id="9" name="Connecteur droit 8"/>
        <cdr:cNvCxnSpPr/>
      </cdr:nvCxnSpPr>
      <cdr:spPr>
        <a:xfrm xmlns:a="http://schemas.openxmlformats.org/drawingml/2006/main">
          <a:off x="932962" y="1489807"/>
          <a:ext cx="2735384" cy="4885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0.18011</cdr:x>
      <cdr:y>0.7646</cdr:y>
    </cdr:from>
    <cdr:to>
      <cdr:x>0.76734</cdr:x>
      <cdr:y>0.76531</cdr:y>
    </cdr:to>
    <cdr:cxnSp macro="">
      <cdr:nvCxnSpPr>
        <cdr:cNvPr id="12" name="Connecteur droit 11"/>
        <cdr:cNvCxnSpPr/>
      </cdr:nvCxnSpPr>
      <cdr:spPr>
        <a:xfrm xmlns:a="http://schemas.openxmlformats.org/drawingml/2006/main">
          <a:off x="964223" y="2097455"/>
          <a:ext cx="3143738" cy="1953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0.82208</cdr:x>
      <cdr:y>0.20085</cdr:y>
    </cdr:from>
    <cdr:to>
      <cdr:x>0.98084</cdr:x>
      <cdr:y>0.50712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4401037" y="550985"/>
          <a:ext cx="849924" cy="8401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0.77894</cdr:x>
      <cdr:y>0.17547</cdr:y>
    </cdr:from>
    <cdr:to>
      <cdr:x>0.98423</cdr:x>
      <cdr:y>0.51333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3637397" y="443818"/>
          <a:ext cx="958651" cy="8545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/>
            <a:t>    Moyenne des 240 EA</a:t>
          </a:r>
        </a:p>
        <a:p xmlns:a="http://schemas.openxmlformats.org/drawingml/2006/main">
          <a:r>
            <a:rPr lang="fr-FR" sz="800"/>
            <a:t>     Moyenne</a:t>
          </a:r>
          <a:r>
            <a:rPr lang="fr-FR" sz="800" baseline="0"/>
            <a:t> dans les FR</a:t>
          </a:r>
        </a:p>
        <a:p xmlns:a="http://schemas.openxmlformats.org/drawingml/2006/main">
          <a:r>
            <a:rPr lang="fr-FR" sz="800" baseline="0"/>
            <a:t>     Moyenne du GSDM</a:t>
          </a:r>
          <a:endParaRPr lang="fr-FR" sz="800"/>
        </a:p>
      </cdr:txBody>
    </cdr:sp>
  </cdr:relSizeAnchor>
  <cdr:relSizeAnchor xmlns:cdr="http://schemas.openxmlformats.org/drawingml/2006/chartDrawing">
    <cdr:from>
      <cdr:x>0.80084</cdr:x>
      <cdr:y>0.3052</cdr:y>
    </cdr:from>
    <cdr:to>
      <cdr:x>0.81453</cdr:x>
      <cdr:y>0.33191</cdr:y>
    </cdr:to>
    <cdr:sp macro="" textlink="">
      <cdr:nvSpPr>
        <cdr:cNvPr id="18" name="Plus 17"/>
        <cdr:cNvSpPr/>
      </cdr:nvSpPr>
      <cdr:spPr>
        <a:xfrm xmlns:a="http://schemas.openxmlformats.org/drawingml/2006/main">
          <a:off x="4389054" y="837223"/>
          <a:ext cx="75007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0.31241</cdr:x>
      <cdr:y>0.75926</cdr:y>
    </cdr:from>
    <cdr:to>
      <cdr:x>0.32609</cdr:x>
      <cdr:y>0.78597</cdr:y>
    </cdr:to>
    <cdr:sp macro="" textlink="">
      <cdr:nvSpPr>
        <cdr:cNvPr id="19" name="Plus 18"/>
        <cdr:cNvSpPr/>
      </cdr:nvSpPr>
      <cdr:spPr>
        <a:xfrm xmlns:a="http://schemas.openxmlformats.org/drawingml/2006/main">
          <a:off x="1672492" y="2082800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0.57701</cdr:x>
      <cdr:y>0.28205</cdr:y>
    </cdr:from>
    <cdr:to>
      <cdr:x>0.59069</cdr:x>
      <cdr:y>0.30876</cdr:y>
    </cdr:to>
    <cdr:sp macro="" textlink="">
      <cdr:nvSpPr>
        <cdr:cNvPr id="20" name="Plus 19"/>
        <cdr:cNvSpPr/>
      </cdr:nvSpPr>
      <cdr:spPr>
        <a:xfrm xmlns:a="http://schemas.openxmlformats.org/drawingml/2006/main">
          <a:off x="3089031" y="773723"/>
          <a:ext cx="73269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0.79828</cdr:x>
      <cdr:y>0.39245</cdr:y>
    </cdr:from>
    <cdr:to>
      <cdr:x>0.81196</cdr:x>
      <cdr:y>0.41916</cdr:y>
    </cdr:to>
    <cdr:sp macro="" textlink="">
      <cdr:nvSpPr>
        <cdr:cNvPr id="21" name="Plus 20"/>
        <cdr:cNvSpPr/>
      </cdr:nvSpPr>
      <cdr:spPr>
        <a:xfrm xmlns:a="http://schemas.openxmlformats.org/drawingml/2006/main">
          <a:off x="4374979" y="1076569"/>
          <a:ext cx="75007" cy="73268"/>
        </a:xfrm>
        <a:prstGeom xmlns:a="http://schemas.openxmlformats.org/drawingml/2006/main" prst="mathPlus">
          <a:avLst>
            <a:gd name="adj1" fmla="val 6853"/>
          </a:avLst>
        </a:prstGeom>
        <a:ln xmlns:a="http://schemas.openxmlformats.org/drawingml/2006/main" w="3175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0.78824</cdr:x>
      <cdr:y>0.22151</cdr:y>
    </cdr:from>
    <cdr:to>
      <cdr:x>0.81052</cdr:x>
      <cdr:y>0.22151</cdr:y>
    </cdr:to>
    <cdr:cxnSp macro="">
      <cdr:nvCxnSpPr>
        <cdr:cNvPr id="22" name="Connecteur droit 21"/>
        <cdr:cNvCxnSpPr/>
      </cdr:nvCxnSpPr>
      <cdr:spPr>
        <a:xfrm xmlns:a="http://schemas.openxmlformats.org/drawingml/2006/main" flipV="1">
          <a:off x="4319953" y="607646"/>
          <a:ext cx="122115" cy="1"/>
        </a:xfrm>
        <a:prstGeom xmlns:a="http://schemas.openxmlformats.org/drawingml/2006/main" prst="line">
          <a:avLst/>
        </a:prstGeom>
        <a:ln xmlns:a="http://schemas.openxmlformats.org/drawingml/2006/main">
          <a:prstDash val="lg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407555</xdr:colOff>
      <xdr:row>30</xdr:row>
      <xdr:rowOff>71004</xdr:rowOff>
    </xdr:from>
    <xdr:to>
      <xdr:col>14</xdr:col>
      <xdr:colOff>26555</xdr:colOff>
      <xdr:row>43</xdr:row>
      <xdr:rowOff>172604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11</xdr:row>
      <xdr:rowOff>184150</xdr:rowOff>
    </xdr:from>
    <xdr:to>
      <xdr:col>21</xdr:col>
      <xdr:colOff>584200</xdr:colOff>
      <xdr:row>30</xdr:row>
      <xdr:rowOff>101600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369454</xdr:colOff>
      <xdr:row>25</xdr:row>
      <xdr:rowOff>100446</xdr:rowOff>
    </xdr:from>
    <xdr:to>
      <xdr:col>14</xdr:col>
      <xdr:colOff>785091</xdr:colOff>
      <xdr:row>31</xdr:row>
      <xdr:rowOff>1492828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50646</xdr:colOff>
      <xdr:row>9</xdr:row>
      <xdr:rowOff>22109</xdr:rowOff>
    </xdr:from>
    <xdr:to>
      <xdr:col>17</xdr:col>
      <xdr:colOff>576900</xdr:colOff>
      <xdr:row>27</xdr:row>
      <xdr:rowOff>174409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113633</xdr:colOff>
      <xdr:row>17</xdr:row>
      <xdr:rowOff>68848</xdr:rowOff>
    </xdr:from>
    <xdr:to>
      <xdr:col>25</xdr:col>
      <xdr:colOff>541422</xdr:colOff>
      <xdr:row>31</xdr:row>
      <xdr:rowOff>4680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MADA/Re&#769;sultats%20TK%20MADA%20v20nov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orgette R1"/>
      <sheetName val="Ernest R2"/>
      <sheetName val="Guy R3"/>
      <sheetName val="Vonjy R4"/>
      <sheetName val="Roger R5"/>
      <sheetName val="JH Andrianasolo  R6"/>
      <sheetName val="Mongis R7"/>
      <sheetName val="Sandi R8"/>
      <sheetName val="Jean Ba R9"/>
      <sheetName val="Solofo R10"/>
      <sheetName val="Ntsoa R11"/>
      <sheetName val="mahefa Jean 2mile R12"/>
      <sheetName val="Augustin R13"/>
      <sheetName val="Jean de Dieu R14"/>
      <sheetName val="Bertine R15"/>
      <sheetName val="Jean Sylvain R16 "/>
      <sheetName val="Fidelys R17"/>
      <sheetName val="Tiana R18"/>
      <sheetName val="François de Salles R19"/>
      <sheetName val="Jean Aimé R20"/>
      <sheetName val="Joseph Rakotonirina G1"/>
      <sheetName val="Lala Christine G2"/>
      <sheetName val="Marie Lucienne G3"/>
      <sheetName val="Ramorasata G4"/>
      <sheetName val="Martine Nivo G5"/>
      <sheetName val="Modeste SA G6"/>
      <sheetName val="Marie Odette G7"/>
      <sheetName val="Louis Pascal G8"/>
      <sheetName val="Gilbert Rhily G9"/>
      <sheetName val="Rabenandrasana Joseph G10"/>
      <sheetName val="RASOAVOLOLONA eRNESTINE G11"/>
      <sheetName val="Ernestine  G12"/>
      <sheetName val="Jeannot G13"/>
      <sheetName val="Abelline G14"/>
      <sheetName val="Pierre G15"/>
      <sheetName val="Julien G16 "/>
      <sheetName val="Edmond G17"/>
      <sheetName val="Jeannette G18"/>
      <sheetName val="Gilbert RAKOTOMALALA G19"/>
      <sheetName val="Typologies"/>
      <sheetName val="Dépendance légumine et type EA"/>
      <sheetName val="CORRÉLATION"/>
      <sheetName val="Mesures"/>
      <sheetName val="Ralaimboha Fidel  G20"/>
      <sheetName val="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2">
          <cell r="AM2">
            <v>0</v>
          </cell>
          <cell r="AN2">
            <v>0</v>
          </cell>
        </row>
        <row r="3">
          <cell r="AM3">
            <v>35</v>
          </cell>
          <cell r="AN3">
            <v>0</v>
          </cell>
        </row>
        <row r="4">
          <cell r="AM4">
            <v>30</v>
          </cell>
          <cell r="AN4">
            <v>0</v>
          </cell>
        </row>
        <row r="5">
          <cell r="AM5">
            <v>0</v>
          </cell>
          <cell r="AN5">
            <v>0</v>
          </cell>
        </row>
        <row r="6">
          <cell r="AM6">
            <v>40</v>
          </cell>
          <cell r="AN6">
            <v>40</v>
          </cell>
        </row>
        <row r="7">
          <cell r="AM7">
            <v>0</v>
          </cell>
          <cell r="AN7">
            <v>0</v>
          </cell>
        </row>
        <row r="9">
          <cell r="AM9">
            <v>0</v>
          </cell>
          <cell r="AN9">
            <v>0</v>
          </cell>
        </row>
        <row r="10">
          <cell r="AM10">
            <v>0</v>
          </cell>
          <cell r="AN10">
            <v>0</v>
          </cell>
        </row>
        <row r="17">
          <cell r="AM17">
            <v>0</v>
          </cell>
          <cell r="AN17">
            <v>0</v>
          </cell>
        </row>
        <row r="19">
          <cell r="AM19">
            <v>0</v>
          </cell>
          <cell r="AN19">
            <v>0</v>
          </cell>
        </row>
        <row r="21">
          <cell r="AM21">
            <v>0</v>
          </cell>
          <cell r="AN21">
            <v>0</v>
          </cell>
        </row>
        <row r="22">
          <cell r="AM22">
            <v>0</v>
          </cell>
        </row>
        <row r="23">
          <cell r="AM23">
            <v>200</v>
          </cell>
        </row>
        <row r="24">
          <cell r="AM24">
            <v>0</v>
          </cell>
        </row>
        <row r="25">
          <cell r="AM25">
            <v>20</v>
          </cell>
        </row>
        <row r="26">
          <cell r="AM26">
            <v>57.5</v>
          </cell>
        </row>
        <row r="27">
          <cell r="AM27">
            <v>200</v>
          </cell>
        </row>
        <row r="29">
          <cell r="AM29">
            <v>133.33333333333334</v>
          </cell>
          <cell r="AN29">
            <v>133.33333333333334</v>
          </cell>
        </row>
        <row r="30">
          <cell r="AM30">
            <v>166.66666666666669</v>
          </cell>
          <cell r="AN30">
            <v>166.66666666666669</v>
          </cell>
        </row>
        <row r="31">
          <cell r="AM31">
            <v>0</v>
          </cell>
          <cell r="AN31">
            <v>0</v>
          </cell>
        </row>
        <row r="32">
          <cell r="AM32">
            <v>0</v>
          </cell>
          <cell r="AN32">
            <v>0</v>
          </cell>
        </row>
        <row r="33">
          <cell r="AM33">
            <v>0</v>
          </cell>
          <cell r="AN33">
            <v>0</v>
          </cell>
        </row>
        <row r="34">
          <cell r="AM34">
            <v>0</v>
          </cell>
          <cell r="AN34">
            <v>0</v>
          </cell>
        </row>
        <row r="35">
          <cell r="AM35">
            <v>0.25</v>
          </cell>
          <cell r="AN35">
            <v>0</v>
          </cell>
        </row>
        <row r="36">
          <cell r="AM36">
            <v>0</v>
          </cell>
          <cell r="AN36">
            <v>0</v>
          </cell>
        </row>
        <row r="37">
          <cell r="AM37">
            <v>0</v>
          </cell>
          <cell r="AN37">
            <v>0</v>
          </cell>
        </row>
        <row r="38">
          <cell r="AM38">
            <v>0</v>
          </cell>
          <cell r="AN38">
            <v>0</v>
          </cell>
        </row>
        <row r="39">
          <cell r="AM39">
            <v>0</v>
          </cell>
          <cell r="AN39">
            <v>0</v>
          </cell>
        </row>
        <row r="40">
          <cell r="AM40">
            <v>0</v>
          </cell>
          <cell r="AN40">
            <v>0</v>
          </cell>
        </row>
        <row r="41">
          <cell r="AM41">
            <v>11.111111111111111</v>
          </cell>
          <cell r="AN41">
            <v>0</v>
          </cell>
        </row>
      </sheetData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J1" zoomScale="85" workbookViewId="0">
      <pane ySplit="8" topLeftCell="A9" activePane="bottomLeft" state="frozen"/>
      <selection pane="bottomLeft" activeCell="S33" sqref="S33"/>
    </sheetView>
  </sheetViews>
  <sheetFormatPr baseColWidth="10" defaultRowHeight="16" x14ac:dyDescent="0.2"/>
  <sheetData>
    <row r="1" spans="1:16" ht="21" x14ac:dyDescent="0.2">
      <c r="A1" t="s">
        <v>190</v>
      </c>
      <c r="B1" s="16" t="s">
        <v>52</v>
      </c>
      <c r="E1" t="s">
        <v>68</v>
      </c>
      <c r="F1" s="16" t="s">
        <v>72</v>
      </c>
      <c r="J1" t="s">
        <v>67</v>
      </c>
      <c r="K1" s="16" t="s">
        <v>72</v>
      </c>
      <c r="M1" t="s">
        <v>60</v>
      </c>
      <c r="N1" s="16" t="s">
        <v>56</v>
      </c>
      <c r="P1" s="1" t="s">
        <v>61</v>
      </c>
    </row>
    <row r="2" spans="1:16" ht="21" x14ac:dyDescent="0.2">
      <c r="B2" s="18" t="s">
        <v>53</v>
      </c>
      <c r="F2" s="18" t="s">
        <v>71</v>
      </c>
      <c r="K2" s="18" t="s">
        <v>71</v>
      </c>
      <c r="N2" s="18" t="s">
        <v>57</v>
      </c>
      <c r="P2" s="1" t="s">
        <v>62</v>
      </c>
    </row>
    <row r="3" spans="1:16" ht="21" x14ac:dyDescent="0.2">
      <c r="B3" s="17" t="s">
        <v>54</v>
      </c>
      <c r="F3" s="17" t="s">
        <v>70</v>
      </c>
      <c r="K3" s="17" t="s">
        <v>70</v>
      </c>
      <c r="N3" s="17" t="s">
        <v>58</v>
      </c>
      <c r="P3" s="1" t="s">
        <v>63</v>
      </c>
    </row>
    <row r="4" spans="1:16" ht="21" x14ac:dyDescent="0.2">
      <c r="B4" s="15" t="s">
        <v>55</v>
      </c>
      <c r="F4" s="15" t="s">
        <v>69</v>
      </c>
      <c r="K4" s="15" t="s">
        <v>69</v>
      </c>
      <c r="N4" s="15" t="s">
        <v>59</v>
      </c>
      <c r="P4" s="1" t="s">
        <v>156</v>
      </c>
    </row>
    <row r="5" spans="1:16" ht="21" x14ac:dyDescent="0.2">
      <c r="P5" s="1" t="s">
        <v>64</v>
      </c>
    </row>
    <row r="8" spans="1:16" x14ac:dyDescent="0.2">
      <c r="B8" t="s">
        <v>65</v>
      </c>
      <c r="C8" t="s">
        <v>40</v>
      </c>
      <c r="D8" t="s">
        <v>153</v>
      </c>
      <c r="E8" t="s">
        <v>154</v>
      </c>
      <c r="F8" t="s">
        <v>41</v>
      </c>
      <c r="G8" s="3"/>
      <c r="L8" t="s">
        <v>65</v>
      </c>
      <c r="M8" t="s">
        <v>40</v>
      </c>
      <c r="N8" t="s">
        <v>66</v>
      </c>
      <c r="O8" t="s">
        <v>51</v>
      </c>
      <c r="P8" t="s">
        <v>41</v>
      </c>
    </row>
    <row r="9" spans="1:16" x14ac:dyDescent="0.2">
      <c r="A9" t="s">
        <v>0</v>
      </c>
      <c r="B9">
        <v>3</v>
      </c>
      <c r="C9" s="11">
        <v>3</v>
      </c>
      <c r="D9">
        <v>2</v>
      </c>
      <c r="E9">
        <v>2</v>
      </c>
      <c r="F9">
        <v>0</v>
      </c>
      <c r="K9" t="s">
        <v>20</v>
      </c>
      <c r="L9">
        <v>1</v>
      </c>
      <c r="M9">
        <v>2</v>
      </c>
      <c r="N9">
        <v>2</v>
      </c>
      <c r="O9">
        <v>1</v>
      </c>
      <c r="P9">
        <v>0</v>
      </c>
    </row>
    <row r="10" spans="1:16" x14ac:dyDescent="0.2">
      <c r="A10" t="s">
        <v>1</v>
      </c>
      <c r="B10">
        <v>2</v>
      </c>
      <c r="C10">
        <v>2</v>
      </c>
      <c r="D10">
        <v>2</v>
      </c>
      <c r="E10">
        <v>2</v>
      </c>
      <c r="F10">
        <v>0</v>
      </c>
      <c r="K10" t="s">
        <v>21</v>
      </c>
      <c r="L10">
        <v>1</v>
      </c>
      <c r="M10">
        <v>2</v>
      </c>
      <c r="N10">
        <v>2</v>
      </c>
      <c r="O10">
        <v>2</v>
      </c>
      <c r="P10">
        <v>0</v>
      </c>
    </row>
    <row r="11" spans="1:16" x14ac:dyDescent="0.2">
      <c r="A11" t="s">
        <v>2</v>
      </c>
      <c r="B11">
        <v>1</v>
      </c>
      <c r="C11">
        <v>1</v>
      </c>
      <c r="D11">
        <v>2</v>
      </c>
      <c r="E11" s="11">
        <v>3</v>
      </c>
      <c r="F11">
        <v>0</v>
      </c>
      <c r="K11" t="s">
        <v>22</v>
      </c>
      <c r="L11">
        <v>1</v>
      </c>
      <c r="M11">
        <v>2</v>
      </c>
      <c r="N11">
        <v>2</v>
      </c>
      <c r="O11">
        <v>2</v>
      </c>
      <c r="P11">
        <v>0</v>
      </c>
    </row>
    <row r="12" spans="1:16" x14ac:dyDescent="0.2">
      <c r="A12" t="s">
        <v>3</v>
      </c>
      <c r="B12">
        <v>2</v>
      </c>
      <c r="C12">
        <v>2</v>
      </c>
      <c r="D12" s="11">
        <v>3</v>
      </c>
      <c r="E12" s="11">
        <v>3</v>
      </c>
      <c r="F12" s="14">
        <v>0</v>
      </c>
      <c r="K12" t="s">
        <v>23</v>
      </c>
      <c r="L12">
        <v>1</v>
      </c>
      <c r="M12">
        <v>2</v>
      </c>
      <c r="N12">
        <v>2</v>
      </c>
      <c r="O12">
        <v>0</v>
      </c>
      <c r="P12">
        <v>0</v>
      </c>
    </row>
    <row r="13" spans="1:16" x14ac:dyDescent="0.2">
      <c r="A13" t="s">
        <v>4</v>
      </c>
      <c r="B13">
        <v>3</v>
      </c>
      <c r="C13" s="11">
        <v>3</v>
      </c>
      <c r="D13">
        <v>2</v>
      </c>
      <c r="E13">
        <v>0</v>
      </c>
      <c r="F13">
        <v>0</v>
      </c>
      <c r="K13" t="s">
        <v>24</v>
      </c>
      <c r="L13">
        <v>1</v>
      </c>
      <c r="M13">
        <v>2</v>
      </c>
      <c r="N13" s="11">
        <v>3</v>
      </c>
      <c r="O13">
        <v>0</v>
      </c>
      <c r="P13">
        <v>0</v>
      </c>
    </row>
    <row r="14" spans="1:16" x14ac:dyDescent="0.2">
      <c r="A14" t="s">
        <v>7</v>
      </c>
      <c r="B14">
        <v>2</v>
      </c>
      <c r="C14">
        <v>2</v>
      </c>
      <c r="D14" s="11">
        <v>3</v>
      </c>
      <c r="E14" s="11">
        <v>3</v>
      </c>
      <c r="F14">
        <v>0</v>
      </c>
      <c r="K14" t="s">
        <v>25</v>
      </c>
      <c r="L14">
        <v>1</v>
      </c>
      <c r="M14">
        <v>2</v>
      </c>
      <c r="N14">
        <v>2</v>
      </c>
      <c r="O14">
        <v>0</v>
      </c>
      <c r="P14">
        <v>0</v>
      </c>
    </row>
    <row r="15" spans="1:16" x14ac:dyDescent="0.2">
      <c r="A15" t="s">
        <v>8</v>
      </c>
      <c r="B15">
        <v>2</v>
      </c>
      <c r="C15">
        <v>1</v>
      </c>
      <c r="D15">
        <v>2</v>
      </c>
      <c r="E15">
        <v>2</v>
      </c>
      <c r="F15">
        <v>0</v>
      </c>
      <c r="K15" t="s">
        <v>27</v>
      </c>
      <c r="L15">
        <v>1</v>
      </c>
      <c r="M15">
        <v>2</v>
      </c>
      <c r="N15">
        <v>1</v>
      </c>
      <c r="O15">
        <v>0</v>
      </c>
      <c r="P15">
        <v>0</v>
      </c>
    </row>
    <row r="16" spans="1:16" x14ac:dyDescent="0.2">
      <c r="A16" t="s">
        <v>15</v>
      </c>
      <c r="B16">
        <v>3</v>
      </c>
      <c r="C16">
        <v>2</v>
      </c>
      <c r="D16">
        <v>2</v>
      </c>
      <c r="E16" s="11">
        <v>3</v>
      </c>
      <c r="F16">
        <v>0</v>
      </c>
      <c r="K16" t="s">
        <v>28</v>
      </c>
      <c r="M16">
        <v>2</v>
      </c>
      <c r="N16">
        <v>2</v>
      </c>
      <c r="O16">
        <v>1</v>
      </c>
      <c r="P16">
        <v>0</v>
      </c>
    </row>
    <row r="17" spans="1:16" x14ac:dyDescent="0.2">
      <c r="A17" t="s">
        <v>17</v>
      </c>
      <c r="B17">
        <v>1</v>
      </c>
      <c r="C17" s="11">
        <v>3</v>
      </c>
      <c r="D17">
        <v>2</v>
      </c>
      <c r="E17">
        <v>2</v>
      </c>
      <c r="F17">
        <v>0</v>
      </c>
      <c r="K17" t="s">
        <v>29</v>
      </c>
      <c r="L17">
        <v>1</v>
      </c>
      <c r="M17">
        <v>1</v>
      </c>
      <c r="N17" s="11">
        <v>3</v>
      </c>
      <c r="O17">
        <v>0</v>
      </c>
      <c r="P17">
        <v>0</v>
      </c>
    </row>
    <row r="18" spans="1:16" x14ac:dyDescent="0.2">
      <c r="A18" t="s">
        <v>19</v>
      </c>
      <c r="B18">
        <v>1</v>
      </c>
      <c r="C18">
        <v>2</v>
      </c>
      <c r="D18">
        <v>2</v>
      </c>
      <c r="E18" s="11">
        <v>3</v>
      </c>
      <c r="F18">
        <v>0</v>
      </c>
      <c r="K18" t="s">
        <v>30</v>
      </c>
      <c r="L18">
        <v>3</v>
      </c>
      <c r="M18" s="11">
        <v>3</v>
      </c>
      <c r="N18">
        <v>0</v>
      </c>
      <c r="O18">
        <v>0</v>
      </c>
      <c r="P18">
        <v>0</v>
      </c>
    </row>
    <row r="19" spans="1:16" x14ac:dyDescent="0.2">
      <c r="K19" t="s">
        <v>31</v>
      </c>
      <c r="L19">
        <v>1</v>
      </c>
      <c r="M19" s="11">
        <v>3</v>
      </c>
      <c r="N19" s="11">
        <v>3</v>
      </c>
      <c r="O19" s="11">
        <v>3</v>
      </c>
      <c r="P19">
        <v>0</v>
      </c>
    </row>
    <row r="20" spans="1:16" x14ac:dyDescent="0.2">
      <c r="B20">
        <f>3/10</f>
        <v>0.3</v>
      </c>
      <c r="E20" s="3"/>
      <c r="G20">
        <v>0</v>
      </c>
      <c r="H20">
        <f>QUARTILE(C9:C18,0)</f>
        <v>1</v>
      </c>
      <c r="K20" t="s">
        <v>32</v>
      </c>
      <c r="L20">
        <v>1</v>
      </c>
      <c r="M20">
        <v>2</v>
      </c>
      <c r="N20">
        <v>2</v>
      </c>
      <c r="O20">
        <v>2</v>
      </c>
      <c r="P20">
        <v>0</v>
      </c>
    </row>
    <row r="21" spans="1:16" x14ac:dyDescent="0.2">
      <c r="K21" t="s">
        <v>33</v>
      </c>
      <c r="L21">
        <v>1</v>
      </c>
      <c r="M21">
        <v>0</v>
      </c>
      <c r="N21">
        <v>1</v>
      </c>
      <c r="O21" s="11">
        <v>3</v>
      </c>
      <c r="P21">
        <v>0</v>
      </c>
    </row>
    <row r="22" spans="1:16" x14ac:dyDescent="0.2">
      <c r="K22" t="s">
        <v>34</v>
      </c>
      <c r="L22">
        <v>1</v>
      </c>
      <c r="M22">
        <v>2</v>
      </c>
      <c r="N22" s="11">
        <v>3</v>
      </c>
      <c r="O22" s="11">
        <v>3</v>
      </c>
      <c r="P22">
        <v>0</v>
      </c>
    </row>
    <row r="23" spans="1:16" x14ac:dyDescent="0.2">
      <c r="B23" t="s">
        <v>40</v>
      </c>
      <c r="C23" t="s">
        <v>153</v>
      </c>
      <c r="D23" t="s">
        <v>154</v>
      </c>
      <c r="E23" t="s">
        <v>41</v>
      </c>
      <c r="K23" t="s">
        <v>35</v>
      </c>
      <c r="L23">
        <v>1</v>
      </c>
      <c r="M23">
        <v>0</v>
      </c>
      <c r="N23" s="11">
        <v>3</v>
      </c>
      <c r="O23">
        <v>0</v>
      </c>
      <c r="P23">
        <v>0</v>
      </c>
    </row>
    <row r="24" spans="1:16" x14ac:dyDescent="0.2">
      <c r="A24" t="s">
        <v>155</v>
      </c>
      <c r="B24">
        <v>3</v>
      </c>
      <c r="C24">
        <v>2</v>
      </c>
      <c r="D24">
        <v>2</v>
      </c>
      <c r="E24">
        <v>0</v>
      </c>
      <c r="K24" t="s">
        <v>36</v>
      </c>
      <c r="L24">
        <v>1</v>
      </c>
      <c r="M24">
        <v>2</v>
      </c>
      <c r="N24">
        <v>2</v>
      </c>
      <c r="O24">
        <v>0</v>
      </c>
      <c r="P24">
        <v>0</v>
      </c>
    </row>
    <row r="25" spans="1:16" x14ac:dyDescent="0.2">
      <c r="B25">
        <v>2</v>
      </c>
      <c r="C25">
        <v>2</v>
      </c>
      <c r="D25">
        <v>3</v>
      </c>
      <c r="E25">
        <v>0</v>
      </c>
      <c r="K25" t="s">
        <v>37</v>
      </c>
      <c r="L25">
        <v>2</v>
      </c>
      <c r="M25">
        <v>2</v>
      </c>
      <c r="N25">
        <v>2</v>
      </c>
      <c r="O25">
        <v>2</v>
      </c>
      <c r="P25">
        <v>1</v>
      </c>
    </row>
    <row r="26" spans="1:16" x14ac:dyDescent="0.2">
      <c r="B26">
        <v>3</v>
      </c>
      <c r="C26">
        <v>0</v>
      </c>
      <c r="D26">
        <v>0</v>
      </c>
      <c r="E26">
        <v>0</v>
      </c>
      <c r="K26" t="s">
        <v>38</v>
      </c>
      <c r="L26">
        <v>2</v>
      </c>
      <c r="M26" s="11">
        <v>3</v>
      </c>
      <c r="N26">
        <v>2</v>
      </c>
      <c r="O26">
        <v>1</v>
      </c>
      <c r="P26">
        <v>1</v>
      </c>
    </row>
    <row r="27" spans="1:16" x14ac:dyDescent="0.2">
      <c r="K27" t="s">
        <v>39</v>
      </c>
      <c r="L27">
        <v>1</v>
      </c>
      <c r="M27">
        <v>1</v>
      </c>
      <c r="N27" s="11">
        <v>3</v>
      </c>
      <c r="O27">
        <v>1</v>
      </c>
      <c r="P27">
        <v>0</v>
      </c>
    </row>
    <row r="28" spans="1:16" x14ac:dyDescent="0.2">
      <c r="M28" s="3"/>
    </row>
    <row r="29" spans="1:16" x14ac:dyDescent="0.2">
      <c r="B29" t="s">
        <v>225</v>
      </c>
    </row>
    <row r="30" spans="1:16" x14ac:dyDescent="0.2">
      <c r="B30">
        <f>AVERAGE(B9:B18)</f>
        <v>2</v>
      </c>
      <c r="L30">
        <f>1/20</f>
        <v>0.05</v>
      </c>
    </row>
    <row r="31" spans="1:16" x14ac:dyDescent="0.2">
      <c r="B31">
        <f>AVERAGE(L9:L28)</f>
        <v>1.2222222222222223</v>
      </c>
    </row>
    <row r="32" spans="1:16" x14ac:dyDescent="0.2">
      <c r="B32" t="s">
        <v>40</v>
      </c>
      <c r="C32" t="s">
        <v>227</v>
      </c>
      <c r="D32" t="s">
        <v>228</v>
      </c>
      <c r="E32" t="s">
        <v>229</v>
      </c>
    </row>
    <row r="33" spans="1:6" x14ac:dyDescent="0.2">
      <c r="A33" t="s">
        <v>247</v>
      </c>
      <c r="B33">
        <f>AVERAGE(C9:C22)</f>
        <v>2.1</v>
      </c>
      <c r="C33">
        <f>AVERAGE(D9:D22)</f>
        <v>2.2000000000000002</v>
      </c>
      <c r="D33">
        <f>AVERAGE(E9:E22)</f>
        <v>2.2999999999999998</v>
      </c>
      <c r="E33">
        <f>AVERAGE(F9:F22)</f>
        <v>0</v>
      </c>
    </row>
    <row r="34" spans="1:6" x14ac:dyDescent="0.2">
      <c r="A34" t="s">
        <v>73</v>
      </c>
      <c r="B34">
        <f>AVERAGE(M9:M28)</f>
        <v>1.8421052631578947</v>
      </c>
      <c r="C34">
        <f>AVERAGE(N9:N28)</f>
        <v>2.1052631578947367</v>
      </c>
      <c r="D34">
        <f>AVERAGE(O9:O28)</f>
        <v>1.1052631578947369</v>
      </c>
      <c r="E34">
        <f>AVERAGE(P9:P28)</f>
        <v>0.10526315789473684</v>
      </c>
    </row>
    <row r="37" spans="1:6" x14ac:dyDescent="0.2">
      <c r="B37" t="s">
        <v>225</v>
      </c>
      <c r="C37" t="s">
        <v>40</v>
      </c>
      <c r="D37" s="37" t="s">
        <v>230</v>
      </c>
      <c r="E37" s="37" t="s">
        <v>228</v>
      </c>
      <c r="F37" s="37" t="s">
        <v>41</v>
      </c>
    </row>
    <row r="38" spans="1:6" x14ac:dyDescent="0.2">
      <c r="A38" t="s">
        <v>247</v>
      </c>
      <c r="B38">
        <v>2</v>
      </c>
      <c r="C38" s="12">
        <v>2</v>
      </c>
      <c r="D38" s="12">
        <v>2</v>
      </c>
      <c r="E38" s="12">
        <v>2</v>
      </c>
      <c r="F38" s="14">
        <v>0</v>
      </c>
    </row>
    <row r="39" spans="1:6" x14ac:dyDescent="0.2">
      <c r="A39" t="s">
        <v>73</v>
      </c>
      <c r="B39">
        <v>1</v>
      </c>
      <c r="C39" s="12">
        <v>2</v>
      </c>
      <c r="D39" s="12">
        <v>2</v>
      </c>
      <c r="E39" s="13">
        <v>1</v>
      </c>
      <c r="F39" s="14">
        <v>0</v>
      </c>
    </row>
    <row r="40" spans="1:6" x14ac:dyDescent="0.2">
      <c r="A40" t="s">
        <v>226</v>
      </c>
      <c r="B40">
        <f>_xlfn.VAR.P(B38)</f>
        <v>0</v>
      </c>
      <c r="C40">
        <f>C38</f>
        <v>2</v>
      </c>
      <c r="D40">
        <f>D38</f>
        <v>2</v>
      </c>
    </row>
  </sheetData>
  <conditionalFormatting sqref="C13 C9 C17 D12 E11:E12 D14:E14 E16 M18 M26 M28 N27 N22:N23 N17 N13 M19:O19 O21:O22 E20 E18">
    <cfRule type="colorScale" priority="11">
      <colorScale>
        <cfvo type="num" val="1"/>
        <cfvo type="num" val="2"/>
        <cfvo type="num" val="3"/>
        <color rgb="FFFF7128"/>
        <color theme="7" tint="0.39997558519241921"/>
        <color theme="9"/>
      </colorScale>
    </cfRule>
  </conditionalFormatting>
  <conditionalFormatting sqref="M9:P28">
    <cfRule type="colorScale" priority="1">
      <colorScale>
        <cfvo type="min"/>
        <cfvo type="num" val="2"/>
        <cfvo type="num" val="3"/>
        <color rgb="FFF8696B"/>
        <color rgb="FFFFEB84"/>
        <color rgb="FF63BE7B"/>
      </colorScale>
    </cfRule>
  </conditionalFormatting>
  <conditionalFormatting sqref="J2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5">
    <cfRule type="colorScale" priority="2">
      <colorScale>
        <cfvo type="num" val="$M$17"/>
        <cfvo type="num" val="$M$14"/>
        <cfvo type="num" val="$M$18"/>
        <color theme="5"/>
        <color rgb="FFFFEB84"/>
        <color theme="9"/>
      </colorScale>
    </cfRule>
  </conditionalFormatting>
  <conditionalFormatting sqref="C9:F1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6"/>
  <sheetViews>
    <sheetView topLeftCell="A9" zoomScale="106" zoomScaleNormal="106" zoomScalePageLayoutView="106" workbookViewId="0">
      <selection activeCell="H12" sqref="H12"/>
    </sheetView>
  </sheetViews>
  <sheetFormatPr baseColWidth="10" defaultRowHeight="16" x14ac:dyDescent="0.2"/>
  <sheetData>
    <row r="3" spans="1:18" x14ac:dyDescent="0.2">
      <c r="A3" s="2"/>
      <c r="B3" s="2" t="s">
        <v>65</v>
      </c>
      <c r="C3" s="2" t="s">
        <v>40</v>
      </c>
      <c r="D3" s="2" t="s">
        <v>240</v>
      </c>
      <c r="E3" s="2" t="s">
        <v>154</v>
      </c>
      <c r="F3" s="2" t="s">
        <v>41</v>
      </c>
      <c r="G3" s="2"/>
      <c r="H3" s="2"/>
      <c r="I3" s="2"/>
      <c r="J3" s="2"/>
      <c r="K3" s="2"/>
      <c r="L3" s="2" t="s">
        <v>65</v>
      </c>
      <c r="M3" s="2" t="s">
        <v>40</v>
      </c>
      <c r="N3" s="2" t="s">
        <v>66</v>
      </c>
      <c r="O3" s="2" t="s">
        <v>51</v>
      </c>
      <c r="P3" s="2" t="s">
        <v>41</v>
      </c>
      <c r="Q3" s="2"/>
      <c r="R3" s="2"/>
    </row>
    <row r="4" spans="1:18" x14ac:dyDescent="0.2">
      <c r="A4" s="2" t="s">
        <v>0</v>
      </c>
      <c r="B4" s="2">
        <v>3</v>
      </c>
      <c r="C4" s="60">
        <v>3</v>
      </c>
      <c r="D4" s="61">
        <v>2</v>
      </c>
      <c r="E4" s="61">
        <v>2</v>
      </c>
      <c r="F4" s="62">
        <v>0</v>
      </c>
      <c r="G4" s="2"/>
      <c r="H4" s="2"/>
      <c r="I4" s="2"/>
      <c r="J4" s="2"/>
      <c r="K4" s="2" t="s">
        <v>20</v>
      </c>
      <c r="L4" s="2">
        <v>1</v>
      </c>
      <c r="M4" s="61">
        <v>2</v>
      </c>
      <c r="N4" s="61">
        <v>2</v>
      </c>
      <c r="O4" s="63">
        <v>1</v>
      </c>
      <c r="P4" s="62">
        <v>0</v>
      </c>
      <c r="Q4" s="2"/>
      <c r="R4" s="2"/>
    </row>
    <row r="5" spans="1:18" x14ac:dyDescent="0.2">
      <c r="A5" s="2" t="s">
        <v>1</v>
      </c>
      <c r="B5" s="2">
        <v>2</v>
      </c>
      <c r="C5" s="61">
        <v>2</v>
      </c>
      <c r="D5" s="61">
        <v>2</v>
      </c>
      <c r="E5" s="61">
        <v>2</v>
      </c>
      <c r="F5" s="62">
        <v>0</v>
      </c>
      <c r="G5" s="2"/>
      <c r="H5" s="2"/>
      <c r="I5" s="2"/>
      <c r="J5" s="2"/>
      <c r="K5" s="2" t="s">
        <v>21</v>
      </c>
      <c r="L5" s="2">
        <v>1</v>
      </c>
      <c r="M5" s="61">
        <v>2</v>
      </c>
      <c r="N5" s="61">
        <v>2</v>
      </c>
      <c r="O5" s="61">
        <v>2</v>
      </c>
      <c r="P5" s="62">
        <v>0</v>
      </c>
      <c r="Q5" s="2"/>
      <c r="R5" s="2"/>
    </row>
    <row r="6" spans="1:18" x14ac:dyDescent="0.2">
      <c r="A6" s="2" t="s">
        <v>2</v>
      </c>
      <c r="B6" s="2">
        <v>1</v>
      </c>
      <c r="C6" s="63">
        <v>1</v>
      </c>
      <c r="D6" s="61">
        <v>2</v>
      </c>
      <c r="E6" s="60">
        <v>3</v>
      </c>
      <c r="F6" s="62">
        <v>0</v>
      </c>
      <c r="G6" s="2"/>
      <c r="H6" s="2"/>
      <c r="I6" s="2"/>
      <c r="J6" s="2"/>
      <c r="K6" s="2" t="s">
        <v>22</v>
      </c>
      <c r="L6" s="2">
        <v>1</v>
      </c>
      <c r="M6" s="61">
        <v>2</v>
      </c>
      <c r="N6" s="61">
        <v>2</v>
      </c>
      <c r="O6" s="61">
        <v>2</v>
      </c>
      <c r="P6" s="62">
        <v>0</v>
      </c>
      <c r="Q6" s="2"/>
      <c r="R6" s="2"/>
    </row>
    <row r="7" spans="1:18" x14ac:dyDescent="0.2">
      <c r="A7" s="2" t="s">
        <v>3</v>
      </c>
      <c r="B7" s="2">
        <v>2</v>
      </c>
      <c r="C7" s="61">
        <v>2</v>
      </c>
      <c r="D7" s="60">
        <v>3</v>
      </c>
      <c r="E7" s="60">
        <v>3</v>
      </c>
      <c r="F7" s="62">
        <v>0</v>
      </c>
      <c r="G7" s="2"/>
      <c r="H7" s="2"/>
      <c r="I7" s="2"/>
      <c r="J7" s="2"/>
      <c r="K7" s="2" t="s">
        <v>23</v>
      </c>
      <c r="L7" s="2">
        <v>1</v>
      </c>
      <c r="M7" s="61">
        <v>2</v>
      </c>
      <c r="N7" s="61">
        <v>2</v>
      </c>
      <c r="O7" s="62">
        <v>0</v>
      </c>
      <c r="P7" s="62">
        <v>0</v>
      </c>
      <c r="Q7" s="2"/>
      <c r="R7" s="2"/>
    </row>
    <row r="8" spans="1:18" x14ac:dyDescent="0.2">
      <c r="A8" s="2" t="s">
        <v>4</v>
      </c>
      <c r="B8" s="2">
        <v>3</v>
      </c>
      <c r="C8" s="60">
        <v>3</v>
      </c>
      <c r="D8" s="61">
        <v>2</v>
      </c>
      <c r="E8" s="62">
        <v>0</v>
      </c>
      <c r="F8" s="62">
        <v>0</v>
      </c>
      <c r="G8" s="2"/>
      <c r="H8" s="2"/>
      <c r="I8" s="2"/>
      <c r="J8" s="2"/>
      <c r="K8" s="2" t="s">
        <v>24</v>
      </c>
      <c r="L8" s="2">
        <v>1</v>
      </c>
      <c r="M8" s="61">
        <v>2</v>
      </c>
      <c r="N8" s="64">
        <v>3</v>
      </c>
      <c r="O8" s="62">
        <v>0</v>
      </c>
      <c r="P8" s="62">
        <v>0</v>
      </c>
      <c r="Q8" s="2"/>
      <c r="R8" s="2"/>
    </row>
    <row r="9" spans="1:18" x14ac:dyDescent="0.2">
      <c r="A9" s="2" t="s">
        <v>7</v>
      </c>
      <c r="B9" s="2">
        <v>2</v>
      </c>
      <c r="C9" s="61">
        <v>2</v>
      </c>
      <c r="D9" s="60">
        <v>3</v>
      </c>
      <c r="E9" s="60">
        <v>3</v>
      </c>
      <c r="F9" s="62">
        <v>0</v>
      </c>
      <c r="G9" s="2"/>
      <c r="H9" s="2"/>
      <c r="I9" s="2"/>
      <c r="J9" s="2"/>
      <c r="K9" s="2" t="s">
        <v>25</v>
      </c>
      <c r="L9" s="2">
        <v>1</v>
      </c>
      <c r="M9" s="61">
        <v>2</v>
      </c>
      <c r="N9" s="61">
        <v>2</v>
      </c>
      <c r="O9" s="62">
        <v>0</v>
      </c>
      <c r="P9" s="62">
        <v>0</v>
      </c>
      <c r="Q9" s="2"/>
      <c r="R9" s="2"/>
    </row>
    <row r="10" spans="1:18" x14ac:dyDescent="0.2">
      <c r="A10" s="2" t="s">
        <v>8</v>
      </c>
      <c r="B10" s="2">
        <v>2</v>
      </c>
      <c r="C10" s="63">
        <v>1</v>
      </c>
      <c r="D10" s="61">
        <v>2</v>
      </c>
      <c r="E10" s="61">
        <v>2</v>
      </c>
      <c r="F10" s="62">
        <v>0</v>
      </c>
      <c r="G10" s="2"/>
      <c r="H10" s="2"/>
      <c r="I10" s="2"/>
      <c r="J10" s="2"/>
      <c r="K10" s="2" t="s">
        <v>27</v>
      </c>
      <c r="L10" s="2">
        <v>1</v>
      </c>
      <c r="M10" s="61">
        <v>2</v>
      </c>
      <c r="N10" s="63">
        <v>1</v>
      </c>
      <c r="O10" s="62">
        <v>0</v>
      </c>
      <c r="P10" s="62">
        <v>0</v>
      </c>
      <c r="Q10" s="2"/>
      <c r="R10" s="2"/>
    </row>
    <row r="11" spans="1:18" x14ac:dyDescent="0.2">
      <c r="A11" s="2" t="s">
        <v>15</v>
      </c>
      <c r="B11" s="2">
        <v>3</v>
      </c>
      <c r="C11" s="61">
        <v>2</v>
      </c>
      <c r="D11" s="61">
        <v>2</v>
      </c>
      <c r="E11" s="60">
        <v>3</v>
      </c>
      <c r="F11" s="62">
        <v>0</v>
      </c>
      <c r="G11" s="2"/>
      <c r="H11" s="2"/>
      <c r="I11" s="2"/>
      <c r="J11" s="2"/>
      <c r="K11" s="2" t="s">
        <v>28</v>
      </c>
      <c r="L11" s="2"/>
      <c r="M11" s="61">
        <v>2</v>
      </c>
      <c r="N11" s="61">
        <v>2</v>
      </c>
      <c r="O11" s="63">
        <v>1</v>
      </c>
      <c r="P11" s="62">
        <v>0</v>
      </c>
      <c r="Q11" s="2"/>
      <c r="R11" s="2"/>
    </row>
    <row r="12" spans="1:18" x14ac:dyDescent="0.2">
      <c r="A12" s="2" t="s">
        <v>17</v>
      </c>
      <c r="B12" s="2">
        <v>1</v>
      </c>
      <c r="C12" s="60">
        <v>3</v>
      </c>
      <c r="D12" s="61">
        <v>2</v>
      </c>
      <c r="E12" s="61">
        <v>2</v>
      </c>
      <c r="F12" s="62">
        <v>0</v>
      </c>
      <c r="G12" s="2"/>
      <c r="H12" s="2"/>
      <c r="I12" s="2"/>
      <c r="J12" s="2"/>
      <c r="K12" s="2" t="s">
        <v>29</v>
      </c>
      <c r="L12" s="2">
        <v>1</v>
      </c>
      <c r="M12" s="63">
        <v>1</v>
      </c>
      <c r="N12" s="64">
        <v>3</v>
      </c>
      <c r="O12" s="62">
        <v>0</v>
      </c>
      <c r="P12" s="62">
        <v>0</v>
      </c>
      <c r="Q12" s="2"/>
      <c r="R12" s="2"/>
    </row>
    <row r="13" spans="1:18" x14ac:dyDescent="0.2">
      <c r="A13" s="2" t="s">
        <v>19</v>
      </c>
      <c r="B13" s="2">
        <v>1</v>
      </c>
      <c r="C13" s="61">
        <v>2</v>
      </c>
      <c r="D13" s="61">
        <v>2</v>
      </c>
      <c r="E13" s="60">
        <v>3</v>
      </c>
      <c r="F13" s="62">
        <v>0</v>
      </c>
      <c r="G13" s="2"/>
      <c r="H13" s="2"/>
      <c r="I13" s="2"/>
      <c r="J13" s="2"/>
      <c r="K13" s="2" t="s">
        <v>30</v>
      </c>
      <c r="L13" s="2">
        <v>3</v>
      </c>
      <c r="M13" s="64">
        <v>3</v>
      </c>
      <c r="N13" s="62">
        <v>0</v>
      </c>
      <c r="O13" s="62">
        <v>0</v>
      </c>
      <c r="P13" s="62">
        <v>0</v>
      </c>
      <c r="Q13" s="2"/>
      <c r="R13" s="2"/>
    </row>
    <row r="14" spans="1:18" x14ac:dyDescent="0.2">
      <c r="B14" s="2"/>
      <c r="C14" s="2"/>
      <c r="D14" s="2"/>
      <c r="E14" s="2"/>
      <c r="F14" s="2"/>
      <c r="G14" s="2"/>
      <c r="H14" s="2"/>
      <c r="I14" s="2"/>
      <c r="J14" s="2"/>
      <c r="K14" s="2" t="s">
        <v>31</v>
      </c>
      <c r="L14" s="2">
        <v>1</v>
      </c>
      <c r="M14" s="64">
        <v>3</v>
      </c>
      <c r="N14" s="64">
        <v>3</v>
      </c>
      <c r="O14" s="64">
        <v>3</v>
      </c>
      <c r="P14" s="62">
        <v>0</v>
      </c>
      <c r="Q14" s="2"/>
      <c r="R14" s="2"/>
    </row>
    <row r="15" spans="1:18" x14ac:dyDescent="0.2">
      <c r="B15" s="2"/>
      <c r="C15" s="2"/>
      <c r="D15" s="2"/>
      <c r="E15" s="2"/>
      <c r="F15" s="2"/>
      <c r="G15" s="2"/>
      <c r="H15" s="2"/>
      <c r="I15" s="2"/>
      <c r="J15" s="2"/>
      <c r="K15" s="2" t="s">
        <v>32</v>
      </c>
      <c r="L15" s="2">
        <v>1</v>
      </c>
      <c r="M15" s="61">
        <v>2</v>
      </c>
      <c r="N15" s="61">
        <v>2</v>
      </c>
      <c r="O15" s="61">
        <v>2</v>
      </c>
      <c r="P15" s="62">
        <v>0</v>
      </c>
      <c r="Q15" s="2"/>
      <c r="R15" s="2"/>
    </row>
    <row r="16" spans="1:18" x14ac:dyDescent="0.2">
      <c r="B16" s="2"/>
      <c r="C16" s="2"/>
      <c r="D16" s="2"/>
      <c r="E16" s="2"/>
      <c r="F16" s="2"/>
      <c r="G16" s="2"/>
      <c r="H16" s="2"/>
      <c r="I16" s="2"/>
      <c r="J16" s="2"/>
      <c r="K16" s="2" t="s">
        <v>33</v>
      </c>
      <c r="L16" s="2">
        <v>1</v>
      </c>
      <c r="M16" s="62">
        <v>0</v>
      </c>
      <c r="N16" s="63">
        <v>1</v>
      </c>
      <c r="O16" s="64">
        <v>3</v>
      </c>
      <c r="P16" s="62">
        <v>0</v>
      </c>
      <c r="Q16" s="2"/>
      <c r="R16" s="2"/>
    </row>
    <row r="17" spans="1:18" x14ac:dyDescent="0.2">
      <c r="A17" t="s">
        <v>190</v>
      </c>
      <c r="C17" s="2" t="s">
        <v>247</v>
      </c>
      <c r="D17" s="2" t="s">
        <v>73</v>
      </c>
      <c r="E17" s="2"/>
      <c r="F17" s="2"/>
      <c r="G17" s="2"/>
      <c r="H17" s="2"/>
      <c r="I17" s="2"/>
      <c r="J17" s="2"/>
      <c r="K17" s="2" t="s">
        <v>34</v>
      </c>
      <c r="L17" s="2">
        <v>1</v>
      </c>
      <c r="M17" s="61">
        <v>2</v>
      </c>
      <c r="N17" s="64">
        <v>3</v>
      </c>
      <c r="O17" s="64">
        <v>3</v>
      </c>
      <c r="P17" s="62">
        <v>0</v>
      </c>
      <c r="Q17" s="2"/>
      <c r="R17" s="2"/>
    </row>
    <row r="18" spans="1:18" x14ac:dyDescent="0.2">
      <c r="A18">
        <v>0</v>
      </c>
      <c r="B18" s="2" t="s">
        <v>232</v>
      </c>
      <c r="C18" s="2">
        <f>QUARTILE($C$4:$C$13,A18)</f>
        <v>1</v>
      </c>
      <c r="D18" s="2">
        <f>QUARTILE($M$4:$M$22,A18)</f>
        <v>0</v>
      </c>
      <c r="E18" s="2" t="s">
        <v>255</v>
      </c>
      <c r="F18" s="2"/>
      <c r="G18" s="2"/>
      <c r="H18" s="2"/>
      <c r="I18" s="2"/>
      <c r="J18" s="2"/>
      <c r="K18" s="2" t="s">
        <v>35</v>
      </c>
      <c r="L18" s="2">
        <v>1</v>
      </c>
      <c r="M18" s="62">
        <v>0</v>
      </c>
      <c r="N18" s="64">
        <v>3</v>
      </c>
      <c r="O18" s="62">
        <v>0</v>
      </c>
      <c r="P18" s="62">
        <v>0</v>
      </c>
      <c r="Q18" s="2"/>
      <c r="R18" s="2"/>
    </row>
    <row r="19" spans="1:18" x14ac:dyDescent="0.2">
      <c r="A19">
        <v>1</v>
      </c>
      <c r="B19" s="2" t="s">
        <v>233</v>
      </c>
      <c r="C19" s="2">
        <f>QUARTILE($C$4:$C$13,A19)</f>
        <v>2</v>
      </c>
      <c r="D19" s="2">
        <f t="shared" ref="D19:D22" si="0">QUARTILE($M$4:$M$22,A19)</f>
        <v>2</v>
      </c>
      <c r="E19" s="2" t="s">
        <v>256</v>
      </c>
      <c r="F19" s="2"/>
      <c r="G19" s="2"/>
      <c r="H19" s="2"/>
      <c r="I19" s="2"/>
      <c r="J19" s="2"/>
      <c r="K19" s="2" t="s">
        <v>36</v>
      </c>
      <c r="L19" s="2">
        <v>1</v>
      </c>
      <c r="M19" s="61">
        <v>2</v>
      </c>
      <c r="N19" s="61">
        <v>2</v>
      </c>
      <c r="O19" s="62">
        <v>0</v>
      </c>
      <c r="P19" s="62">
        <v>0</v>
      </c>
      <c r="Q19" s="2"/>
      <c r="R19" s="2"/>
    </row>
    <row r="20" spans="1:18" x14ac:dyDescent="0.2">
      <c r="A20">
        <v>2</v>
      </c>
      <c r="B20" s="2" t="s">
        <v>234</v>
      </c>
      <c r="C20" s="2">
        <f>QUARTILE($C$4:$C$13,A20)</f>
        <v>2</v>
      </c>
      <c r="D20" s="2">
        <f t="shared" si="0"/>
        <v>2</v>
      </c>
      <c r="E20" s="2" t="s">
        <v>257</v>
      </c>
      <c r="F20" s="2"/>
      <c r="G20" s="2"/>
      <c r="H20" s="2"/>
      <c r="I20" s="2"/>
      <c r="J20" s="2"/>
      <c r="K20" s="2" t="s">
        <v>37</v>
      </c>
      <c r="L20" s="2">
        <v>2</v>
      </c>
      <c r="M20" s="61">
        <v>2</v>
      </c>
      <c r="N20" s="61">
        <v>2</v>
      </c>
      <c r="O20" s="61">
        <v>2</v>
      </c>
      <c r="P20" s="63">
        <v>1</v>
      </c>
      <c r="Q20" s="2"/>
      <c r="R20" s="2"/>
    </row>
    <row r="21" spans="1:18" x14ac:dyDescent="0.2">
      <c r="A21">
        <v>3</v>
      </c>
      <c r="B21" s="2" t="s">
        <v>235</v>
      </c>
      <c r="C21" s="2">
        <f>QUARTILE($C$4:$C$13,A21)</f>
        <v>2.75</v>
      </c>
      <c r="D21" s="2">
        <f t="shared" si="0"/>
        <v>2</v>
      </c>
      <c r="E21" s="2" t="s">
        <v>258</v>
      </c>
      <c r="F21" s="2"/>
      <c r="G21" s="2"/>
      <c r="H21" s="2"/>
      <c r="I21" s="2"/>
      <c r="J21" s="2"/>
      <c r="K21" s="2" t="s">
        <v>38</v>
      </c>
      <c r="L21" s="2">
        <v>2</v>
      </c>
      <c r="M21" s="64">
        <v>3</v>
      </c>
      <c r="N21" s="61">
        <v>2</v>
      </c>
      <c r="O21" s="63">
        <v>1</v>
      </c>
      <c r="P21" s="63">
        <v>1</v>
      </c>
      <c r="Q21" s="2"/>
      <c r="R21" s="2"/>
    </row>
    <row r="22" spans="1:18" x14ac:dyDescent="0.2">
      <c r="A22">
        <v>4</v>
      </c>
      <c r="B22" s="2" t="s">
        <v>236</v>
      </c>
      <c r="C22" s="2">
        <f>QUARTILE($C$4:$C$13,A22)</f>
        <v>3</v>
      </c>
      <c r="D22" s="2">
        <f t="shared" si="0"/>
        <v>3</v>
      </c>
      <c r="E22" s="2" t="s">
        <v>259</v>
      </c>
      <c r="F22" s="2"/>
      <c r="G22" s="2"/>
      <c r="H22" s="2"/>
      <c r="I22" s="2"/>
      <c r="J22" s="2"/>
      <c r="K22" s="2" t="s">
        <v>39</v>
      </c>
      <c r="L22" s="2">
        <v>1</v>
      </c>
      <c r="M22" s="63">
        <v>1</v>
      </c>
      <c r="N22" s="64">
        <v>3</v>
      </c>
      <c r="O22" s="63">
        <v>1</v>
      </c>
      <c r="P22" s="62">
        <v>0</v>
      </c>
      <c r="Q22" s="2"/>
      <c r="R22" s="2"/>
    </row>
    <row r="23" spans="1:18" x14ac:dyDescent="0.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5" spans="1:18" x14ac:dyDescent="0.2">
      <c r="A25" s="2" t="s">
        <v>240</v>
      </c>
      <c r="B25" s="2" t="s">
        <v>247</v>
      </c>
      <c r="D25" s="2" t="s">
        <v>73</v>
      </c>
    </row>
    <row r="26" spans="1:18" x14ac:dyDescent="0.2">
      <c r="A26">
        <v>0</v>
      </c>
      <c r="B26" s="2" t="s">
        <v>232</v>
      </c>
      <c r="C26" s="2">
        <f>QUARTILE($D$4:$D$13,A26)</f>
        <v>2</v>
      </c>
      <c r="D26">
        <f>QUARTILE($N$4:$N$22,A26)</f>
        <v>0</v>
      </c>
    </row>
    <row r="27" spans="1:18" x14ac:dyDescent="0.2">
      <c r="A27">
        <v>1</v>
      </c>
      <c r="B27" s="2" t="s">
        <v>233</v>
      </c>
      <c r="C27" s="2">
        <f t="shared" ref="C27:C30" si="1">QUARTILE($D$4:$D$13,A27)</f>
        <v>2</v>
      </c>
      <c r="D27">
        <f t="shared" ref="D27:D30" si="2">QUARTILE($N$4:$N$22,A27)</f>
        <v>2</v>
      </c>
    </row>
    <row r="28" spans="1:18" x14ac:dyDescent="0.2">
      <c r="A28">
        <v>2</v>
      </c>
      <c r="B28" s="2" t="s">
        <v>234</v>
      </c>
      <c r="C28" s="2">
        <f t="shared" si="1"/>
        <v>2</v>
      </c>
      <c r="D28">
        <f>QUARTILE($N$4:$N$22,A28)</f>
        <v>2</v>
      </c>
    </row>
    <row r="29" spans="1:18" x14ac:dyDescent="0.2">
      <c r="A29">
        <v>3</v>
      </c>
      <c r="B29" s="2" t="s">
        <v>235</v>
      </c>
      <c r="C29" s="2">
        <f t="shared" si="1"/>
        <v>2</v>
      </c>
      <c r="D29">
        <f t="shared" si="2"/>
        <v>3</v>
      </c>
    </row>
    <row r="30" spans="1:18" x14ac:dyDescent="0.2">
      <c r="A30">
        <v>4</v>
      </c>
      <c r="B30" s="2" t="s">
        <v>236</v>
      </c>
      <c r="C30" s="2">
        <f t="shared" si="1"/>
        <v>3</v>
      </c>
      <c r="D30">
        <f t="shared" si="2"/>
        <v>3</v>
      </c>
    </row>
    <row r="31" spans="1:18" x14ac:dyDescent="0.2">
      <c r="D31" s="2"/>
    </row>
    <row r="33" spans="1:4" x14ac:dyDescent="0.2">
      <c r="A33" s="2" t="s">
        <v>154</v>
      </c>
      <c r="B33" s="2" t="s">
        <v>247</v>
      </c>
      <c r="D33" s="2" t="s">
        <v>73</v>
      </c>
    </row>
    <row r="34" spans="1:4" x14ac:dyDescent="0.2">
      <c r="A34">
        <v>0</v>
      </c>
      <c r="B34" s="2" t="s">
        <v>232</v>
      </c>
      <c r="C34" s="2">
        <f>QUARTILE($E$4:$E$13,A34)</f>
        <v>0</v>
      </c>
      <c r="D34">
        <f>QUARTILE($O$4:$O$22,A34)</f>
        <v>0</v>
      </c>
    </row>
    <row r="35" spans="1:4" x14ac:dyDescent="0.2">
      <c r="A35">
        <v>1</v>
      </c>
      <c r="B35" s="2" t="s">
        <v>233</v>
      </c>
      <c r="C35" s="2">
        <f t="shared" ref="C35:C38" si="3">QUARTILE($E$4:$E$13,A35)</f>
        <v>2</v>
      </c>
      <c r="D35">
        <f t="shared" ref="D35:D38" si="4">QUARTILE($O$4:$O$22,A35)</f>
        <v>0</v>
      </c>
    </row>
    <row r="36" spans="1:4" x14ac:dyDescent="0.2">
      <c r="A36">
        <v>2</v>
      </c>
      <c r="B36" s="2" t="s">
        <v>234</v>
      </c>
      <c r="C36" s="2">
        <f t="shared" si="3"/>
        <v>2.5</v>
      </c>
      <c r="D36">
        <f t="shared" si="4"/>
        <v>1</v>
      </c>
    </row>
    <row r="37" spans="1:4" x14ac:dyDescent="0.2">
      <c r="A37">
        <v>3</v>
      </c>
      <c r="B37" s="2" t="s">
        <v>235</v>
      </c>
      <c r="C37" s="2">
        <f t="shared" si="3"/>
        <v>3</v>
      </c>
      <c r="D37">
        <f t="shared" si="4"/>
        <v>2</v>
      </c>
    </row>
    <row r="38" spans="1:4" x14ac:dyDescent="0.2">
      <c r="A38">
        <v>4</v>
      </c>
      <c r="B38" s="2" t="s">
        <v>236</v>
      </c>
      <c r="C38" s="2">
        <f t="shared" si="3"/>
        <v>3</v>
      </c>
      <c r="D38">
        <f t="shared" si="4"/>
        <v>3</v>
      </c>
    </row>
    <row r="41" spans="1:4" x14ac:dyDescent="0.2">
      <c r="A41" s="2" t="s">
        <v>41</v>
      </c>
      <c r="C41" s="2" t="s">
        <v>247</v>
      </c>
      <c r="D41" s="2" t="s">
        <v>73</v>
      </c>
    </row>
    <row r="42" spans="1:4" x14ac:dyDescent="0.2">
      <c r="A42">
        <v>0</v>
      </c>
      <c r="B42" s="2" t="s">
        <v>232</v>
      </c>
      <c r="C42" s="2">
        <f>QUARTILE($F$4:$F$13,A42)</f>
        <v>0</v>
      </c>
      <c r="D42">
        <f>QUARTILE($P$4:$P$22,A42)</f>
        <v>0</v>
      </c>
    </row>
    <row r="43" spans="1:4" x14ac:dyDescent="0.2">
      <c r="A43">
        <v>1</v>
      </c>
      <c r="B43" s="2" t="s">
        <v>233</v>
      </c>
      <c r="C43" s="2">
        <f t="shared" ref="C43:C46" si="5">QUARTILE($F$4:$F$13,A43)</f>
        <v>0</v>
      </c>
      <c r="D43">
        <f t="shared" ref="D43:D46" si="6">QUARTILE($P$4:$P$22,A43)</f>
        <v>0</v>
      </c>
    </row>
    <row r="44" spans="1:4" x14ac:dyDescent="0.2">
      <c r="A44">
        <v>2</v>
      </c>
      <c r="B44" s="2" t="s">
        <v>234</v>
      </c>
      <c r="C44" s="2">
        <f t="shared" si="5"/>
        <v>0</v>
      </c>
      <c r="D44">
        <f t="shared" si="6"/>
        <v>0</v>
      </c>
    </row>
    <row r="45" spans="1:4" x14ac:dyDescent="0.2">
      <c r="A45">
        <v>3</v>
      </c>
      <c r="B45" s="2" t="s">
        <v>235</v>
      </c>
      <c r="C45" s="2">
        <f t="shared" si="5"/>
        <v>0</v>
      </c>
      <c r="D45">
        <f t="shared" si="6"/>
        <v>0</v>
      </c>
    </row>
    <row r="46" spans="1:4" x14ac:dyDescent="0.2">
      <c r="A46">
        <v>4</v>
      </c>
      <c r="B46" s="2" t="s">
        <v>236</v>
      </c>
      <c r="C46" s="2">
        <f t="shared" si="5"/>
        <v>0</v>
      </c>
      <c r="D46">
        <f t="shared" si="6"/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T8"/>
  <sheetViews>
    <sheetView zoomScale="101" workbookViewId="0">
      <selection activeCell="P6" sqref="P6"/>
    </sheetView>
  </sheetViews>
  <sheetFormatPr baseColWidth="10" defaultRowHeight="16" x14ac:dyDescent="0.2"/>
  <sheetData>
    <row r="1" spans="13:20" x14ac:dyDescent="0.2">
      <c r="N1" t="s">
        <v>247</v>
      </c>
      <c r="O1" t="s">
        <v>73</v>
      </c>
    </row>
    <row r="2" spans="13:20" x14ac:dyDescent="0.2">
      <c r="M2" s="2" t="s">
        <v>232</v>
      </c>
      <c r="N2" s="2">
        <v>1</v>
      </c>
    </row>
    <row r="3" spans="13:20" x14ac:dyDescent="0.2">
      <c r="M3" s="2" t="s">
        <v>233</v>
      </c>
      <c r="N3" s="2">
        <v>2</v>
      </c>
    </row>
    <row r="4" spans="13:20" x14ac:dyDescent="0.2">
      <c r="M4" s="2" t="s">
        <v>234</v>
      </c>
      <c r="N4" s="2">
        <v>2</v>
      </c>
      <c r="S4" t="s">
        <v>233</v>
      </c>
      <c r="T4">
        <v>11.75</v>
      </c>
    </row>
    <row r="5" spans="13:20" x14ac:dyDescent="0.2">
      <c r="M5" s="2" t="s">
        <v>235</v>
      </c>
      <c r="N5" s="2">
        <v>2.75</v>
      </c>
      <c r="S5" t="s">
        <v>237</v>
      </c>
      <c r="T5">
        <v>6</v>
      </c>
    </row>
    <row r="6" spans="13:20" x14ac:dyDescent="0.2">
      <c r="M6" s="2" t="s">
        <v>236</v>
      </c>
      <c r="N6" s="2">
        <v>3</v>
      </c>
      <c r="S6" t="s">
        <v>238</v>
      </c>
      <c r="T6">
        <v>14.5</v>
      </c>
    </row>
    <row r="7" spans="13:20" x14ac:dyDescent="0.2">
      <c r="S7" t="s">
        <v>239</v>
      </c>
      <c r="T7">
        <v>17</v>
      </c>
    </row>
    <row r="8" spans="13:20" x14ac:dyDescent="0.2">
      <c r="S8" t="s">
        <v>235</v>
      </c>
      <c r="T8">
        <v>15.75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opLeftCell="K1" workbookViewId="0">
      <selection activeCell="Q51" sqref="Q51"/>
    </sheetView>
  </sheetViews>
  <sheetFormatPr baseColWidth="10" defaultRowHeight="16" x14ac:dyDescent="0.2"/>
  <cols>
    <col min="2" max="2" width="17.6640625" customWidth="1"/>
    <col min="3" max="3" width="16" customWidth="1"/>
    <col min="4" max="4" width="19" customWidth="1"/>
    <col min="5" max="5" width="17.6640625" customWidth="1"/>
    <col min="6" max="6" width="22.1640625" customWidth="1"/>
    <col min="7" max="7" width="16.6640625" bestFit="1" customWidth="1"/>
    <col min="11" max="11" width="17.1640625" customWidth="1"/>
    <col min="12" max="13" width="18.33203125" customWidth="1"/>
    <col min="14" max="14" width="15.6640625" bestFit="1" customWidth="1"/>
    <col min="17" max="17" width="23.6640625" customWidth="1"/>
  </cols>
  <sheetData>
    <row r="1" spans="1:19" x14ac:dyDescent="0.2">
      <c r="A1" t="s">
        <v>43</v>
      </c>
      <c r="B1" t="s">
        <v>261</v>
      </c>
      <c r="C1" t="s">
        <v>97</v>
      </c>
      <c r="E1" t="s">
        <v>209</v>
      </c>
      <c r="F1" t="s">
        <v>265</v>
      </c>
      <c r="G1" t="s">
        <v>210</v>
      </c>
      <c r="J1" s="3" t="s">
        <v>207</v>
      </c>
      <c r="K1" s="3" t="s">
        <v>217</v>
      </c>
      <c r="L1" t="s">
        <v>210</v>
      </c>
      <c r="N1" t="s">
        <v>220</v>
      </c>
      <c r="O1" t="s">
        <v>224</v>
      </c>
      <c r="P1" t="s">
        <v>210</v>
      </c>
    </row>
    <row r="2" spans="1:19" x14ac:dyDescent="0.2">
      <c r="B2" s="71" t="s">
        <v>262</v>
      </c>
      <c r="C2" t="s">
        <v>213</v>
      </c>
      <c r="F2" t="s">
        <v>266</v>
      </c>
      <c r="G2" t="s">
        <v>98</v>
      </c>
      <c r="K2" t="s">
        <v>269</v>
      </c>
      <c r="L2" t="s">
        <v>213</v>
      </c>
      <c r="O2" t="s">
        <v>221</v>
      </c>
      <c r="P2" t="s">
        <v>213</v>
      </c>
    </row>
    <row r="3" spans="1:19" x14ac:dyDescent="0.2">
      <c r="B3" s="2" t="s">
        <v>263</v>
      </c>
      <c r="C3" t="s">
        <v>260</v>
      </c>
      <c r="F3" t="s">
        <v>267</v>
      </c>
      <c r="G3" t="s">
        <v>211</v>
      </c>
      <c r="K3" t="s">
        <v>270</v>
      </c>
      <c r="L3" t="s">
        <v>214</v>
      </c>
      <c r="O3" t="s">
        <v>222</v>
      </c>
      <c r="P3" t="s">
        <v>214</v>
      </c>
    </row>
    <row r="4" spans="1:19" x14ac:dyDescent="0.2">
      <c r="B4" t="s">
        <v>264</v>
      </c>
      <c r="C4" t="s">
        <v>215</v>
      </c>
      <c r="D4">
        <v>0</v>
      </c>
      <c r="E4">
        <f>QUARTILE(C11:C20,D4)</f>
        <v>8933.3333333333339</v>
      </c>
      <c r="F4" t="s">
        <v>268</v>
      </c>
      <c r="G4" t="s">
        <v>212</v>
      </c>
      <c r="K4" t="s">
        <v>271</v>
      </c>
      <c r="L4" t="s">
        <v>215</v>
      </c>
      <c r="O4" t="s">
        <v>223</v>
      </c>
      <c r="P4" t="s">
        <v>215</v>
      </c>
    </row>
    <row r="5" spans="1:19" x14ac:dyDescent="0.2">
      <c r="D5">
        <v>1</v>
      </c>
      <c r="E5">
        <f>QUARTILE(C11:C20,D5)</f>
        <v>13125.079621465491</v>
      </c>
    </row>
    <row r="6" spans="1:19" x14ac:dyDescent="0.2">
      <c r="D6" s="69">
        <v>2</v>
      </c>
      <c r="E6">
        <f>QUARTILE(C11:C20,D6)</f>
        <v>16456.379010790777</v>
      </c>
      <c r="O6" t="s">
        <v>43</v>
      </c>
      <c r="P6" t="s">
        <v>261</v>
      </c>
      <c r="Q6" t="s">
        <v>97</v>
      </c>
    </row>
    <row r="7" spans="1:19" ht="28" x14ac:dyDescent="0.2">
      <c r="D7" s="69">
        <v>3</v>
      </c>
      <c r="E7">
        <f>QUARTILE(C11:C20,D7)</f>
        <v>25440.382981399729</v>
      </c>
      <c r="P7" s="71" t="s">
        <v>262</v>
      </c>
      <c r="Q7" t="s">
        <v>213</v>
      </c>
    </row>
    <row r="8" spans="1:19" x14ac:dyDescent="0.2">
      <c r="D8">
        <v>4</v>
      </c>
      <c r="E8">
        <f>QUARTILE(C11:C20,D8)</f>
        <v>123365.21518987342</v>
      </c>
      <c r="P8" s="2" t="s">
        <v>263</v>
      </c>
      <c r="Q8" t="s">
        <v>260</v>
      </c>
    </row>
    <row r="9" spans="1:19" x14ac:dyDescent="0.2">
      <c r="P9" t="s">
        <v>264</v>
      </c>
      <c r="Q9" t="s">
        <v>215</v>
      </c>
    </row>
    <row r="10" spans="1:19" x14ac:dyDescent="0.2">
      <c r="B10" s="3" t="s">
        <v>43</v>
      </c>
      <c r="C10" s="3" t="s">
        <v>44</v>
      </c>
      <c r="D10" s="3" t="s">
        <v>207</v>
      </c>
      <c r="G10" s="3" t="s">
        <v>42</v>
      </c>
      <c r="K10" t="s">
        <v>43</v>
      </c>
      <c r="L10" t="s">
        <v>44</v>
      </c>
      <c r="M10" s="3" t="s">
        <v>208</v>
      </c>
    </row>
    <row r="11" spans="1:19" x14ac:dyDescent="0.2">
      <c r="A11" s="2" t="s">
        <v>0</v>
      </c>
      <c r="B11" s="45">
        <v>11653500</v>
      </c>
      <c r="C11" s="42">
        <v>118000</v>
      </c>
      <c r="D11" s="45">
        <f>1610550</f>
        <v>1610550</v>
      </c>
      <c r="F11" s="2"/>
      <c r="G11" s="50">
        <f>3221100</f>
        <v>3221100</v>
      </c>
      <c r="H11" s="2"/>
      <c r="I11" s="2"/>
      <c r="J11" s="2" t="s">
        <v>20</v>
      </c>
      <c r="K11" s="45">
        <v>2753000</v>
      </c>
      <c r="L11" s="45">
        <v>9244.4664031620541</v>
      </c>
      <c r="M11" s="41">
        <f>177313</f>
        <v>177313</v>
      </c>
    </row>
    <row r="12" spans="1:19" x14ac:dyDescent="0.2">
      <c r="A12" s="2" t="s">
        <v>1</v>
      </c>
      <c r="B12" s="45">
        <v>3611414.2857142859</v>
      </c>
      <c r="C12" s="42">
        <v>123365.21518987342</v>
      </c>
      <c r="D12" s="45">
        <f>2053300</f>
        <v>2053300</v>
      </c>
      <c r="F12" s="2"/>
      <c r="G12" s="52">
        <f>4106600</f>
        <v>4106600</v>
      </c>
      <c r="H12" s="2"/>
      <c r="I12" s="2"/>
      <c r="J12" s="2" t="s">
        <v>21</v>
      </c>
      <c r="K12" s="45">
        <v>1132500</v>
      </c>
      <c r="L12" s="45">
        <v>3112.2828784119106</v>
      </c>
      <c r="M12" s="41">
        <f>1389250</f>
        <v>1389250</v>
      </c>
    </row>
    <row r="13" spans="1:19" x14ac:dyDescent="0.2">
      <c r="A13" s="2" t="s">
        <v>2</v>
      </c>
      <c r="B13" s="45">
        <v>1471200</v>
      </c>
      <c r="C13" s="42">
        <v>12570.036231884058</v>
      </c>
      <c r="D13" s="45">
        <f>220778</f>
        <v>220778</v>
      </c>
      <c r="F13" s="2"/>
      <c r="G13" s="50">
        <f>662333.3333</f>
        <v>662333.33330000006</v>
      </c>
      <c r="H13" s="2"/>
      <c r="I13" s="2"/>
      <c r="J13" s="2" t="s">
        <v>22</v>
      </c>
      <c r="K13" s="45">
        <v>5950388.888888889</v>
      </c>
      <c r="L13" s="45">
        <v>15856.060606060606</v>
      </c>
      <c r="M13" s="41">
        <f>1171917</f>
        <v>1171917</v>
      </c>
    </row>
    <row r="14" spans="1:19" x14ac:dyDescent="0.2">
      <c r="A14" s="2" t="s">
        <v>3</v>
      </c>
      <c r="B14" s="45">
        <v>3969066.666666667</v>
      </c>
      <c r="C14" s="42">
        <v>11746.975546975547</v>
      </c>
      <c r="D14" s="45">
        <f>1103233</f>
        <v>1103233</v>
      </c>
      <c r="F14" s="2"/>
      <c r="G14" s="50">
        <f>903700</f>
        <v>903700</v>
      </c>
      <c r="H14" s="2"/>
      <c r="I14" s="2"/>
      <c r="J14" s="2" t="s">
        <v>23</v>
      </c>
      <c r="K14" s="45">
        <v>1759000</v>
      </c>
      <c r="L14" s="40">
        <f>5028.046422</f>
        <v>5028.0464220000003</v>
      </c>
      <c r="M14" s="41">
        <f>105500</f>
        <v>105500</v>
      </c>
    </row>
    <row r="15" spans="1:19" x14ac:dyDescent="0.2">
      <c r="A15" s="2" t="s">
        <v>4</v>
      </c>
      <c r="B15" s="45">
        <v>7328250</v>
      </c>
      <c r="C15" s="42">
        <v>26565.95890410959</v>
      </c>
      <c r="D15" s="45">
        <f>296025</f>
        <v>296025</v>
      </c>
      <c r="G15" s="52">
        <f>1184100</f>
        <v>1184100</v>
      </c>
      <c r="H15" s="2"/>
      <c r="I15" s="2"/>
      <c r="J15" s="2" t="s">
        <v>24</v>
      </c>
      <c r="K15" s="45">
        <v>1925000</v>
      </c>
      <c r="L15" s="45">
        <f>8252.301752</f>
        <v>8252.3017519999994</v>
      </c>
      <c r="M15" s="41">
        <f>302000</f>
        <v>302000</v>
      </c>
      <c r="Q15" s="3" t="s">
        <v>242</v>
      </c>
      <c r="R15" s="3" t="s">
        <v>243</v>
      </c>
      <c r="S15" s="3" t="s">
        <v>207</v>
      </c>
    </row>
    <row r="16" spans="1:19" x14ac:dyDescent="0.2">
      <c r="A16" s="2" t="s">
        <v>7</v>
      </c>
      <c r="B16" s="45">
        <v>7060000</v>
      </c>
      <c r="C16" s="42">
        <v>15191.44385026738</v>
      </c>
      <c r="D16" s="51">
        <f>363000</f>
        <v>363000</v>
      </c>
      <c r="F16" s="2"/>
      <c r="G16" s="50">
        <f>726000</f>
        <v>726000</v>
      </c>
      <c r="H16" s="2"/>
      <c r="I16" s="2"/>
      <c r="J16" s="2" t="s">
        <v>25</v>
      </c>
      <c r="K16" s="45">
        <v>6179833.6333333338</v>
      </c>
      <c r="L16" s="45">
        <v>5326.9527235354572</v>
      </c>
      <c r="M16" s="41">
        <f>442671</f>
        <v>442671</v>
      </c>
      <c r="P16" s="2" t="s">
        <v>247</v>
      </c>
      <c r="Q16" s="39">
        <f>AVERAGE(B24:B33)</f>
        <v>1.5</v>
      </c>
      <c r="R16" s="39">
        <f>AVERAGE(C24:C33)</f>
        <v>1.3</v>
      </c>
      <c r="S16" s="43">
        <f>AVERAGE(E24:E33)</f>
        <v>0.5</v>
      </c>
    </row>
    <row r="17" spans="1:19" x14ac:dyDescent="0.2">
      <c r="A17" s="2" t="s">
        <v>8</v>
      </c>
      <c r="B17" s="45">
        <v>2419750</v>
      </c>
      <c r="C17" s="42">
        <v>22063.65521327014</v>
      </c>
      <c r="D17" s="51">
        <f>634012</f>
        <v>634012</v>
      </c>
      <c r="F17" s="2"/>
      <c r="G17" s="50">
        <f>3354070</f>
        <v>3354070</v>
      </c>
      <c r="H17" s="2"/>
      <c r="I17" s="2"/>
      <c r="J17" s="2" t="s">
        <v>27</v>
      </c>
      <c r="K17" s="45">
        <v>5954166.666666667</v>
      </c>
      <c r="L17" s="45">
        <v>8112.7450980392159</v>
      </c>
      <c r="M17" s="41">
        <f>130583</f>
        <v>130583</v>
      </c>
      <c r="P17" s="2" t="s">
        <v>73</v>
      </c>
      <c r="Q17" s="43">
        <f>AVERAGE(K33:K51)</f>
        <v>1.1052631578947369</v>
      </c>
      <c r="R17" s="43">
        <f>AVERAGE(L33:L51)</f>
        <v>0.36842105263157893</v>
      </c>
      <c r="S17" s="58" t="e">
        <f>AVERAGE(#REF!)</f>
        <v>#REF!</v>
      </c>
    </row>
    <row r="18" spans="1:19" x14ac:dyDescent="0.2">
      <c r="A18" s="2" t="s">
        <v>15</v>
      </c>
      <c r="B18" s="45">
        <v>10482250</v>
      </c>
      <c r="C18" s="42">
        <v>17721.314171314174</v>
      </c>
      <c r="D18" s="51">
        <f>877988</f>
        <v>877988</v>
      </c>
      <c r="F18" s="2"/>
      <c r="G18" s="50">
        <f>3511950</f>
        <v>3511950</v>
      </c>
      <c r="H18" s="2"/>
      <c r="I18" s="2"/>
      <c r="J18" s="2" t="s">
        <v>28</v>
      </c>
      <c r="K18" s="45">
        <v>5027527.777777778</v>
      </c>
      <c r="L18" s="45">
        <v>10155.828373015873</v>
      </c>
      <c r="M18" s="41">
        <f>1248458</f>
        <v>1248458</v>
      </c>
    </row>
    <row r="19" spans="1:19" x14ac:dyDescent="0.2">
      <c r="A19" s="2" t="s">
        <v>17</v>
      </c>
      <c r="B19" s="45">
        <v>11280000</v>
      </c>
      <c r="C19" s="42">
        <v>14790.20979020979</v>
      </c>
      <c r="D19" s="51">
        <f>894190</f>
        <v>894190</v>
      </c>
      <c r="F19" s="2"/>
      <c r="G19" s="50">
        <f>3259333.333</f>
        <v>3259333.3330000001</v>
      </c>
      <c r="H19" s="2"/>
      <c r="I19" s="2"/>
      <c r="J19" s="2" t="s">
        <v>29</v>
      </c>
      <c r="K19" s="45">
        <v>3119000</v>
      </c>
      <c r="L19" s="45">
        <v>21566.472457627118</v>
      </c>
      <c r="M19" s="41">
        <f>506900</f>
        <v>506900</v>
      </c>
    </row>
    <row r="20" spans="1:19" x14ac:dyDescent="0.2">
      <c r="A20" s="2" t="s">
        <v>19</v>
      </c>
      <c r="B20" s="45">
        <v>2600000</v>
      </c>
      <c r="C20" s="42">
        <v>8933.3333333333339</v>
      </c>
      <c r="D20" s="51">
        <f>1274111</f>
        <v>1274111</v>
      </c>
      <c r="F20" s="2"/>
      <c r="G20" s="50">
        <f>1664333.333</f>
        <v>1664333.3330000001</v>
      </c>
      <c r="H20" s="2"/>
      <c r="I20" s="2"/>
      <c r="J20" s="2" t="s">
        <v>30</v>
      </c>
      <c r="K20" s="45">
        <v>5720416.666666667</v>
      </c>
      <c r="L20" s="45">
        <v>6328.6033711730306</v>
      </c>
      <c r="M20" s="41">
        <f>372000</f>
        <v>372000</v>
      </c>
    </row>
    <row r="21" spans="1:19" x14ac:dyDescent="0.2">
      <c r="A21" s="2" t="s">
        <v>205</v>
      </c>
      <c r="B21" s="44">
        <f>AVERAGE(B11:B20)</f>
        <v>6187543.0952380951</v>
      </c>
      <c r="C21" s="44">
        <f>AVERAGE(C11:C20)</f>
        <v>37094.814223123743</v>
      </c>
      <c r="D21" s="49">
        <f>AVERAGE(D11:D20)</f>
        <v>932718.7</v>
      </c>
      <c r="F21" s="2"/>
      <c r="G21" s="48">
        <f>AVERAGE(G11:G20)</f>
        <v>2259351.9999300004</v>
      </c>
      <c r="H21" s="2"/>
      <c r="I21" s="2"/>
      <c r="J21" s="2" t="s">
        <v>31</v>
      </c>
      <c r="K21" s="45">
        <v>7212812.5</v>
      </c>
      <c r="L21" s="45">
        <v>57413.685636856368</v>
      </c>
      <c r="M21" s="41">
        <f>346750</f>
        <v>346750</v>
      </c>
    </row>
    <row r="22" spans="1:19" x14ac:dyDescent="0.2">
      <c r="F22" s="2"/>
      <c r="G22" s="2"/>
      <c r="H22" s="2"/>
      <c r="I22" s="2"/>
      <c r="J22" s="2" t="s">
        <v>32</v>
      </c>
      <c r="K22" s="45">
        <v>5426194.4444444403</v>
      </c>
      <c r="L22" s="45">
        <v>7037.727814823078</v>
      </c>
      <c r="M22" s="41">
        <f>43786071</f>
        <v>43786071</v>
      </c>
    </row>
    <row r="23" spans="1:19" x14ac:dyDescent="0.2">
      <c r="A23" s="2"/>
      <c r="B23" s="3" t="s">
        <v>43</v>
      </c>
      <c r="C23" s="3" t="s">
        <v>44</v>
      </c>
      <c r="D23" s="3" t="s">
        <v>42</v>
      </c>
      <c r="E23" s="3" t="s">
        <v>207</v>
      </c>
      <c r="F23" s="2"/>
      <c r="G23" s="2"/>
      <c r="H23" s="2"/>
      <c r="I23" s="2"/>
      <c r="J23" s="2" t="s">
        <v>33</v>
      </c>
      <c r="K23" s="45">
        <v>4026077.3809523806</v>
      </c>
      <c r="L23" s="45">
        <v>7752.4032231940391</v>
      </c>
      <c r="M23" s="41">
        <f>474342</f>
        <v>474342</v>
      </c>
    </row>
    <row r="24" spans="1:19" x14ac:dyDescent="0.2">
      <c r="A24" s="2" t="s">
        <v>0</v>
      </c>
      <c r="B24" s="72">
        <v>3</v>
      </c>
      <c r="C24">
        <v>3</v>
      </c>
      <c r="D24" s="54">
        <v>2</v>
      </c>
      <c r="E24" s="57">
        <v>1</v>
      </c>
      <c r="I24" s="2"/>
      <c r="J24" s="2" t="s">
        <v>34</v>
      </c>
      <c r="K24" s="45">
        <v>6832263.1172839496</v>
      </c>
      <c r="L24" s="45">
        <v>6296.8129607018491</v>
      </c>
      <c r="M24" s="41">
        <f>2619007</f>
        <v>2619007</v>
      </c>
    </row>
    <row r="25" spans="1:19" x14ac:dyDescent="0.2">
      <c r="A25" s="2" t="s">
        <v>1</v>
      </c>
      <c r="B25" s="72">
        <v>1</v>
      </c>
      <c r="C25">
        <v>3</v>
      </c>
      <c r="D25" s="55">
        <v>3</v>
      </c>
      <c r="E25" s="57">
        <v>2</v>
      </c>
      <c r="G25">
        <f>(K30+B21)/2</f>
        <v>6258150.4355843309</v>
      </c>
      <c r="I25" s="2"/>
      <c r="J25" s="2" t="s">
        <v>35</v>
      </c>
      <c r="K25" s="45">
        <v>6857916.666666667</v>
      </c>
      <c r="L25" s="45">
        <v>5569.632132132132</v>
      </c>
      <c r="M25" s="41">
        <f>700917</f>
        <v>700917</v>
      </c>
    </row>
    <row r="26" spans="1:19" x14ac:dyDescent="0.2">
      <c r="A26" s="2" t="s">
        <v>2</v>
      </c>
      <c r="B26" s="72">
        <v>0</v>
      </c>
      <c r="C26">
        <v>1</v>
      </c>
      <c r="D26" s="54">
        <v>0</v>
      </c>
      <c r="E26" s="57">
        <v>0</v>
      </c>
      <c r="I26" s="2"/>
      <c r="J26" s="2" t="s">
        <v>36</v>
      </c>
      <c r="K26" s="45">
        <v>35505000</v>
      </c>
      <c r="L26" s="45">
        <v>32915.28239202658</v>
      </c>
      <c r="M26" s="41">
        <f>1328457</f>
        <v>1328457</v>
      </c>
    </row>
    <row r="27" spans="1:19" x14ac:dyDescent="0.2">
      <c r="A27" s="2" t="s">
        <v>3</v>
      </c>
      <c r="B27" s="72">
        <v>1</v>
      </c>
      <c r="C27">
        <v>0</v>
      </c>
      <c r="D27" s="54">
        <v>0</v>
      </c>
      <c r="E27" s="57">
        <v>1</v>
      </c>
      <c r="I27" s="2"/>
      <c r="J27" s="2" t="s">
        <v>37</v>
      </c>
      <c r="K27" s="45">
        <v>8460000</v>
      </c>
      <c r="L27" s="45">
        <v>5507.8125</v>
      </c>
      <c r="M27" s="41">
        <f>864833</f>
        <v>864833</v>
      </c>
    </row>
    <row r="28" spans="1:19" x14ac:dyDescent="0.2">
      <c r="A28" s="2" t="s">
        <v>4</v>
      </c>
      <c r="B28" s="72">
        <v>2</v>
      </c>
      <c r="C28">
        <v>2</v>
      </c>
      <c r="D28" s="55">
        <v>1</v>
      </c>
      <c r="E28" s="57">
        <v>0</v>
      </c>
      <c r="I28" s="2"/>
      <c r="J28" s="2" t="s">
        <v>38</v>
      </c>
      <c r="K28" s="45">
        <v>4150833.3333333335</v>
      </c>
      <c r="L28" s="45">
        <v>1752.5990903183883</v>
      </c>
      <c r="M28" s="41">
        <f>207333</f>
        <v>207333</v>
      </c>
    </row>
    <row r="29" spans="1:19" x14ac:dyDescent="0.2">
      <c r="A29" s="2" t="s">
        <v>7</v>
      </c>
      <c r="B29" s="72">
        <v>2</v>
      </c>
      <c r="C29">
        <v>1</v>
      </c>
      <c r="D29" s="54">
        <v>0</v>
      </c>
      <c r="E29" s="57">
        <v>0</v>
      </c>
      <c r="I29" s="2"/>
      <c r="J29" s="2" t="s">
        <v>39</v>
      </c>
      <c r="K29" s="45">
        <v>2254466.666666667</v>
      </c>
      <c r="L29" s="45">
        <v>5646.3903743315514</v>
      </c>
      <c r="M29" s="41">
        <f>1496583</f>
        <v>1496583</v>
      </c>
    </row>
    <row r="30" spans="1:19" x14ac:dyDescent="0.2">
      <c r="A30" s="2" t="s">
        <v>8</v>
      </c>
      <c r="B30" s="72">
        <v>0</v>
      </c>
      <c r="C30">
        <v>1</v>
      </c>
      <c r="D30" s="54">
        <v>2</v>
      </c>
      <c r="E30" s="57">
        <v>0</v>
      </c>
      <c r="J30" s="2" t="s">
        <v>206</v>
      </c>
      <c r="K30" s="44">
        <f>AVERAGE(K11:K29)</f>
        <v>6328757.7759305667</v>
      </c>
      <c r="L30" s="44">
        <f>AVERAGE(L11:L29)</f>
        <v>11730.32137944259</v>
      </c>
      <c r="M30" s="40">
        <f>AVERAGE(M11:M29)</f>
        <v>3035309.7368421052</v>
      </c>
    </row>
    <row r="31" spans="1:19" x14ac:dyDescent="0.2">
      <c r="A31" s="2" t="s">
        <v>15</v>
      </c>
      <c r="B31" s="72">
        <v>3</v>
      </c>
      <c r="C31">
        <v>1</v>
      </c>
      <c r="D31" s="54">
        <v>2</v>
      </c>
      <c r="E31" s="57">
        <v>0</v>
      </c>
      <c r="Q31" t="s">
        <v>42</v>
      </c>
    </row>
    <row r="32" spans="1:19" x14ac:dyDescent="0.2">
      <c r="A32" s="2" t="s">
        <v>17</v>
      </c>
      <c r="B32" s="72">
        <v>3</v>
      </c>
      <c r="C32">
        <v>1</v>
      </c>
      <c r="D32" s="54">
        <v>2</v>
      </c>
      <c r="E32" s="57">
        <v>0</v>
      </c>
      <c r="G32" s="3" t="s">
        <v>207</v>
      </c>
      <c r="H32" s="3" t="s">
        <v>217</v>
      </c>
      <c r="I32" t="s">
        <v>210</v>
      </c>
      <c r="K32" t="s">
        <v>43</v>
      </c>
      <c r="L32" t="s">
        <v>44</v>
      </c>
      <c r="M32" t="s">
        <v>42</v>
      </c>
      <c r="N32" s="3" t="s">
        <v>208</v>
      </c>
      <c r="Q32" s="53">
        <f>354626.1905</f>
        <v>354626.19050000003</v>
      </c>
    </row>
    <row r="33" spans="1:17" x14ac:dyDescent="0.2">
      <c r="A33" s="2" t="s">
        <v>19</v>
      </c>
      <c r="B33" s="72">
        <v>0</v>
      </c>
      <c r="C33">
        <v>0</v>
      </c>
      <c r="D33" s="54">
        <v>1</v>
      </c>
      <c r="E33" s="54">
        <v>1</v>
      </c>
      <c r="H33" t="s">
        <v>216</v>
      </c>
      <c r="I33" t="s">
        <v>213</v>
      </c>
      <c r="J33" s="2" t="s">
        <v>20</v>
      </c>
      <c r="K33" s="73">
        <v>0</v>
      </c>
      <c r="L33" s="57">
        <v>0</v>
      </c>
      <c r="N33" s="55">
        <v>0</v>
      </c>
      <c r="Q33" s="53">
        <f>115500</f>
        <v>115500</v>
      </c>
    </row>
    <row r="34" spans="1:17" x14ac:dyDescent="0.2">
      <c r="A34" s="2" t="s">
        <v>247</v>
      </c>
      <c r="B34" s="38">
        <f>AVERAGE(B24:B33)</f>
        <v>1.5</v>
      </c>
      <c r="C34" s="38">
        <f>AVERAGE(C24:C33)</f>
        <v>1.3</v>
      </c>
      <c r="D34" s="59">
        <f>AVERAGE(D24:D33)</f>
        <v>1.3</v>
      </c>
      <c r="E34" s="56">
        <f>AVERAGE(E24:E33)</f>
        <v>0.5</v>
      </c>
      <c r="H34" t="s">
        <v>218</v>
      </c>
      <c r="I34" t="s">
        <v>214</v>
      </c>
      <c r="J34" s="2" t="s">
        <v>21</v>
      </c>
      <c r="K34" s="73">
        <v>0</v>
      </c>
      <c r="L34" s="57">
        <v>0</v>
      </c>
      <c r="N34" s="55">
        <v>1</v>
      </c>
      <c r="Q34" s="53">
        <f>368833.3333</f>
        <v>368833.3333</v>
      </c>
    </row>
    <row r="35" spans="1:17" x14ac:dyDescent="0.2">
      <c r="H35" t="s">
        <v>219</v>
      </c>
      <c r="I35" t="s">
        <v>215</v>
      </c>
      <c r="J35" s="2" t="s">
        <v>22</v>
      </c>
      <c r="K35" s="73">
        <v>1</v>
      </c>
      <c r="L35" s="57">
        <v>1</v>
      </c>
      <c r="N35" s="55">
        <v>1</v>
      </c>
      <c r="Q35" s="53">
        <f>211000</f>
        <v>211000</v>
      </c>
    </row>
    <row r="36" spans="1:17" x14ac:dyDescent="0.2">
      <c r="J36" s="2" t="s">
        <v>23</v>
      </c>
      <c r="K36" s="73">
        <v>0</v>
      </c>
      <c r="L36" s="58">
        <v>0</v>
      </c>
      <c r="N36" s="55">
        <v>0</v>
      </c>
      <c r="Q36" s="53">
        <f>604000</f>
        <v>604000</v>
      </c>
    </row>
    <row r="37" spans="1:17" x14ac:dyDescent="0.2">
      <c r="J37" s="2" t="s">
        <v>24</v>
      </c>
      <c r="K37" s="73">
        <v>0</v>
      </c>
      <c r="L37" s="57">
        <v>0</v>
      </c>
      <c r="N37" s="55">
        <v>0</v>
      </c>
      <c r="Q37" s="53">
        <f>3098700</f>
        <v>3098700</v>
      </c>
    </row>
    <row r="38" spans="1:17" x14ac:dyDescent="0.2">
      <c r="J38" s="2" t="s">
        <v>25</v>
      </c>
      <c r="K38" s="73">
        <v>2</v>
      </c>
      <c r="L38" s="57">
        <v>0</v>
      </c>
      <c r="N38" s="55">
        <v>0</v>
      </c>
      <c r="Q38" s="53">
        <f>261166.6667</f>
        <v>261166.6667</v>
      </c>
    </row>
    <row r="39" spans="1:17" x14ac:dyDescent="0.2">
      <c r="A39" s="2"/>
      <c r="B39" t="s">
        <v>42</v>
      </c>
      <c r="C39" s="2"/>
      <c r="D39" s="2"/>
      <c r="E39" s="2"/>
      <c r="F39" s="2"/>
      <c r="G39" s="2"/>
      <c r="H39" s="2"/>
      <c r="J39" s="2" t="s">
        <v>27</v>
      </c>
      <c r="K39" s="73">
        <v>1</v>
      </c>
      <c r="L39" s="57">
        <v>0</v>
      </c>
      <c r="N39" s="55">
        <v>0</v>
      </c>
      <c r="Q39" s="53">
        <f>1641916.667</f>
        <v>1641916.6669999999</v>
      </c>
    </row>
    <row r="40" spans="1:17" x14ac:dyDescent="0.2">
      <c r="A40" t="s">
        <v>247</v>
      </c>
      <c r="B40" s="48">
        <f>AVERAGE(G11:G20)</f>
        <v>2259351.9999300004</v>
      </c>
      <c r="C40" s="2"/>
      <c r="D40" s="77">
        <f>AVERAGE(B40:B41)</f>
        <v>9842363.0509465802</v>
      </c>
      <c r="E40" s="2"/>
      <c r="F40" s="2"/>
      <c r="G40" s="2"/>
      <c r="H40" s="2"/>
      <c r="J40" s="2" t="s">
        <v>28</v>
      </c>
      <c r="K40" s="73">
        <v>1</v>
      </c>
      <c r="L40" s="57">
        <v>0</v>
      </c>
      <c r="N40" s="55">
        <v>1</v>
      </c>
      <c r="Q40" s="53">
        <f>1013800</f>
        <v>1013800</v>
      </c>
    </row>
    <row r="41" spans="1:17" x14ac:dyDescent="0.2">
      <c r="A41" t="s">
        <v>73</v>
      </c>
      <c r="B41" s="48">
        <f>AVERAGE(Q32:Q50)</f>
        <v>17425374.101963159</v>
      </c>
      <c r="C41" s="2"/>
      <c r="D41" s="2"/>
      <c r="E41" s="2"/>
      <c r="F41" s="2"/>
      <c r="G41" s="2"/>
      <c r="H41" s="2"/>
      <c r="J41" s="2" t="s">
        <v>29</v>
      </c>
      <c r="K41" s="73">
        <v>1</v>
      </c>
      <c r="L41" s="57">
        <v>1</v>
      </c>
      <c r="N41" s="55">
        <v>0</v>
      </c>
      <c r="Q41" s="53">
        <f>744000</f>
        <v>744000</v>
      </c>
    </row>
    <row r="42" spans="1:17" x14ac:dyDescent="0.2">
      <c r="B42" s="2"/>
      <c r="C42" s="2"/>
      <c r="D42" s="2"/>
      <c r="E42" s="2"/>
      <c r="F42" s="2"/>
      <c r="G42" s="2"/>
      <c r="H42" s="2"/>
      <c r="J42" s="2" t="s">
        <v>30</v>
      </c>
      <c r="K42" s="73">
        <v>1</v>
      </c>
      <c r="L42" s="57">
        <v>0</v>
      </c>
      <c r="N42" s="55">
        <v>0</v>
      </c>
      <c r="Q42" s="53">
        <f>1733750</f>
        <v>1733750</v>
      </c>
    </row>
    <row r="43" spans="1:17" x14ac:dyDescent="0.2">
      <c r="A43" t="s">
        <v>151</v>
      </c>
      <c r="D43" s="2"/>
      <c r="E43" s="2"/>
      <c r="F43" s="2"/>
      <c r="G43" s="2"/>
      <c r="H43" s="2"/>
      <c r="J43" s="2" t="s">
        <v>31</v>
      </c>
      <c r="K43" s="73">
        <v>2</v>
      </c>
      <c r="L43" s="57">
        <v>3</v>
      </c>
      <c r="N43" s="55">
        <v>0</v>
      </c>
      <c r="Q43" s="53">
        <f>306502500</f>
        <v>306502500</v>
      </c>
    </row>
    <row r="44" spans="1:17" x14ac:dyDescent="0.2">
      <c r="A44" t="s">
        <v>157</v>
      </c>
      <c r="B44" t="s">
        <v>152</v>
      </c>
      <c r="D44" s="2"/>
      <c r="E44" s="2"/>
      <c r="F44" s="2"/>
      <c r="G44" s="2"/>
      <c r="H44" s="2"/>
      <c r="J44" s="2" t="s">
        <v>32</v>
      </c>
      <c r="K44" s="73">
        <v>1</v>
      </c>
      <c r="L44" s="57">
        <v>0</v>
      </c>
      <c r="N44" s="55">
        <v>3</v>
      </c>
      <c r="Q44" s="53">
        <f>948684.5238</f>
        <v>948684.52379999997</v>
      </c>
    </row>
    <row r="45" spans="1:17" x14ac:dyDescent="0.2">
      <c r="A45" t="s">
        <v>158</v>
      </c>
      <c r="B45">
        <f>823680</f>
        <v>823680</v>
      </c>
      <c r="J45" s="2" t="s">
        <v>33</v>
      </c>
      <c r="K45" s="73">
        <v>1</v>
      </c>
      <c r="L45" s="57">
        <v>0</v>
      </c>
      <c r="N45" s="55">
        <v>0</v>
      </c>
      <c r="Q45" s="53">
        <f>2500013.889</f>
        <v>2500013.889</v>
      </c>
    </row>
    <row r="46" spans="1:17" x14ac:dyDescent="0.2">
      <c r="A46" t="s">
        <v>159</v>
      </c>
      <c r="B46">
        <f>(G46+G47+G48)/240</f>
        <v>3932859.7916666665</v>
      </c>
      <c r="E46" t="s">
        <v>180</v>
      </c>
      <c r="F46">
        <f>879791*106</f>
        <v>93257846</v>
      </c>
      <c r="G46">
        <f>2859949*106</f>
        <v>303154594</v>
      </c>
      <c r="J46" s="2" t="s">
        <v>34</v>
      </c>
      <c r="K46" s="73">
        <v>2</v>
      </c>
      <c r="L46" s="57">
        <v>0</v>
      </c>
      <c r="N46" s="55">
        <v>2</v>
      </c>
      <c r="Q46" s="53">
        <f>700916.6667</f>
        <v>700916.66669999994</v>
      </c>
    </row>
    <row r="47" spans="1:17" x14ac:dyDescent="0.2">
      <c r="A47" t="s">
        <v>160</v>
      </c>
      <c r="B47" s="40">
        <f>(F46+F47+F48)/240</f>
        <v>1260632.9416666667</v>
      </c>
      <c r="F47">
        <f>1376946*102</f>
        <v>140448492</v>
      </c>
      <c r="G47">
        <f>4415426*102</f>
        <v>450373452</v>
      </c>
      <c r="J47" s="2" t="s">
        <v>35</v>
      </c>
      <c r="K47" s="73">
        <v>2</v>
      </c>
      <c r="L47" s="57">
        <v>0</v>
      </c>
      <c r="N47" s="55">
        <v>0</v>
      </c>
      <c r="Q47" s="53">
        <f>3062366.667</f>
        <v>3062366.6669999999</v>
      </c>
    </row>
    <row r="48" spans="1:17" x14ac:dyDescent="0.2">
      <c r="F48">
        <f>2151424*32</f>
        <v>68845568</v>
      </c>
      <c r="G48">
        <f>5948697*32</f>
        <v>190358304</v>
      </c>
      <c r="J48" s="2" t="s">
        <v>36</v>
      </c>
      <c r="K48" s="73">
        <v>3</v>
      </c>
      <c r="L48" s="57">
        <v>2</v>
      </c>
      <c r="N48" s="55">
        <v>1</v>
      </c>
      <c r="Q48" s="53">
        <f>1729666.667</f>
        <v>1729666.6669999999</v>
      </c>
    </row>
    <row r="49" spans="1:17" x14ac:dyDescent="0.2">
      <c r="J49" s="2" t="s">
        <v>37</v>
      </c>
      <c r="K49" s="73">
        <v>2</v>
      </c>
      <c r="L49" s="57">
        <v>0</v>
      </c>
      <c r="N49" s="55">
        <v>0</v>
      </c>
      <c r="Q49" s="53">
        <f>829333.3333</f>
        <v>829333.33330000006</v>
      </c>
    </row>
    <row r="50" spans="1:17" x14ac:dyDescent="0.2">
      <c r="J50" s="2" t="s">
        <v>38</v>
      </c>
      <c r="K50" s="73">
        <v>1</v>
      </c>
      <c r="L50" s="57">
        <v>0</v>
      </c>
      <c r="N50" s="55">
        <v>0</v>
      </c>
      <c r="Q50" s="53">
        <f>4661333.333</f>
        <v>4661333.3329999996</v>
      </c>
    </row>
    <row r="51" spans="1:17" x14ac:dyDescent="0.2">
      <c r="J51" s="2" t="s">
        <v>39</v>
      </c>
      <c r="K51" s="73">
        <v>0</v>
      </c>
      <c r="L51" s="57">
        <v>0</v>
      </c>
      <c r="N51" s="55">
        <v>1</v>
      </c>
      <c r="Q51" s="44">
        <f>AVERAGE(Q32:Q50)</f>
        <v>17425374.101963159</v>
      </c>
    </row>
    <row r="52" spans="1:17" x14ac:dyDescent="0.2">
      <c r="F52" t="s">
        <v>161</v>
      </c>
      <c r="J52" s="2" t="s">
        <v>73</v>
      </c>
      <c r="K52" s="74">
        <f>AVERAGE(K33:K51)</f>
        <v>1.1052631578947369</v>
      </c>
      <c r="L52" s="70">
        <f>AVERAGE(L33:L51)</f>
        <v>0.36842105263157893</v>
      </c>
      <c r="M52" s="75"/>
      <c r="N52" s="76">
        <f>AVERAGE(N33:N51)</f>
        <v>0.52631578947368418</v>
      </c>
    </row>
    <row r="53" spans="1:17" x14ac:dyDescent="0.2">
      <c r="B53" t="s">
        <v>201</v>
      </c>
      <c r="C53" t="s">
        <v>202</v>
      </c>
    </row>
    <row r="54" spans="1:17" x14ac:dyDescent="0.2">
      <c r="B54" t="s">
        <v>200</v>
      </c>
      <c r="C54" t="s">
        <v>203</v>
      </c>
      <c r="F54" t="s">
        <v>200</v>
      </c>
      <c r="G54" t="s">
        <v>203</v>
      </c>
    </row>
    <row r="55" spans="1:17" x14ac:dyDescent="0.2">
      <c r="A55" t="s">
        <v>196</v>
      </c>
      <c r="B55" s="41">
        <v>900000</v>
      </c>
      <c r="C55">
        <v>430000</v>
      </c>
      <c r="D55" s="39">
        <v>55</v>
      </c>
      <c r="E55">
        <f>55/100*240</f>
        <v>132</v>
      </c>
      <c r="F55" s="41">
        <f>E55*B55</f>
        <v>118800000</v>
      </c>
      <c r="G55" s="41">
        <f>E$55*C55</f>
        <v>56760000</v>
      </c>
      <c r="M55">
        <v>10</v>
      </c>
    </row>
    <row r="56" spans="1:17" x14ac:dyDescent="0.2">
      <c r="A56" t="s">
        <v>197</v>
      </c>
      <c r="B56" s="41">
        <v>1200000</v>
      </c>
      <c r="C56">
        <v>980000</v>
      </c>
      <c r="D56">
        <v>30</v>
      </c>
      <c r="E56">
        <f>D56*240/100</f>
        <v>72</v>
      </c>
      <c r="F56" s="41">
        <f>E56*B56</f>
        <v>86400000</v>
      </c>
      <c r="G56" s="41">
        <f>E56*C56</f>
        <v>70560000</v>
      </c>
    </row>
    <row r="57" spans="1:17" x14ac:dyDescent="0.2">
      <c r="A57" t="s">
        <v>198</v>
      </c>
      <c r="B57" s="41">
        <v>1300000</v>
      </c>
      <c r="C57">
        <v>1500000</v>
      </c>
      <c r="D57">
        <v>10</v>
      </c>
      <c r="E57">
        <f>D57*240/100</f>
        <v>24</v>
      </c>
      <c r="F57" s="41">
        <f>E57*B57</f>
        <v>31200000</v>
      </c>
      <c r="G57" s="41">
        <f>E57*C57</f>
        <v>36000000</v>
      </c>
      <c r="K57">
        <f>K30/F61</f>
        <v>5.452976673778295</v>
      </c>
      <c r="N57">
        <f>M55/M59</f>
        <v>0.35714285714285715</v>
      </c>
    </row>
    <row r="58" spans="1:17" x14ac:dyDescent="0.2">
      <c r="A58" t="s">
        <v>199</v>
      </c>
      <c r="B58" s="41">
        <v>4100000</v>
      </c>
      <c r="C58">
        <v>5400000</v>
      </c>
      <c r="D58">
        <v>4</v>
      </c>
      <c r="E58">
        <f>D58*240/100</f>
        <v>9.6</v>
      </c>
      <c r="F58" s="41">
        <f>E58*B58</f>
        <v>39360000</v>
      </c>
      <c r="G58" s="41">
        <f>E58*C58</f>
        <v>51840000</v>
      </c>
    </row>
    <row r="59" spans="1:17" x14ac:dyDescent="0.2">
      <c r="D59" s="39"/>
      <c r="E59">
        <f>SUM(E55:E58)</f>
        <v>237.6</v>
      </c>
      <c r="F59" s="41">
        <f>SUM(F55:F58)</f>
        <v>275760000</v>
      </c>
      <c r="G59" s="41">
        <f>SUM(G55:G58)</f>
        <v>215160000</v>
      </c>
      <c r="M59">
        <v>28</v>
      </c>
    </row>
    <row r="60" spans="1:17" x14ac:dyDescent="0.2">
      <c r="K60">
        <f>(M59-M55)/M59</f>
        <v>0.6428571428571429</v>
      </c>
      <c r="N60">
        <f>M55/M62</f>
        <v>0.25</v>
      </c>
    </row>
    <row r="61" spans="1:17" x14ac:dyDescent="0.2">
      <c r="E61" t="s">
        <v>204</v>
      </c>
      <c r="F61" s="40">
        <f>F59/E59</f>
        <v>1160606.0606060605</v>
      </c>
      <c r="G61" s="40">
        <f>G59/E59/30</f>
        <v>30185.185185185186</v>
      </c>
      <c r="K61" s="69"/>
    </row>
    <row r="62" spans="1:17" x14ac:dyDescent="0.2">
      <c r="I62" s="69"/>
      <c r="K62" s="69"/>
      <c r="M62">
        <v>40</v>
      </c>
    </row>
    <row r="65" spans="3:6" x14ac:dyDescent="0.2">
      <c r="C65" s="69"/>
      <c r="D65" s="69"/>
      <c r="E65" s="69"/>
    </row>
    <row r="66" spans="3:6" x14ac:dyDescent="0.2">
      <c r="C66" s="69"/>
      <c r="D66" s="69"/>
      <c r="E66" s="69"/>
    </row>
    <row r="69" spans="3:6" x14ac:dyDescent="0.2">
      <c r="C69" s="69"/>
    </row>
    <row r="70" spans="3:6" x14ac:dyDescent="0.2">
      <c r="F70" s="69">
        <f>E65/2</f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18" workbookViewId="0">
      <selection activeCell="F1" sqref="F1:M7"/>
    </sheetView>
  </sheetViews>
  <sheetFormatPr baseColWidth="10" defaultRowHeight="16" x14ac:dyDescent="0.2"/>
  <sheetData>
    <row r="1" spans="1:13" x14ac:dyDescent="0.2">
      <c r="A1" s="2"/>
      <c r="B1" s="3" t="s">
        <v>43</v>
      </c>
      <c r="C1" s="3" t="s">
        <v>44</v>
      </c>
      <c r="D1" s="3" t="s">
        <v>207</v>
      </c>
      <c r="H1" t="s">
        <v>242</v>
      </c>
      <c r="J1" t="s">
        <v>243</v>
      </c>
      <c r="L1" s="3" t="s">
        <v>207</v>
      </c>
    </row>
    <row r="2" spans="1:13" x14ac:dyDescent="0.2">
      <c r="A2" s="2" t="s">
        <v>0</v>
      </c>
      <c r="B2" s="72">
        <v>3</v>
      </c>
      <c r="C2">
        <v>3</v>
      </c>
      <c r="D2" s="57">
        <v>1</v>
      </c>
      <c r="H2" t="s">
        <v>73</v>
      </c>
      <c r="I2" t="s">
        <v>247</v>
      </c>
      <c r="J2" t="s">
        <v>73</v>
      </c>
      <c r="K2" t="s">
        <v>247</v>
      </c>
      <c r="L2" t="s">
        <v>73</v>
      </c>
      <c r="M2" t="s">
        <v>247</v>
      </c>
    </row>
    <row r="3" spans="1:13" x14ac:dyDescent="0.2">
      <c r="A3" s="2" t="s">
        <v>1</v>
      </c>
      <c r="B3" s="72">
        <v>1</v>
      </c>
      <c r="C3">
        <v>3</v>
      </c>
      <c r="D3" s="57">
        <v>2</v>
      </c>
      <c r="F3">
        <v>1</v>
      </c>
      <c r="G3" t="s">
        <v>233</v>
      </c>
      <c r="H3">
        <f>QUARTILE($B$2:$B$11,E3)</f>
        <v>0</v>
      </c>
      <c r="I3">
        <f>QUARTILE($B$2:$B$11,F3)</f>
        <v>0.25</v>
      </c>
      <c r="J3" s="2">
        <f>QUARTILE($C$12:$C$30,F3)</f>
        <v>0</v>
      </c>
      <c r="K3">
        <f>QUARTILE($C$1:$C$10,F3)</f>
        <v>1</v>
      </c>
      <c r="L3" s="2">
        <f>QUARTILE($D$12:$D$30,F3)</f>
        <v>0</v>
      </c>
      <c r="M3">
        <f>QUARTILE($D$2:$D$11,F3)</f>
        <v>0</v>
      </c>
    </row>
    <row r="4" spans="1:13" x14ac:dyDescent="0.2">
      <c r="A4" s="2" t="s">
        <v>2</v>
      </c>
      <c r="B4" s="72">
        <v>0</v>
      </c>
      <c r="C4">
        <v>0</v>
      </c>
      <c r="D4" s="57">
        <v>0</v>
      </c>
      <c r="F4">
        <v>0</v>
      </c>
      <c r="G4" t="s">
        <v>237</v>
      </c>
      <c r="H4">
        <f>QUARTILE($B$12:$B$30,F4)</f>
        <v>0</v>
      </c>
      <c r="I4">
        <f t="shared" ref="I4:I6" si="0">QUARTILE($B$2:$B$11,F4)</f>
        <v>0</v>
      </c>
      <c r="J4" s="2">
        <f t="shared" ref="J4:J7" si="1">QUARTILE($C$12:$C$30,F4)</f>
        <v>0</v>
      </c>
      <c r="K4">
        <f t="shared" ref="K4:K7" si="2">QUARTILE($C$1:$C$10,F4)</f>
        <v>0</v>
      </c>
      <c r="L4" s="2">
        <f t="shared" ref="L4:L7" si="3">QUARTILE($D$12:$D$30,F4)</f>
        <v>0</v>
      </c>
      <c r="M4">
        <f t="shared" ref="M4:M7" si="4">QUARTILE($D$2:$D$11,F4)</f>
        <v>0</v>
      </c>
    </row>
    <row r="5" spans="1:13" x14ac:dyDescent="0.2">
      <c r="A5" s="2" t="s">
        <v>3</v>
      </c>
      <c r="B5" s="72">
        <v>1</v>
      </c>
      <c r="C5">
        <v>0</v>
      </c>
      <c r="D5" s="57">
        <v>1</v>
      </c>
      <c r="F5">
        <v>2</v>
      </c>
      <c r="G5" t="s">
        <v>238</v>
      </c>
      <c r="H5">
        <f>QUARTILE($B$12:$B$30,F5)</f>
        <v>1</v>
      </c>
      <c r="I5">
        <f t="shared" si="0"/>
        <v>1.5</v>
      </c>
      <c r="J5" s="2">
        <f t="shared" si="1"/>
        <v>0</v>
      </c>
      <c r="K5">
        <f t="shared" si="2"/>
        <v>1</v>
      </c>
      <c r="L5" s="2">
        <f t="shared" si="3"/>
        <v>0</v>
      </c>
      <c r="M5">
        <f>QUARTILE($D$2:$D$11,F5)</f>
        <v>0</v>
      </c>
    </row>
    <row r="6" spans="1:13" x14ac:dyDescent="0.2">
      <c r="A6" s="2" t="s">
        <v>4</v>
      </c>
      <c r="B6" s="72">
        <v>2</v>
      </c>
      <c r="C6">
        <v>1</v>
      </c>
      <c r="D6" s="57">
        <v>0</v>
      </c>
      <c r="F6">
        <v>4</v>
      </c>
      <c r="G6" t="s">
        <v>241</v>
      </c>
      <c r="H6">
        <f t="shared" ref="H6:H7" si="5">QUARTILE($B$12:$B$30,F6)</f>
        <v>3</v>
      </c>
      <c r="I6">
        <f t="shared" si="0"/>
        <v>3</v>
      </c>
      <c r="J6" s="2">
        <f t="shared" si="1"/>
        <v>3</v>
      </c>
      <c r="K6">
        <f t="shared" si="2"/>
        <v>3</v>
      </c>
      <c r="L6" s="2">
        <f t="shared" si="3"/>
        <v>3</v>
      </c>
      <c r="M6">
        <f t="shared" si="4"/>
        <v>2</v>
      </c>
    </row>
    <row r="7" spans="1:13" x14ac:dyDescent="0.2">
      <c r="A7" s="2" t="s">
        <v>7</v>
      </c>
      <c r="B7" s="72">
        <v>2</v>
      </c>
      <c r="C7">
        <v>1</v>
      </c>
      <c r="D7" s="57">
        <v>0</v>
      </c>
      <c r="F7">
        <v>3</v>
      </c>
      <c r="G7" t="s">
        <v>235</v>
      </c>
      <c r="H7">
        <f t="shared" si="5"/>
        <v>2</v>
      </c>
      <c r="I7">
        <f>QUARTILE($B$2:$B$11,F7)</f>
        <v>2.75</v>
      </c>
      <c r="J7" s="2">
        <f t="shared" si="1"/>
        <v>0</v>
      </c>
      <c r="K7">
        <f t="shared" si="2"/>
        <v>1</v>
      </c>
      <c r="L7" s="2">
        <f t="shared" si="3"/>
        <v>1</v>
      </c>
      <c r="M7">
        <f t="shared" si="4"/>
        <v>1</v>
      </c>
    </row>
    <row r="8" spans="1:13" x14ac:dyDescent="0.2">
      <c r="A8" s="2" t="s">
        <v>8</v>
      </c>
      <c r="B8" s="72">
        <v>0</v>
      </c>
      <c r="C8">
        <v>1</v>
      </c>
      <c r="D8" s="57">
        <v>0</v>
      </c>
    </row>
    <row r="9" spans="1:13" x14ac:dyDescent="0.2">
      <c r="A9" s="2" t="s">
        <v>15</v>
      </c>
      <c r="B9" s="72">
        <v>3</v>
      </c>
      <c r="C9">
        <v>1</v>
      </c>
      <c r="D9" s="57">
        <v>0</v>
      </c>
      <c r="J9" s="2"/>
      <c r="K9" s="45"/>
      <c r="L9" s="57"/>
      <c r="M9" s="58"/>
    </row>
    <row r="10" spans="1:13" x14ac:dyDescent="0.2">
      <c r="A10" s="2" t="s">
        <v>17</v>
      </c>
      <c r="B10" s="72">
        <v>3</v>
      </c>
      <c r="C10">
        <v>1</v>
      </c>
      <c r="D10" s="57">
        <v>0</v>
      </c>
      <c r="J10" s="2"/>
      <c r="K10" s="45"/>
      <c r="L10" s="57"/>
      <c r="M10" s="58"/>
    </row>
    <row r="11" spans="1:13" x14ac:dyDescent="0.2">
      <c r="A11" s="2" t="s">
        <v>19</v>
      </c>
      <c r="B11" s="72">
        <v>0</v>
      </c>
      <c r="C11">
        <v>0</v>
      </c>
      <c r="D11" s="54">
        <v>1</v>
      </c>
      <c r="J11" s="2"/>
      <c r="K11" s="45"/>
      <c r="L11" s="57"/>
      <c r="M11" s="58"/>
    </row>
    <row r="12" spans="1:13" x14ac:dyDescent="0.2">
      <c r="A12" s="2" t="s">
        <v>20</v>
      </c>
      <c r="B12" s="73">
        <v>0</v>
      </c>
      <c r="C12" s="57">
        <v>0</v>
      </c>
      <c r="D12" s="55">
        <v>0</v>
      </c>
      <c r="J12" s="2"/>
      <c r="K12" s="45"/>
      <c r="L12" s="57"/>
      <c r="M12" s="58"/>
    </row>
    <row r="13" spans="1:13" x14ac:dyDescent="0.2">
      <c r="A13" s="2" t="s">
        <v>21</v>
      </c>
      <c r="B13" s="73">
        <v>0</v>
      </c>
      <c r="C13" s="57">
        <v>0</v>
      </c>
      <c r="D13" s="55">
        <v>1</v>
      </c>
      <c r="J13" s="2"/>
      <c r="K13" s="45"/>
      <c r="L13" s="57"/>
      <c r="M13" s="58"/>
    </row>
    <row r="14" spans="1:13" x14ac:dyDescent="0.2">
      <c r="A14" s="2" t="s">
        <v>22</v>
      </c>
      <c r="B14" s="73">
        <v>1</v>
      </c>
      <c r="C14" s="57">
        <v>1</v>
      </c>
      <c r="D14" s="55">
        <v>1</v>
      </c>
      <c r="J14" s="2"/>
      <c r="K14" s="45"/>
      <c r="L14" s="57"/>
      <c r="M14" s="58"/>
    </row>
    <row r="15" spans="1:13" x14ac:dyDescent="0.2">
      <c r="A15" s="2" t="s">
        <v>23</v>
      </c>
      <c r="B15" s="73">
        <v>0</v>
      </c>
      <c r="C15" s="58">
        <v>0</v>
      </c>
      <c r="D15" s="55">
        <v>0</v>
      </c>
      <c r="J15" s="2"/>
      <c r="K15" s="45"/>
      <c r="L15" s="57"/>
      <c r="M15" s="58"/>
    </row>
    <row r="16" spans="1:13" x14ac:dyDescent="0.2">
      <c r="A16" s="2" t="s">
        <v>24</v>
      </c>
      <c r="B16" s="73">
        <v>0</v>
      </c>
      <c r="C16" s="57">
        <v>0</v>
      </c>
      <c r="D16" s="55">
        <v>0</v>
      </c>
      <c r="J16" s="2"/>
      <c r="K16" s="45"/>
      <c r="L16" s="57"/>
      <c r="M16" s="58"/>
    </row>
    <row r="17" spans="1:13" x14ac:dyDescent="0.2">
      <c r="A17" s="2" t="s">
        <v>25</v>
      </c>
      <c r="B17" s="73">
        <v>2</v>
      </c>
      <c r="C17" s="57">
        <v>0</v>
      </c>
      <c r="D17" s="55">
        <v>0</v>
      </c>
      <c r="J17" s="2"/>
      <c r="K17" s="45"/>
      <c r="L17" s="57"/>
      <c r="M17" s="58"/>
    </row>
    <row r="18" spans="1:13" x14ac:dyDescent="0.2">
      <c r="A18" s="2" t="s">
        <v>27</v>
      </c>
      <c r="B18" s="73">
        <v>1</v>
      </c>
      <c r="C18" s="57">
        <v>0</v>
      </c>
      <c r="D18" s="55">
        <v>0</v>
      </c>
      <c r="J18" s="2"/>
      <c r="K18" s="45"/>
      <c r="L18" s="57"/>
      <c r="M18" s="58"/>
    </row>
    <row r="19" spans="1:13" x14ac:dyDescent="0.2">
      <c r="A19" s="2" t="s">
        <v>28</v>
      </c>
      <c r="B19" s="73">
        <v>1</v>
      </c>
      <c r="C19" s="57">
        <v>0</v>
      </c>
      <c r="D19" s="55">
        <v>1</v>
      </c>
      <c r="J19" s="2"/>
      <c r="K19" s="45"/>
      <c r="L19" s="57"/>
      <c r="M19" s="58"/>
    </row>
    <row r="20" spans="1:13" x14ac:dyDescent="0.2">
      <c r="A20" s="2" t="s">
        <v>29</v>
      </c>
      <c r="B20" s="73">
        <v>1</v>
      </c>
      <c r="C20" s="57">
        <v>1</v>
      </c>
      <c r="D20" s="55">
        <v>0</v>
      </c>
      <c r="J20" s="2"/>
      <c r="K20" s="45"/>
      <c r="L20" s="57"/>
      <c r="M20" s="58"/>
    </row>
    <row r="21" spans="1:13" x14ac:dyDescent="0.2">
      <c r="A21" s="2" t="s">
        <v>30</v>
      </c>
      <c r="B21" s="73">
        <v>1</v>
      </c>
      <c r="C21" s="57">
        <v>0</v>
      </c>
      <c r="D21" s="55">
        <v>0</v>
      </c>
      <c r="J21" s="2"/>
      <c r="K21" s="45"/>
      <c r="L21" s="57"/>
      <c r="M21" s="58"/>
    </row>
    <row r="22" spans="1:13" x14ac:dyDescent="0.2">
      <c r="A22" s="2" t="s">
        <v>31</v>
      </c>
      <c r="B22" s="73">
        <v>2</v>
      </c>
      <c r="C22" s="57">
        <v>3</v>
      </c>
      <c r="D22" s="55">
        <v>0</v>
      </c>
    </row>
    <row r="23" spans="1:13" x14ac:dyDescent="0.2">
      <c r="A23" s="2" t="s">
        <v>32</v>
      </c>
      <c r="B23" s="73">
        <v>1</v>
      </c>
      <c r="C23" s="57">
        <v>0</v>
      </c>
      <c r="D23" s="55">
        <v>3</v>
      </c>
    </row>
    <row r="24" spans="1:13" x14ac:dyDescent="0.2">
      <c r="A24" s="2" t="s">
        <v>33</v>
      </c>
      <c r="B24" s="73">
        <v>1</v>
      </c>
      <c r="C24" s="57">
        <v>0</v>
      </c>
      <c r="D24" s="55">
        <v>0</v>
      </c>
    </row>
    <row r="25" spans="1:13" x14ac:dyDescent="0.2">
      <c r="A25" s="2" t="s">
        <v>34</v>
      </c>
      <c r="B25" s="73">
        <v>2</v>
      </c>
      <c r="C25" s="57">
        <v>0</v>
      </c>
      <c r="D25" s="55">
        <v>2</v>
      </c>
    </row>
    <row r="26" spans="1:13" x14ac:dyDescent="0.2">
      <c r="A26" s="2" t="s">
        <v>35</v>
      </c>
      <c r="B26" s="73">
        <v>2</v>
      </c>
      <c r="C26" s="57">
        <v>0</v>
      </c>
      <c r="D26" s="55">
        <v>0</v>
      </c>
    </row>
    <row r="27" spans="1:13" x14ac:dyDescent="0.2">
      <c r="A27" s="2" t="s">
        <v>36</v>
      </c>
      <c r="B27" s="73">
        <v>3</v>
      </c>
      <c r="C27" s="57">
        <v>2</v>
      </c>
      <c r="D27" s="55">
        <v>1</v>
      </c>
    </row>
    <row r="28" spans="1:13" x14ac:dyDescent="0.2">
      <c r="A28" s="2" t="s">
        <v>37</v>
      </c>
      <c r="B28" s="73">
        <v>2</v>
      </c>
      <c r="C28" s="57">
        <v>0</v>
      </c>
      <c r="D28" s="55">
        <v>0</v>
      </c>
    </row>
    <row r="29" spans="1:13" x14ac:dyDescent="0.2">
      <c r="A29" s="2" t="s">
        <v>38</v>
      </c>
      <c r="B29" s="73">
        <v>1</v>
      </c>
      <c r="C29" s="57">
        <v>0</v>
      </c>
      <c r="D29" s="55">
        <v>0</v>
      </c>
    </row>
    <row r="30" spans="1:13" x14ac:dyDescent="0.2">
      <c r="A30" s="2" t="s">
        <v>39</v>
      </c>
      <c r="B30" s="73">
        <v>0</v>
      </c>
      <c r="C30" s="57">
        <v>0</v>
      </c>
      <c r="D30" s="55">
        <v>1</v>
      </c>
    </row>
    <row r="31" spans="1:13" x14ac:dyDescent="0.2">
      <c r="A31" s="2"/>
      <c r="B31" s="2"/>
      <c r="C31" s="2"/>
      <c r="D31" s="2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opLeftCell="D6" zoomScale="140" zoomScaleNormal="140" zoomScalePageLayoutView="140" workbookViewId="0">
      <selection activeCell="D2" sqref="D2:D30"/>
    </sheetView>
  </sheetViews>
  <sheetFormatPr baseColWidth="10" defaultRowHeight="16" x14ac:dyDescent="0.2"/>
  <cols>
    <col min="2" max="2" width="14.6640625" customWidth="1"/>
    <col min="3" max="3" width="15" customWidth="1"/>
    <col min="4" max="4" width="16.5" customWidth="1"/>
  </cols>
  <sheetData>
    <row r="1" spans="1:22" x14ac:dyDescent="0.2">
      <c r="B1" s="3" t="s">
        <v>43</v>
      </c>
      <c r="C1" s="3" t="s">
        <v>44</v>
      </c>
      <c r="D1" s="3" t="s">
        <v>207</v>
      </c>
      <c r="I1" t="s">
        <v>242</v>
      </c>
      <c r="K1" t="s">
        <v>243</v>
      </c>
      <c r="M1" s="3" t="s">
        <v>207</v>
      </c>
      <c r="Q1" t="s">
        <v>243</v>
      </c>
      <c r="U1" s="3" t="s">
        <v>207</v>
      </c>
    </row>
    <row r="2" spans="1:22" x14ac:dyDescent="0.2">
      <c r="A2" s="2" t="s">
        <v>0</v>
      </c>
      <c r="B2" s="45">
        <v>11653500</v>
      </c>
      <c r="C2" s="42">
        <v>118000</v>
      </c>
      <c r="D2" s="45">
        <f>1610550</f>
        <v>1610550</v>
      </c>
      <c r="I2" t="s">
        <v>73</v>
      </c>
      <c r="J2" t="s">
        <v>247</v>
      </c>
      <c r="K2" t="s">
        <v>73</v>
      </c>
      <c r="L2" t="s">
        <v>247</v>
      </c>
      <c r="M2" t="s">
        <v>73</v>
      </c>
      <c r="N2" t="s">
        <v>247</v>
      </c>
      <c r="Q2" t="s">
        <v>73</v>
      </c>
      <c r="R2" t="s">
        <v>247</v>
      </c>
      <c r="U2" t="s">
        <v>73</v>
      </c>
      <c r="V2" t="s">
        <v>247</v>
      </c>
    </row>
    <row r="3" spans="1:22" x14ac:dyDescent="0.2">
      <c r="A3" s="2" t="s">
        <v>1</v>
      </c>
      <c r="B3" s="45">
        <v>3611414.2857142859</v>
      </c>
      <c r="C3" s="42">
        <v>123365.21518987342</v>
      </c>
      <c r="D3" s="45">
        <f>2053300</f>
        <v>2053300</v>
      </c>
      <c r="G3">
        <v>1</v>
      </c>
      <c r="H3" t="s">
        <v>233</v>
      </c>
      <c r="I3">
        <f>QUARTILE($B$2:$B$11,F3)</f>
        <v>1471200</v>
      </c>
      <c r="J3">
        <f>QUARTILE($B$2:$B$11,G3)</f>
        <v>2852853.5714285714</v>
      </c>
      <c r="K3" s="2">
        <f>QUARTILE($C$12:$C$30,G3)</f>
        <v>5538.722316066066</v>
      </c>
      <c r="L3">
        <f>QUARTILE($C$1:$C$10,G3)</f>
        <v>14790.20979020979</v>
      </c>
      <c r="M3" s="2">
        <f>QUARTILE($D$12:$D$30,G3)</f>
        <v>324375</v>
      </c>
      <c r="N3">
        <f>QUARTILE($D$2:$D$11,G3)</f>
        <v>430753</v>
      </c>
      <c r="P3" t="s">
        <v>233</v>
      </c>
      <c r="Q3" s="2">
        <f>K3</f>
        <v>5538.722316066066</v>
      </c>
      <c r="R3">
        <f>L3</f>
        <v>14790.20979020979</v>
      </c>
      <c r="T3" t="s">
        <v>233</v>
      </c>
      <c r="U3" s="2">
        <f>M3</f>
        <v>324375</v>
      </c>
      <c r="V3">
        <f>430753</f>
        <v>430753</v>
      </c>
    </row>
    <row r="4" spans="1:22" x14ac:dyDescent="0.2">
      <c r="A4" s="2" t="s">
        <v>2</v>
      </c>
      <c r="B4" s="45">
        <v>1471200</v>
      </c>
      <c r="C4" s="42">
        <v>12570.036231884058</v>
      </c>
      <c r="D4" s="45">
        <f>220778</f>
        <v>220778</v>
      </c>
      <c r="G4">
        <v>0</v>
      </c>
      <c r="H4" t="s">
        <v>237</v>
      </c>
      <c r="I4">
        <f>QUARTILE($B$12:$B$30,G4)</f>
        <v>1132500</v>
      </c>
      <c r="J4">
        <f t="shared" ref="J4:J6" si="0">QUARTILE($B$2:$B$11,G4)</f>
        <v>1471200</v>
      </c>
      <c r="K4" s="2">
        <f t="shared" ref="K4:K7" si="1">QUARTILE($C$12:$C$30,G4)</f>
        <v>1752.5990903183883</v>
      </c>
      <c r="L4">
        <f t="shared" ref="L4:L7" si="2">QUARTILE($C$1:$C$10,G4)</f>
        <v>11746.975546975547</v>
      </c>
      <c r="M4" s="2">
        <f t="shared" ref="M4:M7" si="3">QUARTILE($D$12:$D$30,G4)</f>
        <v>105500</v>
      </c>
      <c r="N4">
        <f t="shared" ref="N4:N7" si="4">QUARTILE($D$2:$D$11,G4)</f>
        <v>220778</v>
      </c>
      <c r="P4" t="s">
        <v>237</v>
      </c>
      <c r="Q4" s="2">
        <f>K4</f>
        <v>1752.5990903183883</v>
      </c>
      <c r="R4">
        <f>L4</f>
        <v>11746.975546975547</v>
      </c>
      <c r="T4" t="s">
        <v>237</v>
      </c>
      <c r="U4" s="2">
        <f t="shared" ref="U4" si="5">QUARTILE($D$12:$D$30,O4)</f>
        <v>105500</v>
      </c>
      <c r="V4">
        <f>N4</f>
        <v>220778</v>
      </c>
    </row>
    <row r="5" spans="1:22" x14ac:dyDescent="0.2">
      <c r="A5" s="2" t="s">
        <v>3</v>
      </c>
      <c r="B5" s="45">
        <v>3969066.666666667</v>
      </c>
      <c r="C5" s="42">
        <v>11746.975546975547</v>
      </c>
      <c r="D5" s="45">
        <f>1103233</f>
        <v>1103233</v>
      </c>
      <c r="G5">
        <v>2</v>
      </c>
      <c r="H5" t="s">
        <v>238</v>
      </c>
      <c r="I5">
        <f>QUARTILE($B$12:$B$30,G5)</f>
        <v>5426194.4444444403</v>
      </c>
      <c r="J5">
        <f t="shared" si="0"/>
        <v>5514533.333333334</v>
      </c>
      <c r="K5" s="2">
        <f t="shared" si="1"/>
        <v>7037.727814823078</v>
      </c>
      <c r="L5">
        <f t="shared" si="2"/>
        <v>17721.314171314174</v>
      </c>
      <c r="M5" s="2">
        <f t="shared" si="3"/>
        <v>506900</v>
      </c>
      <c r="N5">
        <f>QUARTILE($D$2:$D$11,G5)</f>
        <v>886089</v>
      </c>
      <c r="P5" t="s">
        <v>238</v>
      </c>
      <c r="Q5" s="2">
        <f t="shared" ref="Q5:Q7" si="6">K5</f>
        <v>7037.727814823078</v>
      </c>
      <c r="R5">
        <f t="shared" ref="R5:R7" si="7">L5</f>
        <v>17721.314171314174</v>
      </c>
      <c r="T5" t="s">
        <v>238</v>
      </c>
      <c r="U5" s="2">
        <f>M5</f>
        <v>506900</v>
      </c>
      <c r="V5">
        <f>N5</f>
        <v>886089</v>
      </c>
    </row>
    <row r="6" spans="1:22" x14ac:dyDescent="0.2">
      <c r="A6" s="2" t="s">
        <v>4</v>
      </c>
      <c r="B6" s="45">
        <v>7328250</v>
      </c>
      <c r="C6" s="42">
        <v>26565.95890410959</v>
      </c>
      <c r="D6" s="45">
        <f>296025</f>
        <v>296025</v>
      </c>
      <c r="G6">
        <v>4</v>
      </c>
      <c r="H6" t="s">
        <v>241</v>
      </c>
      <c r="I6">
        <f t="shared" ref="I6" si="8">QUARTILE($B$12:$B$30,G6)</f>
        <v>35505000</v>
      </c>
      <c r="J6">
        <f t="shared" si="0"/>
        <v>11653500</v>
      </c>
      <c r="K6" s="2">
        <f t="shared" si="1"/>
        <v>57413.685636856368</v>
      </c>
      <c r="L6">
        <f t="shared" si="2"/>
        <v>123365.21518987342</v>
      </c>
      <c r="M6" s="2">
        <f t="shared" si="3"/>
        <v>43786071</v>
      </c>
      <c r="N6">
        <f t="shared" si="4"/>
        <v>2053300</v>
      </c>
      <c r="P6" t="s">
        <v>241</v>
      </c>
      <c r="Q6" s="2">
        <f t="shared" si="6"/>
        <v>57413.685636856368</v>
      </c>
      <c r="R6">
        <f t="shared" si="7"/>
        <v>123365.21518987342</v>
      </c>
      <c r="T6" t="s">
        <v>241</v>
      </c>
      <c r="U6" s="2">
        <f t="shared" ref="U6:U7" si="9">M6</f>
        <v>43786071</v>
      </c>
      <c r="V6">
        <f t="shared" ref="V6:V7" si="10">N6</f>
        <v>2053300</v>
      </c>
    </row>
    <row r="7" spans="1:22" x14ac:dyDescent="0.2">
      <c r="A7" s="2" t="s">
        <v>7</v>
      </c>
      <c r="B7" s="45">
        <v>7060000</v>
      </c>
      <c r="C7" s="42">
        <v>15191.44385026738</v>
      </c>
      <c r="D7" s="51">
        <f>363000</f>
        <v>363000</v>
      </c>
      <c r="G7">
        <v>3</v>
      </c>
      <c r="H7" t="s">
        <v>235</v>
      </c>
      <c r="I7">
        <f>QUARTILE($B$12:$B$30,G7)</f>
        <v>6506048.3753086422</v>
      </c>
      <c r="J7">
        <f>QUARTILE($B$2:$B$11,G7)</f>
        <v>9693750</v>
      </c>
      <c r="K7" s="2">
        <f t="shared" si="1"/>
        <v>9700.1473880889644</v>
      </c>
      <c r="L7">
        <f t="shared" si="2"/>
        <v>26565.95890410959</v>
      </c>
      <c r="M7" s="2">
        <f t="shared" si="3"/>
        <v>1288457.5</v>
      </c>
      <c r="N7">
        <f t="shared" si="4"/>
        <v>1231391.5</v>
      </c>
      <c r="P7" t="s">
        <v>235</v>
      </c>
      <c r="Q7" s="2">
        <f t="shared" si="6"/>
        <v>9700.1473880889644</v>
      </c>
      <c r="R7">
        <f t="shared" si="7"/>
        <v>26565.95890410959</v>
      </c>
      <c r="T7" t="s">
        <v>235</v>
      </c>
      <c r="U7" s="2">
        <f t="shared" si="9"/>
        <v>1288457.5</v>
      </c>
      <c r="V7">
        <f t="shared" si="10"/>
        <v>1231391.5</v>
      </c>
    </row>
    <row r="8" spans="1:22" x14ac:dyDescent="0.2">
      <c r="A8" s="2" t="s">
        <v>8</v>
      </c>
      <c r="B8" s="45">
        <v>2419750</v>
      </c>
      <c r="C8" s="42">
        <v>22063.65521327014</v>
      </c>
      <c r="D8" s="51">
        <f>634012</f>
        <v>634012</v>
      </c>
    </row>
    <row r="9" spans="1:22" x14ac:dyDescent="0.2">
      <c r="A9" s="2" t="s">
        <v>15</v>
      </c>
      <c r="B9" s="45">
        <v>10482250</v>
      </c>
      <c r="C9" s="42">
        <v>17721.314171314174</v>
      </c>
      <c r="D9" s="51">
        <f>877988</f>
        <v>877988</v>
      </c>
    </row>
    <row r="10" spans="1:22" x14ac:dyDescent="0.2">
      <c r="A10" s="2" t="s">
        <v>17</v>
      </c>
      <c r="B10" s="45">
        <v>11280000</v>
      </c>
      <c r="C10" s="42">
        <v>14790.20979020979</v>
      </c>
      <c r="D10" s="51">
        <f>894190</f>
        <v>894190</v>
      </c>
    </row>
    <row r="11" spans="1:22" x14ac:dyDescent="0.2">
      <c r="A11" s="2" t="s">
        <v>19</v>
      </c>
      <c r="B11" s="45">
        <v>2600000</v>
      </c>
      <c r="C11" s="42">
        <v>8933.3333333333339</v>
      </c>
      <c r="D11" s="51">
        <f>1274111</f>
        <v>1274111</v>
      </c>
    </row>
    <row r="12" spans="1:22" x14ac:dyDescent="0.2">
      <c r="A12" s="2" t="s">
        <v>20</v>
      </c>
      <c r="B12" s="45">
        <v>2753000</v>
      </c>
      <c r="C12" s="45">
        <v>9244.4664031620541</v>
      </c>
      <c r="D12" s="41">
        <f>177313</f>
        <v>177313</v>
      </c>
    </row>
    <row r="13" spans="1:22" x14ac:dyDescent="0.2">
      <c r="A13" s="2" t="s">
        <v>21</v>
      </c>
      <c r="B13" s="45">
        <v>1132500</v>
      </c>
      <c r="C13" s="45">
        <v>3112.2828784119106</v>
      </c>
      <c r="D13" s="41">
        <f>1389250</f>
        <v>1389250</v>
      </c>
    </row>
    <row r="14" spans="1:22" x14ac:dyDescent="0.2">
      <c r="A14" s="2" t="s">
        <v>22</v>
      </c>
      <c r="B14" s="45">
        <v>5950388.888888889</v>
      </c>
      <c r="C14" s="45">
        <v>15856.060606060606</v>
      </c>
      <c r="D14" s="41">
        <f>1171917</f>
        <v>1171917</v>
      </c>
    </row>
    <row r="15" spans="1:22" x14ac:dyDescent="0.2">
      <c r="A15" s="2" t="s">
        <v>23</v>
      </c>
      <c r="B15" s="45">
        <v>1759000</v>
      </c>
      <c r="C15" s="40">
        <f>5028.046422</f>
        <v>5028.0464220000003</v>
      </c>
      <c r="D15" s="41">
        <f>105500</f>
        <v>105500</v>
      </c>
    </row>
    <row r="16" spans="1:22" x14ac:dyDescent="0.2">
      <c r="A16" s="2" t="s">
        <v>24</v>
      </c>
      <c r="B16" s="45">
        <v>1925000</v>
      </c>
      <c r="C16" s="45">
        <f>8252.301752</f>
        <v>8252.3017519999994</v>
      </c>
      <c r="D16" s="41">
        <f>302000</f>
        <v>302000</v>
      </c>
    </row>
    <row r="17" spans="1:4" x14ac:dyDescent="0.2">
      <c r="A17" s="2" t="s">
        <v>25</v>
      </c>
      <c r="B17" s="45">
        <v>6179833.6333333338</v>
      </c>
      <c r="C17" s="45">
        <v>5326.9527235354572</v>
      </c>
      <c r="D17" s="41">
        <f>442671</f>
        <v>442671</v>
      </c>
    </row>
    <row r="18" spans="1:4" x14ac:dyDescent="0.2">
      <c r="A18" s="2" t="s">
        <v>27</v>
      </c>
      <c r="B18" s="45">
        <v>5954166.666666667</v>
      </c>
      <c r="C18" s="45">
        <v>8112.7450980392159</v>
      </c>
      <c r="D18" s="41">
        <f>130583</f>
        <v>130583</v>
      </c>
    </row>
    <row r="19" spans="1:4" x14ac:dyDescent="0.2">
      <c r="A19" s="2" t="s">
        <v>28</v>
      </c>
      <c r="B19" s="45">
        <v>5027527.777777778</v>
      </c>
      <c r="C19" s="45">
        <v>10155.828373015873</v>
      </c>
      <c r="D19" s="41">
        <f>1248458</f>
        <v>1248458</v>
      </c>
    </row>
    <row r="20" spans="1:4" x14ac:dyDescent="0.2">
      <c r="A20" s="2" t="s">
        <v>29</v>
      </c>
      <c r="B20" s="45">
        <v>3119000</v>
      </c>
      <c r="C20" s="45">
        <v>21566.472457627118</v>
      </c>
      <c r="D20" s="41">
        <f>506900</f>
        <v>506900</v>
      </c>
    </row>
    <row r="21" spans="1:4" x14ac:dyDescent="0.2">
      <c r="A21" s="2" t="s">
        <v>30</v>
      </c>
      <c r="B21" s="45">
        <v>5720416.666666667</v>
      </c>
      <c r="C21" s="45">
        <v>6328.6033711730306</v>
      </c>
      <c r="D21" s="41">
        <f>372000</f>
        <v>372000</v>
      </c>
    </row>
    <row r="22" spans="1:4" x14ac:dyDescent="0.2">
      <c r="A22" s="2" t="s">
        <v>31</v>
      </c>
      <c r="B22" s="45">
        <v>7212812.5</v>
      </c>
      <c r="C22" s="45">
        <v>57413.685636856368</v>
      </c>
      <c r="D22" s="41">
        <f>346750</f>
        <v>346750</v>
      </c>
    </row>
    <row r="23" spans="1:4" x14ac:dyDescent="0.2">
      <c r="A23" s="2" t="s">
        <v>32</v>
      </c>
      <c r="B23" s="45">
        <v>5426194.4444444403</v>
      </c>
      <c r="C23" s="45">
        <v>7037.727814823078</v>
      </c>
      <c r="D23" s="41">
        <f>43786071</f>
        <v>43786071</v>
      </c>
    </row>
    <row r="24" spans="1:4" x14ac:dyDescent="0.2">
      <c r="A24" s="2" t="s">
        <v>33</v>
      </c>
      <c r="B24" s="45">
        <v>4026077.3809523806</v>
      </c>
      <c r="C24" s="45">
        <v>7752.4032231940391</v>
      </c>
      <c r="D24" s="41">
        <f>474342</f>
        <v>474342</v>
      </c>
    </row>
    <row r="25" spans="1:4" x14ac:dyDescent="0.2">
      <c r="A25" s="2" t="s">
        <v>34</v>
      </c>
      <c r="B25" s="45">
        <v>6832263.1172839496</v>
      </c>
      <c r="C25" s="45">
        <v>6296.8129607018491</v>
      </c>
      <c r="D25" s="41">
        <f>2619007</f>
        <v>2619007</v>
      </c>
    </row>
    <row r="26" spans="1:4" x14ac:dyDescent="0.2">
      <c r="A26" s="2" t="s">
        <v>35</v>
      </c>
      <c r="B26" s="45">
        <v>6857916.666666667</v>
      </c>
      <c r="C26" s="45">
        <v>5569.632132132132</v>
      </c>
      <c r="D26" s="41">
        <f>700917</f>
        <v>700917</v>
      </c>
    </row>
    <row r="27" spans="1:4" x14ac:dyDescent="0.2">
      <c r="A27" s="2" t="s">
        <v>36</v>
      </c>
      <c r="B27" s="45">
        <v>35505000</v>
      </c>
      <c r="C27" s="45">
        <v>32915.28239202658</v>
      </c>
      <c r="D27" s="41">
        <f>1328457</f>
        <v>1328457</v>
      </c>
    </row>
    <row r="28" spans="1:4" x14ac:dyDescent="0.2">
      <c r="A28" s="2" t="s">
        <v>37</v>
      </c>
      <c r="B28" s="45">
        <v>8460000</v>
      </c>
      <c r="C28" s="45">
        <v>5507.8125</v>
      </c>
      <c r="D28" s="41">
        <f>864833</f>
        <v>864833</v>
      </c>
    </row>
    <row r="29" spans="1:4" x14ac:dyDescent="0.2">
      <c r="A29" s="2" t="s">
        <v>38</v>
      </c>
      <c r="B29" s="45">
        <v>4150833.3333333335</v>
      </c>
      <c r="C29" s="45">
        <v>1752.5990903183883</v>
      </c>
      <c r="D29" s="41">
        <f>207333</f>
        <v>207333</v>
      </c>
    </row>
    <row r="30" spans="1:4" x14ac:dyDescent="0.2">
      <c r="A30" s="2" t="s">
        <v>39</v>
      </c>
      <c r="B30" s="45">
        <v>2254466.666666667</v>
      </c>
      <c r="C30" s="45">
        <v>5646.3903743315514</v>
      </c>
      <c r="D30" s="41">
        <f>1496583</f>
        <v>1496583</v>
      </c>
    </row>
    <row r="31" spans="1:4" x14ac:dyDescent="0.2">
      <c r="A31" s="2" t="s">
        <v>205</v>
      </c>
      <c r="B31" s="44">
        <f>AVERAGE(B2:B30)</f>
        <v>6280063.0584504064</v>
      </c>
      <c r="C31" s="44">
        <f t="shared" ref="C31:D31" si="11">AVERAGE(C2:C30)</f>
        <v>20476.698222091269</v>
      </c>
      <c r="D31" s="44">
        <f t="shared" si="11"/>
        <v>2310278.3448275863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B19" zoomScale="260" zoomScaleNormal="260" zoomScalePageLayoutView="260" workbookViewId="0">
      <selection activeCell="G8" sqref="G8"/>
    </sheetView>
  </sheetViews>
  <sheetFormatPr baseColWidth="10" defaultRowHeight="16" x14ac:dyDescent="0.2"/>
  <cols>
    <col min="1" max="1" width="18.1640625" customWidth="1"/>
    <col min="2" max="2" width="21.83203125" customWidth="1"/>
    <col min="3" max="3" width="13.33203125" customWidth="1"/>
    <col min="7" max="7" width="16.1640625" customWidth="1"/>
    <col min="8" max="8" width="14.5" customWidth="1"/>
    <col min="11" max="11" width="12.1640625" bestFit="1" customWidth="1"/>
    <col min="12" max="12" width="13.1640625" customWidth="1"/>
    <col min="15" max="15" width="14.5" customWidth="1"/>
    <col min="16" max="16" width="17.83203125" customWidth="1"/>
  </cols>
  <sheetData>
    <row r="1" spans="1:16" x14ac:dyDescent="0.2">
      <c r="A1" t="s">
        <v>272</v>
      </c>
      <c r="B1" s="3" t="s">
        <v>44</v>
      </c>
      <c r="C1" t="s">
        <v>278</v>
      </c>
      <c r="F1" t="s">
        <v>242</v>
      </c>
      <c r="G1" t="s">
        <v>247</v>
      </c>
      <c r="H1" t="s">
        <v>73</v>
      </c>
      <c r="J1" t="s">
        <v>243</v>
      </c>
      <c r="K1" t="s">
        <v>247</v>
      </c>
      <c r="L1" t="s">
        <v>73</v>
      </c>
      <c r="N1" t="s">
        <v>278</v>
      </c>
      <c r="O1" t="s">
        <v>247</v>
      </c>
      <c r="P1" t="s">
        <v>73</v>
      </c>
    </row>
    <row r="2" spans="1:16" x14ac:dyDescent="0.2">
      <c r="A2" s="45">
        <v>11653500</v>
      </c>
      <c r="B2" s="42">
        <v>118000</v>
      </c>
      <c r="C2" s="45">
        <f>1610550</f>
        <v>1610550</v>
      </c>
      <c r="F2" t="s">
        <v>233</v>
      </c>
      <c r="G2">
        <f>QUARTILE(TerreFR,1)</f>
        <v>2852853.5714285714</v>
      </c>
      <c r="H2">
        <f>QUARTILE(TerreGSDM,1)</f>
        <v>2936000</v>
      </c>
      <c r="J2" t="s">
        <v>233</v>
      </c>
      <c r="K2">
        <f>QUARTILE(TravailFR,1)</f>
        <v>13125.079621465491</v>
      </c>
      <c r="L2">
        <f>QUARTILE(TravailGSDM,1)</f>
        <v>5538.722316066066</v>
      </c>
      <c r="N2" t="s">
        <v>233</v>
      </c>
      <c r="O2">
        <f>QUARTILE(RevFR,1)</f>
        <v>430753</v>
      </c>
      <c r="P2">
        <f>QUARTILE(RevGSDM,1)</f>
        <v>324375</v>
      </c>
    </row>
    <row r="3" spans="1:16" x14ac:dyDescent="0.2">
      <c r="A3" s="45">
        <v>3611414.2857142859</v>
      </c>
      <c r="B3" s="42">
        <v>123365.21518987342</v>
      </c>
      <c r="C3" s="45">
        <f>2053300</f>
        <v>2053300</v>
      </c>
      <c r="F3" t="s">
        <v>232</v>
      </c>
      <c r="G3">
        <f>MIN(TerreFR)</f>
        <v>1471200</v>
      </c>
      <c r="H3">
        <f>MIN(TerreGSDM)</f>
        <v>1132500</v>
      </c>
      <c r="J3" t="s">
        <v>232</v>
      </c>
      <c r="K3">
        <f>MIN(TravailFR)</f>
        <v>8933.3333333333339</v>
      </c>
      <c r="L3">
        <f>MIN(TravailGSDM)</f>
        <v>1752.5990903183883</v>
      </c>
      <c r="N3" t="s">
        <v>232</v>
      </c>
      <c r="O3">
        <f>MIN(RevFR)</f>
        <v>220778</v>
      </c>
      <c r="P3">
        <f>MIN(RevGSDM)</f>
        <v>105500</v>
      </c>
    </row>
    <row r="4" spans="1:16" x14ac:dyDescent="0.2">
      <c r="A4" s="45">
        <v>1471200</v>
      </c>
      <c r="B4" s="42">
        <v>12570.036231884058</v>
      </c>
      <c r="C4" s="45">
        <f>220778</f>
        <v>220778</v>
      </c>
      <c r="F4" t="s">
        <v>280</v>
      </c>
      <c r="G4">
        <f>MIN(IF(TerreFR&gt;G15,TerreFR))</f>
        <v>1471200</v>
      </c>
      <c r="H4">
        <f t="array" ref="H4">MIN(IF(TerreGSDM&gt;H15,TerreGSDM))</f>
        <v>1132500</v>
      </c>
      <c r="J4" t="s">
        <v>280</v>
      </c>
      <c r="K4">
        <f t="array" ref="K4">MIN(IF(TravailFR&gt;K15,TravailFR))</f>
        <v>8933.3333333333339</v>
      </c>
      <c r="L4">
        <f t="array" ref="L4">MIN(IF(TravailGSDM&gt;L15,TravailGSDM))</f>
        <v>1752.5990903183883</v>
      </c>
      <c r="N4" t="s">
        <v>280</v>
      </c>
      <c r="O4">
        <f t="array" ref="O4">MIN(IF(RevFR&gt;O15,RevFR))</f>
        <v>220778</v>
      </c>
      <c r="P4">
        <f t="array" ref="P4">MIN(IF(RevGSDM&gt;P15,RevGSDM))</f>
        <v>105500</v>
      </c>
    </row>
    <row r="5" spans="1:16" x14ac:dyDescent="0.2">
      <c r="A5" s="45">
        <v>3969066.666666667</v>
      </c>
      <c r="B5" s="42">
        <v>11746.975546975547</v>
      </c>
      <c r="C5" s="45">
        <f>1103233</f>
        <v>1103233</v>
      </c>
      <c r="F5" t="s">
        <v>234</v>
      </c>
      <c r="G5">
        <f>MEDIAN(TerreFR)</f>
        <v>5514533.333333334</v>
      </c>
      <c r="H5">
        <f>MEDIAN(TerreGSDM)</f>
        <v>5426194.4444444403</v>
      </c>
      <c r="J5" t="s">
        <v>234</v>
      </c>
      <c r="K5">
        <f>MEDIAN(TravailFR)</f>
        <v>16456.379010790777</v>
      </c>
      <c r="L5">
        <f>MEDIAN(TravailGSDM)</f>
        <v>7037.727814823078</v>
      </c>
      <c r="N5" t="s">
        <v>234</v>
      </c>
      <c r="O5">
        <f>MEDIAN(RevFR)</f>
        <v>886089</v>
      </c>
      <c r="P5">
        <f>MEDIAN(RevGSDM)</f>
        <v>506900</v>
      </c>
    </row>
    <row r="6" spans="1:16" x14ac:dyDescent="0.2">
      <c r="A6" s="45">
        <v>7328250</v>
      </c>
      <c r="B6" s="42">
        <v>26565.95890410959</v>
      </c>
      <c r="C6" s="45">
        <f>296025</f>
        <v>296025</v>
      </c>
      <c r="F6" t="s">
        <v>281</v>
      </c>
      <c r="G6">
        <f>MAX(IF(TerreFR&lt;G16,TerreFR))</f>
        <v>11653500</v>
      </c>
      <c r="H6">
        <f t="array" ref="H6">MAX(IF(TerreGSDM&lt;H16,TerreGSDM))</f>
        <v>8460000</v>
      </c>
      <c r="J6" t="s">
        <v>281</v>
      </c>
      <c r="K6">
        <f t="array" ref="K6">MAX(IF(TravailFR&lt;K16,TravailFR))</f>
        <v>26565.95890410959</v>
      </c>
      <c r="L6">
        <f t="array" ref="L6">MAX(IF(TravailGSDM&lt;L16,TravailGSDM))</f>
        <v>15856.060606060606</v>
      </c>
      <c r="N6" t="s">
        <v>281</v>
      </c>
      <c r="O6">
        <f t="array" ref="O6">MAX(IF(RevFR&lt;O16,RevFR))</f>
        <v>2053300</v>
      </c>
      <c r="P6">
        <f t="array" ref="P6">MAX(IF(RevGSDM&lt;P16,RevGSDM))</f>
        <v>2619007</v>
      </c>
    </row>
    <row r="7" spans="1:16" x14ac:dyDescent="0.2">
      <c r="A7" s="45">
        <v>7060000</v>
      </c>
      <c r="B7" s="42">
        <v>15191.44385026738</v>
      </c>
      <c r="C7" s="51">
        <f>363000</f>
        <v>363000</v>
      </c>
      <c r="F7" t="s">
        <v>236</v>
      </c>
      <c r="G7">
        <f>MAX(TerreFR)</f>
        <v>11653500</v>
      </c>
      <c r="H7">
        <f>MAX(TerreGSDM)</f>
        <v>35505000</v>
      </c>
      <c r="J7" t="s">
        <v>282</v>
      </c>
      <c r="K7">
        <f>MAX(TravailFR)</f>
        <v>123365.21518987342</v>
      </c>
      <c r="L7">
        <f>MAX(TravailGSDM)</f>
        <v>57413.685636856368</v>
      </c>
      <c r="N7" t="s">
        <v>282</v>
      </c>
      <c r="O7">
        <f>MAX(RevFR)</f>
        <v>2053300</v>
      </c>
      <c r="P7">
        <f>MAX(RevGSDM)</f>
        <v>43786071</v>
      </c>
    </row>
    <row r="8" spans="1:16" x14ac:dyDescent="0.2">
      <c r="A8" s="45">
        <v>2419750</v>
      </c>
      <c r="B8" s="42">
        <v>22063.65521327014</v>
      </c>
      <c r="C8" s="51">
        <f>634012</f>
        <v>634012</v>
      </c>
      <c r="F8" t="s">
        <v>235</v>
      </c>
      <c r="G8">
        <f>QUARTILE(TerreFR,3)</f>
        <v>9693750</v>
      </c>
      <c r="H8">
        <f>QUARTILE(TerreGSDM,3)</f>
        <v>6506048.3753086422</v>
      </c>
      <c r="J8" t="s">
        <v>235</v>
      </c>
      <c r="K8">
        <f>QUARTILE(TravailFR,3)</f>
        <v>25440.382981399729</v>
      </c>
      <c r="L8">
        <f>QUARTILE(TravailGSDM,3)</f>
        <v>9700.1473880889644</v>
      </c>
      <c r="N8" t="s">
        <v>235</v>
      </c>
      <c r="O8">
        <f>QUARTILE(RevFR,3)</f>
        <v>1231391.5</v>
      </c>
      <c r="P8">
        <f>QUARTILE(RevGSDM,3)</f>
        <v>1288457.5</v>
      </c>
    </row>
    <row r="9" spans="1:16" x14ac:dyDescent="0.2">
      <c r="A9" s="45">
        <v>10482250</v>
      </c>
      <c r="B9" s="42">
        <v>17721.314171314174</v>
      </c>
      <c r="C9" s="51">
        <f>877988</f>
        <v>877988</v>
      </c>
      <c r="J9" s="32"/>
      <c r="K9" s="32"/>
      <c r="L9" s="32"/>
    </row>
    <row r="10" spans="1:16" x14ac:dyDescent="0.2">
      <c r="A10" s="45">
        <v>11280000</v>
      </c>
      <c r="B10" s="42">
        <v>14790.20979020979</v>
      </c>
      <c r="C10" s="51">
        <f>894190</f>
        <v>894190</v>
      </c>
      <c r="G10" s="40"/>
      <c r="H10" s="77"/>
      <c r="J10" s="32"/>
      <c r="K10" s="78"/>
      <c r="L10" s="78"/>
      <c r="O10" s="77"/>
      <c r="P10" s="77"/>
    </row>
    <row r="11" spans="1:16" x14ac:dyDescent="0.2">
      <c r="A11" s="45">
        <v>2600000</v>
      </c>
      <c r="B11" s="42">
        <v>8933.3333333333339</v>
      </c>
      <c r="C11" s="51">
        <f>1274111</f>
        <v>1274111</v>
      </c>
    </row>
    <row r="12" spans="1:16" x14ac:dyDescent="0.2">
      <c r="A12" s="45">
        <v>2753000</v>
      </c>
      <c r="B12" s="45">
        <v>9244.4664031620541</v>
      </c>
      <c r="C12" s="41">
        <f>177313</f>
        <v>177313</v>
      </c>
      <c r="F12" t="s">
        <v>273</v>
      </c>
      <c r="G12">
        <f>COUNT(TerreFR)</f>
        <v>10</v>
      </c>
      <c r="H12">
        <f>COUNT(TerreGSDM)</f>
        <v>19</v>
      </c>
      <c r="J12" t="s">
        <v>273</v>
      </c>
      <c r="K12">
        <f>COUNT(TravailFR)</f>
        <v>10</v>
      </c>
      <c r="L12">
        <f>COUNT(TravailGSDM)</f>
        <v>19</v>
      </c>
      <c r="N12" t="s">
        <v>273</v>
      </c>
      <c r="O12">
        <f>COUNT(TravailFR)</f>
        <v>10</v>
      </c>
      <c r="P12">
        <f>COUNT(TravailGSDM)</f>
        <v>19</v>
      </c>
    </row>
    <row r="13" spans="1:16" x14ac:dyDescent="0.2">
      <c r="A13" s="45">
        <v>1132500</v>
      </c>
      <c r="B13" s="45">
        <v>3112.2828784119106</v>
      </c>
      <c r="C13" s="41">
        <f>1389250</f>
        <v>1389250</v>
      </c>
      <c r="F13" t="s">
        <v>274</v>
      </c>
      <c r="G13">
        <f>AVERAGE(TerreFR)</f>
        <v>6187543.0952380951</v>
      </c>
      <c r="H13">
        <f>AVERAGE(TerreGSDM)</f>
        <v>6328757.7759305667</v>
      </c>
      <c r="J13" t="s">
        <v>274</v>
      </c>
      <c r="K13">
        <f>AVERAGE(TravailFR)</f>
        <v>37094.814223123743</v>
      </c>
      <c r="L13">
        <f>AVERAGE(TravailGSDM)</f>
        <v>11730.32137944259</v>
      </c>
      <c r="N13" t="s">
        <v>274</v>
      </c>
      <c r="O13">
        <f>AVERAGE(RevFR)</f>
        <v>932718.7</v>
      </c>
      <c r="P13">
        <f>AVERAGE(RevGSDM)</f>
        <v>3035309.7368421052</v>
      </c>
    </row>
    <row r="14" spans="1:16" x14ac:dyDescent="0.2">
      <c r="A14" s="45">
        <v>5950388.888888889</v>
      </c>
      <c r="B14" s="45">
        <v>15856.060606060606</v>
      </c>
      <c r="C14" s="41">
        <f>1171917</f>
        <v>1171917</v>
      </c>
      <c r="F14" t="s">
        <v>275</v>
      </c>
      <c r="G14">
        <f>G8-G2</f>
        <v>6840896.4285714291</v>
      </c>
      <c r="H14">
        <f>H8-H2</f>
        <v>3570048.3753086422</v>
      </c>
      <c r="J14" t="s">
        <v>275</v>
      </c>
      <c r="K14">
        <f>K8-K2</f>
        <v>12315.303359934238</v>
      </c>
      <c r="L14">
        <f>L8-L2</f>
        <v>4161.4250720228983</v>
      </c>
      <c r="N14" t="s">
        <v>275</v>
      </c>
      <c r="O14">
        <f>O8-O2</f>
        <v>800638.5</v>
      </c>
      <c r="P14">
        <f>P8-P2</f>
        <v>964082.5</v>
      </c>
    </row>
    <row r="15" spans="1:16" x14ac:dyDescent="0.2">
      <c r="A15" s="45">
        <v>1759000</v>
      </c>
      <c r="B15" s="40">
        <f>5028.046422</f>
        <v>5028.0464220000003</v>
      </c>
      <c r="C15" s="41">
        <f>105500</f>
        <v>105500</v>
      </c>
      <c r="F15" t="s">
        <v>276</v>
      </c>
      <c r="G15">
        <f>G2-1.5*(G8-G2)</f>
        <v>-7408491.0714285728</v>
      </c>
      <c r="H15">
        <f>H2-1.5*(H8-H2)</f>
        <v>-2419072.5629629632</v>
      </c>
      <c r="J15" t="s">
        <v>276</v>
      </c>
      <c r="K15">
        <f>K2-1.5*(K8-K2)</f>
        <v>-5347.8754184358659</v>
      </c>
      <c r="L15">
        <f>L2-1.5*(L8-L2)</f>
        <v>-703.41529196828105</v>
      </c>
      <c r="N15" t="s">
        <v>276</v>
      </c>
      <c r="O15">
        <f>O2-1.5*(O8-O2)</f>
        <v>-770204.75</v>
      </c>
      <c r="P15">
        <f>P2-1.5*(P8-P2)</f>
        <v>-1121748.75</v>
      </c>
    </row>
    <row r="16" spans="1:16" x14ac:dyDescent="0.2">
      <c r="A16" s="45">
        <v>1925000</v>
      </c>
      <c r="B16" s="45">
        <f>8252.301752</f>
        <v>8252.3017519999994</v>
      </c>
      <c r="C16" s="41">
        <f>302000</f>
        <v>302000</v>
      </c>
      <c r="F16" t="s">
        <v>277</v>
      </c>
      <c r="G16">
        <f>G8+1.5*(G8-G2)</f>
        <v>19955094.642857142</v>
      </c>
      <c r="H16">
        <f>H8+1.5*(H8-H2)</f>
        <v>11861120.938271604</v>
      </c>
      <c r="J16" t="s">
        <v>277</v>
      </c>
      <c r="K16">
        <f>K8+1.5*(K8-K2)</f>
        <v>43913.338021301082</v>
      </c>
      <c r="L16">
        <f>L8+1.5*(L8-L2)</f>
        <v>15942.284996123311</v>
      </c>
      <c r="N16" t="s">
        <v>277</v>
      </c>
      <c r="O16">
        <f>O8+1.5*(O8-O2)</f>
        <v>2432349.25</v>
      </c>
      <c r="P16">
        <f>P8+1.5*(P8-P2)</f>
        <v>2734581.25</v>
      </c>
    </row>
    <row r="17" spans="1:7" x14ac:dyDescent="0.2">
      <c r="A17" s="45">
        <v>6179833.6333333338</v>
      </c>
      <c r="B17" s="45">
        <v>5326.9527235354572</v>
      </c>
      <c r="C17" s="41">
        <f>442671</f>
        <v>442671</v>
      </c>
    </row>
    <row r="18" spans="1:7" x14ac:dyDescent="0.2">
      <c r="A18" s="45">
        <v>5954166.666666667</v>
      </c>
      <c r="B18" s="45">
        <v>8112.7450980392159</v>
      </c>
      <c r="C18" s="41">
        <f>130583</f>
        <v>130583</v>
      </c>
    </row>
    <row r="19" spans="1:7" x14ac:dyDescent="0.2">
      <c r="A19" s="45">
        <v>5027527.777777778</v>
      </c>
      <c r="B19" s="45">
        <v>10155.828373015873</v>
      </c>
      <c r="C19" s="41">
        <f>1248458</f>
        <v>1248458</v>
      </c>
    </row>
    <row r="20" spans="1:7" x14ac:dyDescent="0.2">
      <c r="A20" s="45">
        <v>3119000</v>
      </c>
      <c r="B20" s="45">
        <v>21566.472457627118</v>
      </c>
      <c r="C20" s="41">
        <f>506900</f>
        <v>506900</v>
      </c>
    </row>
    <row r="21" spans="1:7" x14ac:dyDescent="0.2">
      <c r="A21" s="45">
        <v>5720416.666666667</v>
      </c>
      <c r="B21" s="45">
        <v>6328.6033711730306</v>
      </c>
      <c r="C21" s="41">
        <f>372000</f>
        <v>372000</v>
      </c>
      <c r="D21" s="2"/>
      <c r="E21" s="2"/>
      <c r="F21" s="2"/>
      <c r="G21" s="2"/>
    </row>
    <row r="22" spans="1:7" x14ac:dyDescent="0.2">
      <c r="A22" s="45">
        <v>7212812.5</v>
      </c>
      <c r="B22" s="45">
        <v>57413.685636856368</v>
      </c>
      <c r="C22" s="41">
        <f>346750</f>
        <v>346750</v>
      </c>
      <c r="D22" s="2"/>
      <c r="E22" s="2"/>
      <c r="F22" s="2"/>
      <c r="G22" s="2"/>
    </row>
    <row r="23" spans="1:7" x14ac:dyDescent="0.2">
      <c r="A23" s="45">
        <v>5426194.4444444403</v>
      </c>
      <c r="B23" s="45">
        <v>7037.727814823078</v>
      </c>
      <c r="C23" s="41">
        <f>43786071</f>
        <v>43786071</v>
      </c>
      <c r="D23" s="2"/>
      <c r="E23" s="2"/>
      <c r="F23" s="2"/>
      <c r="G23" s="2"/>
    </row>
    <row r="24" spans="1:7" x14ac:dyDescent="0.2">
      <c r="A24" s="45">
        <v>4026077.3809523806</v>
      </c>
      <c r="B24" s="45">
        <v>7752.4032231940391</v>
      </c>
      <c r="C24" s="41">
        <f>474342</f>
        <v>474342</v>
      </c>
      <c r="D24" s="2"/>
      <c r="E24" s="2"/>
      <c r="F24" s="2"/>
      <c r="G24" s="2"/>
    </row>
    <row r="25" spans="1:7" x14ac:dyDescent="0.2">
      <c r="A25" s="45">
        <v>6832263.1172839496</v>
      </c>
      <c r="B25" s="45">
        <v>6296.8129607018491</v>
      </c>
      <c r="C25" s="41">
        <f>2619007</f>
        <v>2619007</v>
      </c>
      <c r="D25" s="2"/>
      <c r="E25" s="2"/>
      <c r="F25" s="2"/>
      <c r="G25" s="2"/>
    </row>
    <row r="26" spans="1:7" x14ac:dyDescent="0.2">
      <c r="A26" s="45">
        <v>6857916.666666667</v>
      </c>
      <c r="B26" s="45">
        <v>5569.632132132132</v>
      </c>
      <c r="C26" s="41">
        <f>700917</f>
        <v>700917</v>
      </c>
      <c r="D26" s="2"/>
      <c r="E26" s="2"/>
      <c r="F26" s="2"/>
      <c r="G26" s="2"/>
    </row>
    <row r="27" spans="1:7" x14ac:dyDescent="0.2">
      <c r="A27" s="45">
        <v>35505000</v>
      </c>
      <c r="B27" s="45">
        <v>32915.28239202658</v>
      </c>
      <c r="C27" s="41">
        <f>1328457</f>
        <v>1328457</v>
      </c>
      <c r="D27" s="2"/>
      <c r="E27" s="2"/>
      <c r="F27" s="2"/>
      <c r="G27" s="2"/>
    </row>
    <row r="28" spans="1:7" x14ac:dyDescent="0.2">
      <c r="A28" s="45">
        <v>8460000</v>
      </c>
      <c r="B28" s="45">
        <v>5507.8125</v>
      </c>
      <c r="C28" s="41">
        <f>864833</f>
        <v>864833</v>
      </c>
      <c r="D28" s="2"/>
      <c r="E28" s="2"/>
      <c r="F28" s="2"/>
      <c r="G28" s="2"/>
    </row>
    <row r="29" spans="1:7" x14ac:dyDescent="0.2">
      <c r="A29" s="45">
        <v>4150833.3333333335</v>
      </c>
      <c r="B29" s="45">
        <v>1752.5990903183883</v>
      </c>
      <c r="C29" s="41">
        <f>207333</f>
        <v>207333</v>
      </c>
      <c r="D29" s="2"/>
      <c r="E29" s="2"/>
      <c r="F29" s="2"/>
      <c r="G29" s="2"/>
    </row>
    <row r="30" spans="1:7" x14ac:dyDescent="0.2">
      <c r="A30" s="45">
        <v>2254466.666666667</v>
      </c>
      <c r="B30" s="45">
        <v>5646.3903743315514</v>
      </c>
      <c r="C30" s="41">
        <f>1496583</f>
        <v>1496583</v>
      </c>
      <c r="D30" s="2"/>
      <c r="E30" s="2"/>
      <c r="F30" s="2"/>
      <c r="G30" s="2"/>
    </row>
    <row r="31" spans="1:7" x14ac:dyDescent="0.2">
      <c r="B31" s="44"/>
      <c r="D31" s="2"/>
      <c r="E31" s="2"/>
      <c r="F31" s="2"/>
      <c r="G31" s="2"/>
    </row>
    <row r="32" spans="1:7" x14ac:dyDescent="0.2"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</row>
    <row r="38" spans="1:7" x14ac:dyDescent="0.2">
      <c r="A38" s="2"/>
      <c r="B38" s="2"/>
      <c r="C38" s="2"/>
      <c r="D38" s="2"/>
    </row>
    <row r="39" spans="1:7" x14ac:dyDescent="0.2">
      <c r="A39" s="2"/>
      <c r="B39" s="2"/>
      <c r="C39" s="2"/>
      <c r="D39" s="2"/>
    </row>
    <row r="40" spans="1:7" x14ac:dyDescent="0.2">
      <c r="A40" s="2"/>
      <c r="B40" s="2"/>
      <c r="C40" s="2"/>
      <c r="D40" s="2"/>
    </row>
    <row r="41" spans="1:7" x14ac:dyDescent="0.2">
      <c r="A41" s="2"/>
      <c r="B41" s="2"/>
      <c r="C41" s="2"/>
      <c r="D41" s="2"/>
    </row>
    <row r="42" spans="1:7" x14ac:dyDescent="0.2">
      <c r="A42" s="2"/>
      <c r="B42" s="2"/>
      <c r="C42" s="2"/>
      <c r="D42" s="2"/>
    </row>
    <row r="43" spans="1:7" x14ac:dyDescent="0.2">
      <c r="A43" s="2"/>
      <c r="B43" s="2"/>
      <c r="C43" s="2"/>
      <c r="D43" s="2"/>
    </row>
    <row r="44" spans="1:7" x14ac:dyDescent="0.2">
      <c r="A44" s="2"/>
      <c r="B44" s="2"/>
      <c r="C44" s="2"/>
      <c r="D44" s="2"/>
    </row>
    <row r="45" spans="1:7" x14ac:dyDescent="0.2">
      <c r="A45" s="2"/>
      <c r="B45" s="2"/>
      <c r="C45" s="2"/>
      <c r="D45" s="2"/>
    </row>
    <row r="46" spans="1:7" x14ac:dyDescent="0.2">
      <c r="A46" s="2"/>
      <c r="B46" s="2"/>
      <c r="C46" s="2"/>
      <c r="D46" s="2"/>
    </row>
    <row r="47" spans="1:7" x14ac:dyDescent="0.2">
      <c r="A47" s="2"/>
      <c r="B47" s="2"/>
      <c r="C47" s="2"/>
      <c r="D47" s="2"/>
    </row>
    <row r="48" spans="1:7" x14ac:dyDescent="0.2">
      <c r="A48" s="2"/>
      <c r="B48" s="2"/>
      <c r="C48" s="2"/>
      <c r="D48" s="2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29"/>
  <sheetViews>
    <sheetView workbookViewId="0">
      <selection activeCell="A16" sqref="A16:C16"/>
    </sheetView>
  </sheetViews>
  <sheetFormatPr baseColWidth="10" defaultRowHeight="16" x14ac:dyDescent="0.2"/>
  <cols>
    <col min="2" max="2" width="14.6640625" bestFit="1" customWidth="1"/>
    <col min="3" max="3" width="13.1640625" bestFit="1" customWidth="1"/>
    <col min="6" max="6" width="14.6640625" bestFit="1" customWidth="1"/>
    <col min="7" max="7" width="12.1640625" bestFit="1" customWidth="1"/>
  </cols>
  <sheetData>
    <row r="5" spans="1:7" x14ac:dyDescent="0.2">
      <c r="B5" t="s">
        <v>43</v>
      </c>
      <c r="C5" t="s">
        <v>44</v>
      </c>
      <c r="F5" t="s">
        <v>43</v>
      </c>
      <c r="G5" t="s">
        <v>44</v>
      </c>
    </row>
    <row r="6" spans="1:7" x14ac:dyDescent="0.2">
      <c r="A6" s="2" t="s">
        <v>0</v>
      </c>
      <c r="B6" s="47">
        <f>7838500</f>
        <v>7838500</v>
      </c>
      <c r="C6" s="47">
        <f>156770</f>
        <v>156770</v>
      </c>
      <c r="E6" t="s">
        <v>20</v>
      </c>
      <c r="F6" s="46">
        <v>910000</v>
      </c>
      <c r="G6" s="46">
        <v>8272.7272727272721</v>
      </c>
    </row>
    <row r="7" spans="1:7" x14ac:dyDescent="0.2">
      <c r="A7" s="2" t="s">
        <v>1</v>
      </c>
      <c r="B7" s="47">
        <f>2664700</f>
        <v>2664700</v>
      </c>
      <c r="C7" s="47">
        <f>106588</f>
        <v>106588</v>
      </c>
      <c r="E7" t="s">
        <v>21</v>
      </c>
      <c r="F7" s="46">
        <v>156000</v>
      </c>
      <c r="G7" s="46">
        <v>2516.1290322580644</v>
      </c>
    </row>
    <row r="8" spans="1:7" x14ac:dyDescent="0.2">
      <c r="A8" s="2" t="s">
        <v>2</v>
      </c>
      <c r="B8" s="47">
        <f>1107800</f>
        <v>1107800</v>
      </c>
      <c r="C8" s="47">
        <f>8027.536232</f>
        <v>8027.5362320000004</v>
      </c>
      <c r="E8" t="s">
        <v>22</v>
      </c>
      <c r="F8" s="46">
        <v>364000</v>
      </c>
      <c r="G8" s="46">
        <v>8272.7272727272721</v>
      </c>
    </row>
    <row r="9" spans="1:7" x14ac:dyDescent="0.2">
      <c r="A9" s="2" t="s">
        <v>3</v>
      </c>
      <c r="B9" s="47">
        <f>1862400</f>
        <v>1862400</v>
      </c>
      <c r="C9" s="47">
        <f xml:space="preserve"> 6046.753247</f>
        <v>6046.7532469999996</v>
      </c>
      <c r="E9" t="s">
        <v>23</v>
      </c>
      <c r="F9" s="46">
        <v>166000</v>
      </c>
      <c r="G9" s="46">
        <v>3772.7272727272725</v>
      </c>
    </row>
    <row r="10" spans="1:7" x14ac:dyDescent="0.2">
      <c r="A10" s="2" t="s">
        <v>4</v>
      </c>
      <c r="B10" s="46">
        <v>2723250</v>
      </c>
      <c r="C10" s="46">
        <v>18155</v>
      </c>
      <c r="E10" t="s">
        <v>24</v>
      </c>
      <c r="F10" s="46">
        <v>1115000</v>
      </c>
      <c r="G10" s="46">
        <v>10136.363636363636</v>
      </c>
    </row>
    <row r="11" spans="1:7" x14ac:dyDescent="0.2">
      <c r="A11" s="2" t="s">
        <v>5</v>
      </c>
      <c r="B11" s="46">
        <v>1926000</v>
      </c>
      <c r="C11" s="46">
        <v>12671.052631578947</v>
      </c>
      <c r="E11" t="s">
        <v>25</v>
      </c>
      <c r="F11" s="46">
        <v>5215833.333333334</v>
      </c>
      <c r="G11" s="46">
        <v>1023.3812949640288</v>
      </c>
    </row>
    <row r="12" spans="1:7" x14ac:dyDescent="0.2">
      <c r="A12" s="2" t="s">
        <v>7</v>
      </c>
      <c r="B12" s="46">
        <v>870000</v>
      </c>
      <c r="C12" s="46">
        <v>7909.090909090909</v>
      </c>
      <c r="E12" t="s">
        <v>27</v>
      </c>
      <c r="F12" s="46">
        <v>266666.66666666669</v>
      </c>
      <c r="G12" s="46">
        <v>392.15686274509807</v>
      </c>
    </row>
    <row r="13" spans="1:7" x14ac:dyDescent="0.2">
      <c r="A13" s="2" t="s">
        <v>8</v>
      </c>
      <c r="B13" s="46">
        <v>755500</v>
      </c>
      <c r="C13" s="46">
        <v>8394.4444444444453</v>
      </c>
      <c r="E13" t="s">
        <v>28</v>
      </c>
      <c r="F13" s="46">
        <v>1765750</v>
      </c>
      <c r="G13" s="46">
        <v>7882.8125</v>
      </c>
    </row>
    <row r="14" spans="1:7" x14ac:dyDescent="0.2">
      <c r="A14" s="2" t="s">
        <v>15</v>
      </c>
      <c r="B14" s="46">
        <v>3493000</v>
      </c>
      <c r="C14" s="46">
        <v>5394.594594594595</v>
      </c>
      <c r="E14" t="s">
        <v>29</v>
      </c>
      <c r="F14" s="46">
        <v>1249000</v>
      </c>
      <c r="G14" s="46">
        <v>19515.625</v>
      </c>
    </row>
    <row r="15" spans="1:7" x14ac:dyDescent="0.2">
      <c r="E15" t="s">
        <v>30</v>
      </c>
      <c r="F15" s="46">
        <v>3822500</v>
      </c>
      <c r="G15" s="46">
        <v>4996.7320261437908</v>
      </c>
    </row>
    <row r="16" spans="1:7" x14ac:dyDescent="0.2">
      <c r="A16" s="2" t="s">
        <v>19</v>
      </c>
      <c r="B16" s="46">
        <v>320000</v>
      </c>
      <c r="C16" s="46">
        <v>1333.3333333333333</v>
      </c>
      <c r="E16" t="s">
        <v>31</v>
      </c>
      <c r="F16" s="46">
        <v>4700000</v>
      </c>
      <c r="G16" s="46">
        <v>52222.222222222219</v>
      </c>
    </row>
    <row r="17" spans="1:7" x14ac:dyDescent="0.2">
      <c r="E17" t="s">
        <v>32</v>
      </c>
      <c r="F17" s="46">
        <v>997166.66666666663</v>
      </c>
      <c r="G17" s="46">
        <v>5027.7310924369749</v>
      </c>
    </row>
    <row r="18" spans="1:7" x14ac:dyDescent="0.2">
      <c r="E18" t="s">
        <v>33</v>
      </c>
      <c r="F18" s="46">
        <v>1347619.0476190478</v>
      </c>
      <c r="G18" s="46">
        <v>1375.1214771622938</v>
      </c>
    </row>
    <row r="19" spans="1:7" x14ac:dyDescent="0.2">
      <c r="E19" t="s">
        <v>34</v>
      </c>
      <c r="F19" s="46">
        <v>790062.5</v>
      </c>
      <c r="G19" s="46">
        <v>1672.0899470899469</v>
      </c>
    </row>
    <row r="20" spans="1:7" x14ac:dyDescent="0.2">
      <c r="E20" t="s">
        <v>35</v>
      </c>
      <c r="F20" s="46">
        <v>800000</v>
      </c>
      <c r="G20" s="46">
        <v>3243.2432432432433</v>
      </c>
    </row>
    <row r="21" spans="1:7" x14ac:dyDescent="0.2">
      <c r="E21" t="s">
        <v>36</v>
      </c>
      <c r="F21" s="46">
        <v>5280000</v>
      </c>
      <c r="G21" s="46">
        <v>18857.142857142859</v>
      </c>
    </row>
    <row r="22" spans="1:7" x14ac:dyDescent="0.2">
      <c r="E22" t="s">
        <v>37</v>
      </c>
      <c r="F22" s="46">
        <v>8460000</v>
      </c>
      <c r="G22" s="46">
        <v>6409.090909090909</v>
      </c>
    </row>
    <row r="23" spans="1:7" x14ac:dyDescent="0.2">
      <c r="E23" t="s">
        <v>38</v>
      </c>
      <c r="F23" s="46">
        <v>2193333.3333333335</v>
      </c>
      <c r="G23" s="46">
        <v>1160.4938271604938</v>
      </c>
    </row>
    <row r="24" spans="1:7" x14ac:dyDescent="0.2">
      <c r="E24" t="s">
        <v>39</v>
      </c>
      <c r="F24" s="46">
        <v>75600</v>
      </c>
      <c r="G24" s="46">
        <v>2290.909090909091</v>
      </c>
    </row>
    <row r="27" spans="1:7" x14ac:dyDescent="0.2">
      <c r="B27" t="s">
        <v>43</v>
      </c>
      <c r="C27" t="s">
        <v>44</v>
      </c>
    </row>
    <row r="28" spans="1:7" x14ac:dyDescent="0.2">
      <c r="A28" t="s">
        <v>247</v>
      </c>
      <c r="B28">
        <f>AVERAGE(B6:B16)</f>
        <v>2356115</v>
      </c>
      <c r="C28">
        <f>AVERAGE(C6:C16)</f>
        <v>33128.980539204218</v>
      </c>
    </row>
    <row r="29" spans="1:7" x14ac:dyDescent="0.2">
      <c r="A29" t="s">
        <v>73</v>
      </c>
      <c r="B29">
        <f>AVERAGE(F6:F24)</f>
        <v>2088133.2393483713</v>
      </c>
      <c r="C29">
        <f>AVERAGE(G6:G24)</f>
        <v>8370.4961493218143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opLeftCell="A24" zoomScale="125" zoomScaleNormal="110" zoomScalePageLayoutView="110" workbookViewId="0">
      <selection activeCell="F46" sqref="F46"/>
    </sheetView>
  </sheetViews>
  <sheetFormatPr baseColWidth="10" defaultRowHeight="16" x14ac:dyDescent="0.2"/>
  <sheetData>
    <row r="1" spans="1:21" ht="21" x14ac:dyDescent="0.2">
      <c r="B1" t="s">
        <v>74</v>
      </c>
      <c r="C1" s="65" t="s">
        <v>128</v>
      </c>
      <c r="D1" s="14"/>
      <c r="F1" t="s">
        <v>140</v>
      </c>
      <c r="G1" s="65" t="s">
        <v>128</v>
      </c>
      <c r="H1" s="14" t="s">
        <v>143</v>
      </c>
      <c r="J1" t="s">
        <v>129</v>
      </c>
      <c r="K1" s="65" t="s">
        <v>128</v>
      </c>
      <c r="L1" s="14" t="s">
        <v>141</v>
      </c>
      <c r="N1" t="s">
        <v>47</v>
      </c>
      <c r="O1" s="15" t="s">
        <v>169</v>
      </c>
      <c r="Q1" t="s">
        <v>78</v>
      </c>
      <c r="R1" s="15" t="s">
        <v>128</v>
      </c>
      <c r="S1" s="3">
        <v>0</v>
      </c>
      <c r="U1" s="14" t="s">
        <v>176</v>
      </c>
    </row>
    <row r="2" spans="1:21" ht="21" x14ac:dyDescent="0.2">
      <c r="C2" s="66" t="s">
        <v>57</v>
      </c>
      <c r="D2" s="13"/>
      <c r="F2" t="s">
        <v>142</v>
      </c>
      <c r="G2" s="66" t="s">
        <v>57</v>
      </c>
      <c r="H2" s="13" t="s">
        <v>166</v>
      </c>
      <c r="J2" t="s">
        <v>142</v>
      </c>
      <c r="K2" s="66" t="s">
        <v>57</v>
      </c>
      <c r="L2" s="13" t="s">
        <v>167</v>
      </c>
      <c r="N2" t="s">
        <v>75</v>
      </c>
      <c r="O2" s="16" t="s">
        <v>123</v>
      </c>
      <c r="Q2" t="s">
        <v>142</v>
      </c>
      <c r="R2" s="17" t="s">
        <v>57</v>
      </c>
      <c r="S2" s="3" t="s">
        <v>132</v>
      </c>
      <c r="U2" s="13" t="s">
        <v>177</v>
      </c>
    </row>
    <row r="3" spans="1:21" ht="21" x14ac:dyDescent="0.2">
      <c r="C3" s="67" t="s">
        <v>76</v>
      </c>
      <c r="D3" s="12"/>
      <c r="G3" s="67" t="s">
        <v>76</v>
      </c>
      <c r="H3" s="12" t="s">
        <v>145</v>
      </c>
      <c r="K3" s="67" t="s">
        <v>76</v>
      </c>
      <c r="L3" s="12" t="s">
        <v>144</v>
      </c>
      <c r="N3" t="s">
        <v>142</v>
      </c>
      <c r="R3" s="18" t="s">
        <v>76</v>
      </c>
      <c r="S3" s="3" t="s">
        <v>168</v>
      </c>
      <c r="U3" s="12" t="s">
        <v>178</v>
      </c>
    </row>
    <row r="4" spans="1:21" ht="21" x14ac:dyDescent="0.2">
      <c r="C4" s="68" t="s">
        <v>77</v>
      </c>
      <c r="D4" s="11"/>
      <c r="G4" s="68" t="s">
        <v>77</v>
      </c>
      <c r="H4" s="11">
        <v>0</v>
      </c>
      <c r="K4" s="68" t="s">
        <v>77</v>
      </c>
      <c r="L4" s="11">
        <v>0</v>
      </c>
      <c r="R4" s="16" t="s">
        <v>77</v>
      </c>
      <c r="S4" s="3" t="s">
        <v>131</v>
      </c>
      <c r="U4" s="11" t="s">
        <v>179</v>
      </c>
    </row>
    <row r="5" spans="1:21" ht="21" x14ac:dyDescent="0.2">
      <c r="H5" s="1"/>
    </row>
    <row r="7" spans="1:21" x14ac:dyDescent="0.2">
      <c r="U7" s="33" t="s">
        <v>162</v>
      </c>
    </row>
    <row r="8" spans="1:21" x14ac:dyDescent="0.2">
      <c r="C8" t="s">
        <v>127</v>
      </c>
      <c r="L8" t="s">
        <v>46</v>
      </c>
    </row>
    <row r="9" spans="1:21" ht="31" x14ac:dyDescent="0.35">
      <c r="B9" t="s">
        <v>45</v>
      </c>
      <c r="C9" t="s">
        <v>126</v>
      </c>
      <c r="D9" t="s">
        <v>125</v>
      </c>
      <c r="E9" t="s">
        <v>47</v>
      </c>
      <c r="F9" t="s">
        <v>78</v>
      </c>
      <c r="K9" t="s">
        <v>45</v>
      </c>
      <c r="L9" t="s">
        <v>124</v>
      </c>
      <c r="M9" t="s">
        <v>125</v>
      </c>
      <c r="N9" t="s">
        <v>47</v>
      </c>
      <c r="O9" t="s">
        <v>84</v>
      </c>
      <c r="S9" t="s">
        <v>163</v>
      </c>
      <c r="T9" s="34" t="s">
        <v>165</v>
      </c>
    </row>
    <row r="10" spans="1:21" x14ac:dyDescent="0.2">
      <c r="A10" t="s">
        <v>0</v>
      </c>
      <c r="B10" s="3">
        <v>3</v>
      </c>
      <c r="C10" s="3">
        <v>3</v>
      </c>
      <c r="D10" s="3">
        <v>3</v>
      </c>
      <c r="E10" s="3">
        <v>3</v>
      </c>
      <c r="F10" s="3">
        <v>0</v>
      </c>
      <c r="G10" s="3"/>
      <c r="J10" t="s">
        <v>20</v>
      </c>
      <c r="K10" s="3">
        <v>3</v>
      </c>
      <c r="L10" s="3">
        <v>3</v>
      </c>
      <c r="M10" s="3">
        <v>3</v>
      </c>
      <c r="N10" s="3">
        <v>3</v>
      </c>
      <c r="O10" s="3">
        <v>0</v>
      </c>
      <c r="P10" s="3"/>
      <c r="Q10" s="3"/>
    </row>
    <row r="11" spans="1:21" x14ac:dyDescent="0.2">
      <c r="A11" t="s">
        <v>1</v>
      </c>
      <c r="B11" s="3">
        <v>3</v>
      </c>
      <c r="C11" s="3">
        <v>2</v>
      </c>
      <c r="D11" s="3">
        <v>3</v>
      </c>
      <c r="E11" s="3">
        <v>3</v>
      </c>
      <c r="F11" s="3">
        <v>0</v>
      </c>
      <c r="G11" s="3"/>
      <c r="J11" t="s">
        <v>21</v>
      </c>
      <c r="K11" s="3">
        <v>3</v>
      </c>
      <c r="L11" s="3">
        <v>0</v>
      </c>
      <c r="M11" s="3">
        <v>0</v>
      </c>
      <c r="N11" s="3">
        <v>3</v>
      </c>
      <c r="O11" s="3">
        <v>0</v>
      </c>
      <c r="P11" s="3"/>
      <c r="Q11" s="3"/>
    </row>
    <row r="12" spans="1:21" x14ac:dyDescent="0.2">
      <c r="A12" t="s">
        <v>2</v>
      </c>
      <c r="B12" s="3">
        <v>3</v>
      </c>
      <c r="C12" s="3">
        <v>2</v>
      </c>
      <c r="D12" s="3">
        <v>3</v>
      </c>
      <c r="E12" s="3">
        <v>3</v>
      </c>
      <c r="F12" s="3">
        <v>2</v>
      </c>
      <c r="G12" s="3"/>
      <c r="J12" t="s">
        <v>22</v>
      </c>
      <c r="K12" s="3">
        <v>3</v>
      </c>
      <c r="L12" s="3">
        <v>3</v>
      </c>
      <c r="M12" s="3">
        <v>3</v>
      </c>
      <c r="N12" s="3">
        <v>3</v>
      </c>
      <c r="O12" s="3">
        <v>0</v>
      </c>
      <c r="P12" s="3"/>
      <c r="Q12" s="3"/>
    </row>
    <row r="13" spans="1:21" x14ac:dyDescent="0.2">
      <c r="A13" t="s">
        <v>3</v>
      </c>
      <c r="B13" s="3">
        <v>3</v>
      </c>
      <c r="C13" s="3">
        <v>3</v>
      </c>
      <c r="D13" s="3">
        <v>3</v>
      </c>
      <c r="E13" s="3">
        <v>3</v>
      </c>
      <c r="F13" s="3">
        <v>2</v>
      </c>
      <c r="G13" s="3"/>
      <c r="J13" t="s">
        <v>23</v>
      </c>
      <c r="K13" s="3">
        <v>3</v>
      </c>
      <c r="L13" s="3">
        <v>2</v>
      </c>
      <c r="M13" s="3">
        <v>2</v>
      </c>
      <c r="N13" s="3">
        <v>3</v>
      </c>
      <c r="O13" s="13">
        <v>1</v>
      </c>
      <c r="P13" s="3"/>
      <c r="Q13" s="3"/>
    </row>
    <row r="14" spans="1:21" x14ac:dyDescent="0.2">
      <c r="A14" t="s">
        <v>4</v>
      </c>
      <c r="B14" s="3">
        <v>3</v>
      </c>
      <c r="C14" s="3">
        <v>1</v>
      </c>
      <c r="D14" s="3">
        <v>2</v>
      </c>
      <c r="E14" s="3">
        <v>3</v>
      </c>
      <c r="F14" s="3">
        <v>0</v>
      </c>
      <c r="G14" s="3"/>
      <c r="J14" t="s">
        <v>24</v>
      </c>
      <c r="K14" s="3">
        <v>3</v>
      </c>
      <c r="L14" s="3">
        <v>1</v>
      </c>
      <c r="M14" s="3">
        <v>1</v>
      </c>
      <c r="N14" s="3">
        <v>3</v>
      </c>
      <c r="O14" s="3">
        <v>0</v>
      </c>
      <c r="P14" s="3"/>
      <c r="Q14" s="3"/>
    </row>
    <row r="15" spans="1:21" x14ac:dyDescent="0.2">
      <c r="A15" t="s">
        <v>7</v>
      </c>
      <c r="B15" s="3">
        <v>3</v>
      </c>
      <c r="C15" s="3">
        <v>3</v>
      </c>
      <c r="D15" s="3">
        <v>3</v>
      </c>
      <c r="E15" s="3">
        <v>3</v>
      </c>
      <c r="F15" s="3">
        <v>0</v>
      </c>
      <c r="G15" s="3"/>
      <c r="J15" t="s">
        <v>25</v>
      </c>
      <c r="K15" s="3">
        <v>3</v>
      </c>
      <c r="L15" s="3">
        <v>0</v>
      </c>
      <c r="M15" s="3">
        <v>0</v>
      </c>
      <c r="N15" s="36">
        <v>3</v>
      </c>
      <c r="O15" s="3">
        <v>0</v>
      </c>
      <c r="P15" s="3"/>
      <c r="Q15" s="3"/>
    </row>
    <row r="16" spans="1:21" x14ac:dyDescent="0.2">
      <c r="A16" t="s">
        <v>8</v>
      </c>
      <c r="B16" s="3">
        <v>3</v>
      </c>
      <c r="C16" s="3">
        <v>3</v>
      </c>
      <c r="D16" s="3">
        <v>3</v>
      </c>
      <c r="E16" s="3">
        <v>3</v>
      </c>
      <c r="F16" s="3">
        <v>2</v>
      </c>
      <c r="G16" s="3"/>
      <c r="H16">
        <f>80/C32</f>
        <v>3.1332946391156895</v>
      </c>
      <c r="J16" t="s">
        <v>27</v>
      </c>
      <c r="K16" s="3">
        <v>3</v>
      </c>
      <c r="L16" s="3">
        <v>0</v>
      </c>
      <c r="M16" s="3">
        <v>0</v>
      </c>
      <c r="N16" s="36">
        <v>3</v>
      </c>
      <c r="O16" s="3">
        <v>0</v>
      </c>
      <c r="P16" s="3"/>
      <c r="Q16" s="3"/>
    </row>
    <row r="17" spans="1:18" x14ac:dyDescent="0.2">
      <c r="A17" t="s">
        <v>15</v>
      </c>
      <c r="B17" s="3">
        <v>3</v>
      </c>
      <c r="C17" s="3">
        <v>3</v>
      </c>
      <c r="D17" s="3">
        <v>3</v>
      </c>
      <c r="E17" s="3">
        <v>3</v>
      </c>
      <c r="F17" s="3">
        <v>1</v>
      </c>
      <c r="G17" s="3"/>
      <c r="J17" t="s">
        <v>28</v>
      </c>
      <c r="K17" s="3">
        <v>3</v>
      </c>
      <c r="L17" s="3">
        <v>0</v>
      </c>
      <c r="M17" s="3">
        <v>0</v>
      </c>
      <c r="N17" s="36">
        <v>3</v>
      </c>
      <c r="O17" s="3">
        <v>0</v>
      </c>
      <c r="P17" s="3"/>
      <c r="Q17" s="3"/>
    </row>
    <row r="18" spans="1:18" x14ac:dyDescent="0.2">
      <c r="A18" t="s">
        <v>17</v>
      </c>
      <c r="B18" s="3">
        <v>3</v>
      </c>
      <c r="C18" s="3">
        <v>3</v>
      </c>
      <c r="D18" s="3">
        <v>3</v>
      </c>
      <c r="E18" s="3">
        <v>3</v>
      </c>
      <c r="F18" s="3">
        <v>0</v>
      </c>
      <c r="G18" s="3"/>
      <c r="J18" t="s">
        <v>29</v>
      </c>
      <c r="K18" s="3">
        <v>3</v>
      </c>
      <c r="L18" s="3">
        <v>3</v>
      </c>
      <c r="M18" s="3">
        <v>3</v>
      </c>
      <c r="N18" s="36">
        <v>3</v>
      </c>
      <c r="O18" s="3">
        <v>0</v>
      </c>
      <c r="P18" s="3"/>
      <c r="Q18" s="3"/>
      <c r="R18" t="s">
        <v>164</v>
      </c>
    </row>
    <row r="19" spans="1:18" x14ac:dyDescent="0.2">
      <c r="A19" t="s">
        <v>19</v>
      </c>
      <c r="B19" s="3">
        <v>3</v>
      </c>
      <c r="C19" s="3">
        <v>3</v>
      </c>
      <c r="D19" s="3">
        <v>3</v>
      </c>
      <c r="E19" s="3">
        <v>3</v>
      </c>
      <c r="F19" s="3">
        <v>0</v>
      </c>
      <c r="G19" s="3"/>
      <c r="J19" t="s">
        <v>30</v>
      </c>
      <c r="K19" s="3">
        <v>3</v>
      </c>
      <c r="L19" s="3">
        <v>3</v>
      </c>
      <c r="M19" s="3">
        <v>3</v>
      </c>
      <c r="N19" s="36">
        <v>3</v>
      </c>
      <c r="O19" s="3">
        <v>0</v>
      </c>
      <c r="P19" s="3"/>
      <c r="Q19" s="3"/>
    </row>
    <row r="20" spans="1:18" x14ac:dyDescent="0.2">
      <c r="A20" t="s">
        <v>253</v>
      </c>
      <c r="C20">
        <f>AVERAGE([1]Typologies!$AM$2:$AM$7,[1]Typologies!$AM$9,[1]Typologies!$AM$10,[1]Typologies!$AM$17,[1]Typologies!$AM$19,[1]Typologies!$AM$21)</f>
        <v>9.545454545454545</v>
      </c>
      <c r="D20">
        <f>AVERAGE([1]Typologies!$AN$2:$AN$7,[1]Typologies!$AN$9:$AN$10,[1]Typologies!$AN$17,[1]Typologies!$AN$19,[1]Typologies!$AN$21)</f>
        <v>3.6363636363636362</v>
      </c>
      <c r="G20" s="3"/>
      <c r="J20" t="s">
        <v>31</v>
      </c>
      <c r="K20" s="3">
        <v>3</v>
      </c>
      <c r="L20" s="3">
        <v>3</v>
      </c>
      <c r="M20" s="3">
        <v>3</v>
      </c>
      <c r="N20" s="36">
        <v>3</v>
      </c>
      <c r="O20" s="3">
        <v>0</v>
      </c>
      <c r="P20" s="3"/>
      <c r="Q20" s="3"/>
    </row>
    <row r="21" spans="1:18" x14ac:dyDescent="0.2">
      <c r="J21" t="s">
        <v>32</v>
      </c>
      <c r="K21" s="3">
        <v>3</v>
      </c>
      <c r="L21" s="3">
        <v>3</v>
      </c>
      <c r="M21" s="3">
        <v>3</v>
      </c>
      <c r="N21" s="36">
        <v>3</v>
      </c>
      <c r="O21" s="12">
        <v>2</v>
      </c>
      <c r="P21" s="3"/>
      <c r="Q21" s="3"/>
    </row>
    <row r="22" spans="1:18" x14ac:dyDescent="0.2">
      <c r="J22" t="s">
        <v>33</v>
      </c>
      <c r="K22" s="3">
        <v>3</v>
      </c>
      <c r="L22" s="3">
        <v>2</v>
      </c>
      <c r="M22" s="3">
        <v>3</v>
      </c>
      <c r="N22" s="36">
        <v>3</v>
      </c>
      <c r="O22" s="3">
        <v>0</v>
      </c>
      <c r="P22" s="3"/>
      <c r="Q22" s="3"/>
    </row>
    <row r="23" spans="1:18" x14ac:dyDescent="0.2">
      <c r="C23" t="s">
        <v>183</v>
      </c>
      <c r="J23" t="s">
        <v>34</v>
      </c>
      <c r="K23" s="3">
        <v>3</v>
      </c>
      <c r="L23" s="3">
        <v>3</v>
      </c>
      <c r="M23" s="3">
        <v>3</v>
      </c>
      <c r="N23" s="36">
        <v>3</v>
      </c>
      <c r="O23" s="3">
        <v>0</v>
      </c>
      <c r="P23" s="3"/>
      <c r="Q23" s="3"/>
    </row>
    <row r="24" spans="1:18" x14ac:dyDescent="0.2">
      <c r="B24" t="s">
        <v>181</v>
      </c>
      <c r="C24" t="s">
        <v>182</v>
      </c>
      <c r="D24" t="s">
        <v>125</v>
      </c>
      <c r="E24" t="s">
        <v>184</v>
      </c>
      <c r="F24" t="s">
        <v>185</v>
      </c>
      <c r="J24" t="s">
        <v>35</v>
      </c>
      <c r="K24" s="3">
        <v>3</v>
      </c>
      <c r="L24" s="3">
        <v>3</v>
      </c>
      <c r="M24" s="3">
        <v>3</v>
      </c>
      <c r="N24" s="36">
        <v>3</v>
      </c>
      <c r="O24" s="3">
        <v>0</v>
      </c>
      <c r="P24" s="3"/>
      <c r="Q24" s="3"/>
    </row>
    <row r="25" spans="1:18" x14ac:dyDescent="0.2">
      <c r="A25" t="s">
        <v>247</v>
      </c>
      <c r="B25">
        <f>AVERAGE(B10:B19)</f>
        <v>3</v>
      </c>
      <c r="C25">
        <f>AVERAGE(C10:C19)</f>
        <v>2.6</v>
      </c>
      <c r="D25">
        <f>AVERAGE(D10:D19)</f>
        <v>2.9</v>
      </c>
      <c r="E25">
        <f>AVERAGE(E10:E19)</f>
        <v>3</v>
      </c>
      <c r="F25">
        <f>AVERAGE(F10:F19)</f>
        <v>0.7</v>
      </c>
      <c r="J25" t="s">
        <v>36</v>
      </c>
      <c r="K25" s="3">
        <v>3</v>
      </c>
      <c r="L25" s="3">
        <v>3</v>
      </c>
      <c r="M25" s="3">
        <v>3</v>
      </c>
      <c r="N25" s="36">
        <v>3</v>
      </c>
      <c r="O25" s="3">
        <v>2</v>
      </c>
      <c r="P25" s="3"/>
      <c r="Q25" s="3"/>
    </row>
    <row r="26" spans="1:18" x14ac:dyDescent="0.2">
      <c r="A26" t="s">
        <v>73</v>
      </c>
      <c r="B26">
        <f>AVERAGE(K10:K28)</f>
        <v>3</v>
      </c>
      <c r="C26">
        <f>AVERAGE(L10:L28)</f>
        <v>2.1052631578947367</v>
      </c>
      <c r="D26">
        <f>AVERAGE(M10:M28)</f>
        <v>2.2105263157894739</v>
      </c>
      <c r="E26">
        <f>AVERAGE(N10:N28)</f>
        <v>3</v>
      </c>
      <c r="F26">
        <f>AVERAGE(O10:O28)</f>
        <v>0.36842105263157893</v>
      </c>
      <c r="J26" t="s">
        <v>37</v>
      </c>
      <c r="K26" s="3">
        <v>3</v>
      </c>
      <c r="L26" s="3">
        <v>3</v>
      </c>
      <c r="M26" s="3">
        <v>3</v>
      </c>
      <c r="N26" s="36">
        <v>3</v>
      </c>
      <c r="O26" s="3">
        <v>2</v>
      </c>
      <c r="P26" s="3"/>
      <c r="Q26" s="3"/>
    </row>
    <row r="27" spans="1:18" x14ac:dyDescent="0.2">
      <c r="J27" t="s">
        <v>38</v>
      </c>
      <c r="K27" s="3">
        <v>3</v>
      </c>
      <c r="L27" s="3">
        <v>3</v>
      </c>
      <c r="M27" s="3">
        <v>3</v>
      </c>
      <c r="N27" s="36">
        <v>3</v>
      </c>
      <c r="O27" s="3">
        <v>0</v>
      </c>
      <c r="P27" s="19"/>
      <c r="Q27" s="3"/>
    </row>
    <row r="28" spans="1:18" x14ac:dyDescent="0.2">
      <c r="C28" t="s">
        <v>127</v>
      </c>
      <c r="J28" t="s">
        <v>39</v>
      </c>
      <c r="K28" s="3">
        <v>3</v>
      </c>
      <c r="L28" s="3">
        <v>2</v>
      </c>
      <c r="M28" s="3">
        <v>3</v>
      </c>
      <c r="N28" s="36">
        <v>3</v>
      </c>
      <c r="O28" s="3">
        <v>0</v>
      </c>
      <c r="P28" s="3"/>
      <c r="Q28" s="3"/>
    </row>
    <row r="29" spans="1:18" x14ac:dyDescent="0.2">
      <c r="B29" t="s">
        <v>45</v>
      </c>
      <c r="C29" t="s">
        <v>126</v>
      </c>
      <c r="D29" t="s">
        <v>125</v>
      </c>
      <c r="E29" t="s">
        <v>47</v>
      </c>
      <c r="F29" t="s">
        <v>78</v>
      </c>
      <c r="J29" t="s">
        <v>254</v>
      </c>
      <c r="L29">
        <f>AVERAGE([1]Typologies!$AM$22:$AM$27,[1]Typologies!$AM$29:$AM$41)</f>
        <v>41.519005847953217</v>
      </c>
      <c r="M29">
        <f>AVERAGE([1]Typologies!$AN$29:$AN$41)</f>
        <v>23.076923076923077</v>
      </c>
    </row>
    <row r="30" spans="1:18" x14ac:dyDescent="0.2">
      <c r="A30" t="s">
        <v>247</v>
      </c>
      <c r="B30" s="11">
        <v>3</v>
      </c>
      <c r="C30" s="11">
        <v>3</v>
      </c>
      <c r="D30" s="11">
        <v>3</v>
      </c>
      <c r="E30" s="11">
        <v>3</v>
      </c>
      <c r="F30" s="13">
        <v>1</v>
      </c>
      <c r="Q30">
        <f>(C32-80)/80</f>
        <v>-0.6808471225412015</v>
      </c>
    </row>
    <row r="31" spans="1:18" x14ac:dyDescent="0.2">
      <c r="A31" t="s">
        <v>73</v>
      </c>
      <c r="B31" s="11">
        <v>3</v>
      </c>
      <c r="C31" s="12">
        <v>2</v>
      </c>
      <c r="D31" s="12">
        <v>2</v>
      </c>
      <c r="E31" s="11">
        <v>3</v>
      </c>
      <c r="F31" s="14">
        <v>0</v>
      </c>
      <c r="Q31">
        <f>(D32-40)/40</f>
        <v>-0.66608391608391604</v>
      </c>
    </row>
    <row r="32" spans="1:18" x14ac:dyDescent="0.2">
      <c r="A32" t="s">
        <v>253</v>
      </c>
      <c r="C32">
        <f>AVERAGE(C20,L29)</f>
        <v>25.532230196703882</v>
      </c>
      <c r="D32">
        <f>AVERAGE(D20,M29)</f>
        <v>13.356643356643357</v>
      </c>
    </row>
    <row r="34" spans="1:15" x14ac:dyDescent="0.2">
      <c r="F34">
        <f>80-C32</f>
        <v>54.467769803296122</v>
      </c>
    </row>
    <row r="37" spans="1:15" x14ac:dyDescent="0.2">
      <c r="C37" t="s">
        <v>117</v>
      </c>
    </row>
    <row r="38" spans="1:15" x14ac:dyDescent="0.2">
      <c r="A38" t="s">
        <v>45</v>
      </c>
      <c r="C38" t="s">
        <v>170</v>
      </c>
    </row>
    <row r="39" spans="1:15" x14ac:dyDescent="0.2">
      <c r="A39" t="s">
        <v>84</v>
      </c>
      <c r="C39" t="s">
        <v>130</v>
      </c>
    </row>
    <row r="40" spans="1:15" x14ac:dyDescent="0.2">
      <c r="A40" t="s">
        <v>118</v>
      </c>
    </row>
    <row r="41" spans="1:15" x14ac:dyDescent="0.2">
      <c r="B41" t="s">
        <v>119</v>
      </c>
      <c r="C41" t="s">
        <v>137</v>
      </c>
      <c r="D41" t="s">
        <v>134</v>
      </c>
      <c r="F41" t="s">
        <v>135</v>
      </c>
      <c r="O41" t="s">
        <v>139</v>
      </c>
    </row>
    <row r="42" spans="1:15" x14ac:dyDescent="0.2">
      <c r="B42" t="s">
        <v>120</v>
      </c>
      <c r="C42" t="s">
        <v>138</v>
      </c>
      <c r="D42" t="s">
        <v>133</v>
      </c>
      <c r="F42" t="s">
        <v>136</v>
      </c>
    </row>
    <row r="45" spans="1:15" x14ac:dyDescent="0.2">
      <c r="A45" t="s">
        <v>121</v>
      </c>
      <c r="B45" t="s">
        <v>122</v>
      </c>
      <c r="F45">
        <f>40-D32</f>
        <v>26.643356643356643</v>
      </c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opLeftCell="F8" workbookViewId="0">
      <selection activeCell="E28" sqref="E28"/>
    </sheetView>
  </sheetViews>
  <sheetFormatPr baseColWidth="10" defaultRowHeight="16" x14ac:dyDescent="0.2"/>
  <sheetData>
    <row r="1" spans="1:20" x14ac:dyDescent="0.2">
      <c r="B1" t="s">
        <v>45</v>
      </c>
      <c r="C1" t="s">
        <v>126</v>
      </c>
      <c r="D1" t="s">
        <v>125</v>
      </c>
      <c r="E1" t="s">
        <v>47</v>
      </c>
      <c r="F1" t="s">
        <v>78</v>
      </c>
      <c r="K1" t="s">
        <v>244</v>
      </c>
      <c r="M1" t="s">
        <v>245</v>
      </c>
      <c r="O1" t="s">
        <v>246</v>
      </c>
      <c r="Q1" t="s">
        <v>184</v>
      </c>
      <c r="S1" t="s">
        <v>185</v>
      </c>
    </row>
    <row r="2" spans="1:20" x14ac:dyDescent="0.2">
      <c r="A2" t="s">
        <v>0</v>
      </c>
      <c r="B2" s="3">
        <v>3</v>
      </c>
      <c r="C2" s="3">
        <v>3</v>
      </c>
      <c r="D2" s="3">
        <v>3</v>
      </c>
      <c r="E2" s="3">
        <v>3</v>
      </c>
      <c r="F2" s="3">
        <v>0</v>
      </c>
      <c r="K2" t="s">
        <v>73</v>
      </c>
      <c r="L2" t="s">
        <v>247</v>
      </c>
      <c r="M2" t="s">
        <v>73</v>
      </c>
      <c r="N2" t="s">
        <v>247</v>
      </c>
      <c r="O2" t="s">
        <v>73</v>
      </c>
      <c r="P2" t="s">
        <v>247</v>
      </c>
      <c r="Q2" t="s">
        <v>73</v>
      </c>
      <c r="R2" t="s">
        <v>247</v>
      </c>
      <c r="S2" t="s">
        <v>73</v>
      </c>
      <c r="T2" t="s">
        <v>247</v>
      </c>
    </row>
    <row r="3" spans="1:20" x14ac:dyDescent="0.2">
      <c r="A3" t="s">
        <v>1</v>
      </c>
      <c r="B3" s="3">
        <v>3</v>
      </c>
      <c r="C3" s="3">
        <v>2</v>
      </c>
      <c r="D3" s="3">
        <v>3</v>
      </c>
      <c r="E3" s="3">
        <v>3</v>
      </c>
      <c r="F3" s="3">
        <v>0</v>
      </c>
      <c r="I3">
        <v>1</v>
      </c>
      <c r="J3" t="s">
        <v>233</v>
      </c>
      <c r="K3">
        <f>QUARTILE($B$12:$B$30,I3)</f>
        <v>3</v>
      </c>
      <c r="L3">
        <f>QUARTILE($B$2:$B$11,I3)</f>
        <v>3</v>
      </c>
      <c r="M3" s="2">
        <f>QUARTILE($C$12:$C$30,I3)</f>
        <v>1.5</v>
      </c>
      <c r="N3">
        <f>QUARTILE($C$2:$C$11,I3)</f>
        <v>2.25</v>
      </c>
      <c r="O3" s="2">
        <f>QUARTILE($D$12:$D$30,I3)</f>
        <v>1.5</v>
      </c>
      <c r="P3">
        <f>QUARTILE($D$2:$D$11,I3)</f>
        <v>3</v>
      </c>
      <c r="Q3" s="2">
        <f>QUARTILE($E$12:$E$30,I3)</f>
        <v>3</v>
      </c>
      <c r="R3">
        <f>QUARTILE($E$2:$E$11,I3)</f>
        <v>3</v>
      </c>
      <c r="S3" s="2">
        <f>QUARTILE($F$12:$F$30,I3)</f>
        <v>0</v>
      </c>
      <c r="T3">
        <f>QUARTILE($F$2:$F$11,I3)</f>
        <v>0</v>
      </c>
    </row>
    <row r="4" spans="1:20" x14ac:dyDescent="0.2">
      <c r="A4" t="s">
        <v>2</v>
      </c>
      <c r="B4" s="3">
        <v>3</v>
      </c>
      <c r="C4" s="3">
        <v>2</v>
      </c>
      <c r="D4" s="3">
        <v>3</v>
      </c>
      <c r="E4" s="3">
        <v>3</v>
      </c>
      <c r="F4" s="3">
        <v>2</v>
      </c>
      <c r="I4">
        <v>0</v>
      </c>
      <c r="J4" t="s">
        <v>237</v>
      </c>
      <c r="K4">
        <f>QUARTILE($B$12:$B$30,I4)</f>
        <v>3</v>
      </c>
      <c r="L4">
        <f t="shared" ref="L4:L7" si="0">QUARTILE($B$2:$B$11,I4)</f>
        <v>3</v>
      </c>
      <c r="M4" s="2">
        <f>QUARTILE($C$12:$C$30,I4)</f>
        <v>0</v>
      </c>
      <c r="N4">
        <f t="shared" ref="N4:N7" si="1">QUARTILE($C$2:$C$11,I4)</f>
        <v>1</v>
      </c>
      <c r="O4" s="2">
        <f>QUARTILE($D$12:$D$30,I4)</f>
        <v>0</v>
      </c>
      <c r="P4">
        <f t="shared" ref="P4:P7" si="2">QUARTILE($D$2:$D$11,I4)</f>
        <v>2</v>
      </c>
      <c r="Q4" s="2">
        <f t="shared" ref="Q4:Q7" si="3">QUARTILE($E$12:$E$30,I4)</f>
        <v>0</v>
      </c>
      <c r="R4">
        <f t="shared" ref="R4:R7" si="4">QUARTILE($E$2:$E$11,I4)</f>
        <v>3</v>
      </c>
      <c r="S4" s="2">
        <f t="shared" ref="S4:S7" si="5">QUARTILE($F$12:$F$30,I4)</f>
        <v>0</v>
      </c>
      <c r="T4">
        <f t="shared" ref="T4:T7" si="6">QUARTILE($F$2:$F$11,I4)</f>
        <v>0</v>
      </c>
    </row>
    <row r="5" spans="1:20" x14ac:dyDescent="0.2">
      <c r="A5" t="s">
        <v>3</v>
      </c>
      <c r="B5" s="3">
        <v>3</v>
      </c>
      <c r="C5" s="3">
        <v>3</v>
      </c>
      <c r="D5" s="3">
        <v>3</v>
      </c>
      <c r="E5" s="3">
        <v>3</v>
      </c>
      <c r="F5" s="3">
        <v>2</v>
      </c>
      <c r="I5">
        <v>2</v>
      </c>
      <c r="J5" t="s">
        <v>238</v>
      </c>
      <c r="K5">
        <f>QUARTILE($B$12:$B$30,I5)</f>
        <v>3</v>
      </c>
      <c r="L5">
        <f t="shared" si="0"/>
        <v>3</v>
      </c>
      <c r="M5" s="2">
        <f>QUARTILE($C$12:$C$30,I5)</f>
        <v>3</v>
      </c>
      <c r="N5">
        <f t="shared" si="1"/>
        <v>3</v>
      </c>
      <c r="O5" s="2">
        <f>QUARTILE($D$12:$D$30,I5)</f>
        <v>3</v>
      </c>
      <c r="P5">
        <f t="shared" si="2"/>
        <v>3</v>
      </c>
      <c r="Q5" s="2">
        <f t="shared" si="3"/>
        <v>3</v>
      </c>
      <c r="R5">
        <f t="shared" si="4"/>
        <v>3</v>
      </c>
      <c r="S5" s="2">
        <f>QUARTILE($F$12:$F$30,I5)</f>
        <v>0</v>
      </c>
      <c r="T5">
        <f t="shared" si="6"/>
        <v>0</v>
      </c>
    </row>
    <row r="6" spans="1:20" x14ac:dyDescent="0.2">
      <c r="A6" t="s">
        <v>4</v>
      </c>
      <c r="B6" s="3">
        <v>3</v>
      </c>
      <c r="C6" s="3">
        <v>1</v>
      </c>
      <c r="D6" s="3">
        <v>2</v>
      </c>
      <c r="E6" s="3">
        <v>3</v>
      </c>
      <c r="F6" s="3">
        <v>0</v>
      </c>
      <c r="I6">
        <v>4</v>
      </c>
      <c r="J6" t="s">
        <v>241</v>
      </c>
      <c r="K6">
        <f>QUARTILE($B$12:$B$30,I6)</f>
        <v>3</v>
      </c>
      <c r="L6">
        <f t="shared" si="0"/>
        <v>3</v>
      </c>
      <c r="M6" s="2">
        <f>QUARTILE($C$12:$C$30,I6)</f>
        <v>3</v>
      </c>
      <c r="N6">
        <f t="shared" si="1"/>
        <v>3</v>
      </c>
      <c r="O6" s="2">
        <f>QUARTILE($D$12:$D$30,I6)</f>
        <v>3</v>
      </c>
      <c r="P6">
        <f t="shared" si="2"/>
        <v>3</v>
      </c>
      <c r="Q6" s="2">
        <f t="shared" si="3"/>
        <v>3</v>
      </c>
      <c r="R6">
        <f t="shared" si="4"/>
        <v>3</v>
      </c>
      <c r="S6" s="2">
        <f t="shared" si="5"/>
        <v>2</v>
      </c>
      <c r="T6">
        <f t="shared" si="6"/>
        <v>2</v>
      </c>
    </row>
    <row r="7" spans="1:20" x14ac:dyDescent="0.2">
      <c r="A7" t="s">
        <v>7</v>
      </c>
      <c r="B7" s="3">
        <v>3</v>
      </c>
      <c r="C7" s="3">
        <v>3</v>
      </c>
      <c r="D7" s="3">
        <v>3</v>
      </c>
      <c r="E7" s="3">
        <v>3</v>
      </c>
      <c r="F7" s="3">
        <v>0</v>
      </c>
      <c r="I7">
        <v>3</v>
      </c>
      <c r="J7" t="s">
        <v>235</v>
      </c>
      <c r="K7">
        <f>QUARTILE($B$12:$B$30,I7)</f>
        <v>3</v>
      </c>
      <c r="L7">
        <f t="shared" si="0"/>
        <v>3</v>
      </c>
      <c r="M7" s="2">
        <f>QUARTILE($C$12:$C$30,I7)</f>
        <v>3</v>
      </c>
      <c r="N7">
        <f t="shared" si="1"/>
        <v>3</v>
      </c>
      <c r="O7" s="2">
        <f>QUARTILE($D$12:$D$30,I7)</f>
        <v>3</v>
      </c>
      <c r="P7">
        <f t="shared" si="2"/>
        <v>3</v>
      </c>
      <c r="Q7" s="2">
        <f t="shared" si="3"/>
        <v>3</v>
      </c>
      <c r="R7">
        <f t="shared" si="4"/>
        <v>3</v>
      </c>
      <c r="S7" s="2">
        <f t="shared" si="5"/>
        <v>0</v>
      </c>
      <c r="T7">
        <f t="shared" si="6"/>
        <v>1.75</v>
      </c>
    </row>
    <row r="8" spans="1:20" x14ac:dyDescent="0.2">
      <c r="A8" t="s">
        <v>8</v>
      </c>
      <c r="B8" s="3">
        <v>3</v>
      </c>
      <c r="C8" s="3">
        <v>3</v>
      </c>
      <c r="D8" s="3">
        <v>3</v>
      </c>
      <c r="E8" s="3">
        <v>3</v>
      </c>
      <c r="F8" s="3">
        <v>2</v>
      </c>
    </row>
    <row r="9" spans="1:20" x14ac:dyDescent="0.2">
      <c r="A9" t="s">
        <v>15</v>
      </c>
      <c r="B9" s="3">
        <v>3</v>
      </c>
      <c r="C9" s="3">
        <v>3</v>
      </c>
      <c r="D9" s="3">
        <v>3</v>
      </c>
      <c r="E9" s="3">
        <v>3</v>
      </c>
      <c r="F9" s="3">
        <v>1</v>
      </c>
    </row>
    <row r="10" spans="1:20" x14ac:dyDescent="0.2">
      <c r="A10" t="s">
        <v>17</v>
      </c>
      <c r="B10" s="3">
        <v>3</v>
      </c>
      <c r="C10" s="3">
        <v>3</v>
      </c>
      <c r="D10" s="3">
        <v>3</v>
      </c>
      <c r="E10" s="3">
        <v>3</v>
      </c>
      <c r="F10" s="3">
        <v>0</v>
      </c>
    </row>
    <row r="11" spans="1:20" x14ac:dyDescent="0.2">
      <c r="A11" t="s">
        <v>19</v>
      </c>
      <c r="B11" s="3">
        <v>3</v>
      </c>
      <c r="C11" s="3">
        <v>3</v>
      </c>
      <c r="D11" s="3">
        <v>3</v>
      </c>
      <c r="E11" s="3">
        <v>3</v>
      </c>
      <c r="F11" s="3">
        <v>0</v>
      </c>
    </row>
    <row r="12" spans="1:20" x14ac:dyDescent="0.2">
      <c r="A12" t="s">
        <v>20</v>
      </c>
      <c r="B12" s="3">
        <v>3</v>
      </c>
      <c r="C12" s="3">
        <v>3</v>
      </c>
      <c r="D12" s="3">
        <v>3</v>
      </c>
      <c r="E12" s="3">
        <v>3</v>
      </c>
      <c r="F12" s="3">
        <v>0</v>
      </c>
    </row>
    <row r="13" spans="1:20" x14ac:dyDescent="0.2">
      <c r="A13" t="s">
        <v>21</v>
      </c>
      <c r="B13" s="3">
        <v>3</v>
      </c>
      <c r="C13" s="3">
        <v>0</v>
      </c>
      <c r="D13" s="3">
        <v>0</v>
      </c>
      <c r="E13" s="3">
        <v>3</v>
      </c>
      <c r="F13" s="3">
        <v>0</v>
      </c>
    </row>
    <row r="14" spans="1:20" x14ac:dyDescent="0.2">
      <c r="A14" t="s">
        <v>22</v>
      </c>
      <c r="B14" s="3">
        <v>3</v>
      </c>
      <c r="C14" s="3">
        <v>3</v>
      </c>
      <c r="D14" s="3">
        <v>3</v>
      </c>
      <c r="E14" s="3">
        <v>3</v>
      </c>
      <c r="F14" s="3">
        <v>0</v>
      </c>
    </row>
    <row r="15" spans="1:20" x14ac:dyDescent="0.2">
      <c r="A15" t="s">
        <v>23</v>
      </c>
      <c r="B15" s="3">
        <v>3</v>
      </c>
      <c r="C15" s="3">
        <v>2</v>
      </c>
      <c r="D15" s="3">
        <v>2</v>
      </c>
      <c r="E15" s="3">
        <v>3</v>
      </c>
      <c r="F15" s="13">
        <v>1</v>
      </c>
    </row>
    <row r="16" spans="1:20" x14ac:dyDescent="0.2">
      <c r="A16" t="s">
        <v>24</v>
      </c>
      <c r="B16" s="3">
        <v>3</v>
      </c>
      <c r="C16" s="3">
        <v>1</v>
      </c>
      <c r="D16" s="3">
        <v>1</v>
      </c>
      <c r="E16" s="3">
        <v>3</v>
      </c>
      <c r="F16" s="3">
        <v>0</v>
      </c>
    </row>
    <row r="17" spans="1:6" x14ac:dyDescent="0.2">
      <c r="A17" t="s">
        <v>25</v>
      </c>
      <c r="B17" s="3">
        <v>3</v>
      </c>
      <c r="C17" s="3">
        <v>0</v>
      </c>
      <c r="D17" s="3">
        <v>0</v>
      </c>
      <c r="E17" s="36">
        <v>3</v>
      </c>
      <c r="F17" s="3">
        <v>0</v>
      </c>
    </row>
    <row r="18" spans="1:6" x14ac:dyDescent="0.2">
      <c r="A18" t="s">
        <v>27</v>
      </c>
      <c r="B18" s="3">
        <v>3</v>
      </c>
      <c r="C18" s="3">
        <v>0</v>
      </c>
      <c r="D18" s="3">
        <v>0</v>
      </c>
      <c r="E18" s="36">
        <v>3</v>
      </c>
      <c r="F18" s="3">
        <v>0</v>
      </c>
    </row>
    <row r="19" spans="1:6" x14ac:dyDescent="0.2">
      <c r="A19" t="s">
        <v>28</v>
      </c>
      <c r="B19" s="3">
        <v>3</v>
      </c>
      <c r="C19" s="3">
        <v>0</v>
      </c>
      <c r="D19" s="3">
        <v>0</v>
      </c>
      <c r="E19" s="36">
        <v>3</v>
      </c>
      <c r="F19" s="3">
        <v>0</v>
      </c>
    </row>
    <row r="20" spans="1:6" x14ac:dyDescent="0.2">
      <c r="A20" t="s">
        <v>29</v>
      </c>
      <c r="B20" s="3">
        <v>3</v>
      </c>
      <c r="C20" s="3">
        <v>3</v>
      </c>
      <c r="D20" s="3">
        <v>3</v>
      </c>
      <c r="E20" s="36">
        <v>3</v>
      </c>
      <c r="F20" s="3">
        <v>0</v>
      </c>
    </row>
    <row r="21" spans="1:6" x14ac:dyDescent="0.2">
      <c r="A21" t="s">
        <v>30</v>
      </c>
      <c r="B21" s="3">
        <v>3</v>
      </c>
      <c r="C21" s="3">
        <v>3</v>
      </c>
      <c r="D21" s="3">
        <v>3</v>
      </c>
      <c r="E21" s="36">
        <v>3</v>
      </c>
      <c r="F21" s="3">
        <v>0</v>
      </c>
    </row>
    <row r="22" spans="1:6" x14ac:dyDescent="0.2">
      <c r="A22" t="s">
        <v>31</v>
      </c>
      <c r="B22" s="3">
        <v>3</v>
      </c>
      <c r="C22" s="3">
        <v>3</v>
      </c>
      <c r="D22" s="3">
        <v>3</v>
      </c>
      <c r="E22" s="36">
        <v>3</v>
      </c>
      <c r="F22" s="3">
        <v>0</v>
      </c>
    </row>
    <row r="23" spans="1:6" x14ac:dyDescent="0.2">
      <c r="A23" t="s">
        <v>32</v>
      </c>
      <c r="B23" s="3">
        <v>3</v>
      </c>
      <c r="C23" s="3">
        <v>3</v>
      </c>
      <c r="D23" s="3">
        <v>3</v>
      </c>
      <c r="E23" s="36">
        <v>3</v>
      </c>
      <c r="F23" s="12">
        <v>2</v>
      </c>
    </row>
    <row r="24" spans="1:6" x14ac:dyDescent="0.2">
      <c r="A24" t="s">
        <v>33</v>
      </c>
      <c r="B24" s="3">
        <v>3</v>
      </c>
      <c r="C24" s="3">
        <v>2</v>
      </c>
      <c r="D24" s="3">
        <v>3</v>
      </c>
      <c r="E24" s="36">
        <v>3</v>
      </c>
      <c r="F24" s="3">
        <v>0</v>
      </c>
    </row>
    <row r="25" spans="1:6" x14ac:dyDescent="0.2">
      <c r="A25" t="s">
        <v>34</v>
      </c>
      <c r="B25" s="3">
        <v>3</v>
      </c>
      <c r="C25" s="3">
        <v>3</v>
      </c>
      <c r="D25" s="3">
        <v>3</v>
      </c>
      <c r="E25" s="36">
        <v>3</v>
      </c>
      <c r="F25" s="3">
        <v>0</v>
      </c>
    </row>
    <row r="26" spans="1:6" x14ac:dyDescent="0.2">
      <c r="A26" t="s">
        <v>35</v>
      </c>
      <c r="B26" s="3">
        <v>3</v>
      </c>
      <c r="C26" s="3">
        <v>3</v>
      </c>
      <c r="D26" s="3">
        <v>3</v>
      </c>
      <c r="E26" s="36">
        <v>3</v>
      </c>
      <c r="F26" s="3">
        <v>0</v>
      </c>
    </row>
    <row r="27" spans="1:6" x14ac:dyDescent="0.2">
      <c r="A27" t="s">
        <v>36</v>
      </c>
      <c r="B27" s="3">
        <v>3</v>
      </c>
      <c r="C27" s="3">
        <v>3</v>
      </c>
      <c r="D27" s="3">
        <v>3</v>
      </c>
      <c r="E27" s="36">
        <v>3</v>
      </c>
      <c r="F27" s="3">
        <v>2</v>
      </c>
    </row>
    <row r="28" spans="1:6" x14ac:dyDescent="0.2">
      <c r="A28" t="s">
        <v>37</v>
      </c>
      <c r="B28" s="3">
        <v>3</v>
      </c>
      <c r="C28" s="3">
        <v>3</v>
      </c>
      <c r="D28" s="3">
        <v>3</v>
      </c>
      <c r="E28" s="36">
        <v>0</v>
      </c>
      <c r="F28" s="3">
        <v>2</v>
      </c>
    </row>
    <row r="29" spans="1:6" x14ac:dyDescent="0.2">
      <c r="A29" t="s">
        <v>38</v>
      </c>
      <c r="B29" s="3">
        <v>3</v>
      </c>
      <c r="C29" s="3">
        <v>3</v>
      </c>
      <c r="D29" s="3">
        <v>3</v>
      </c>
      <c r="E29" s="36">
        <v>0</v>
      </c>
      <c r="F29" s="3">
        <v>0</v>
      </c>
    </row>
    <row r="30" spans="1:6" x14ac:dyDescent="0.2">
      <c r="A30" t="s">
        <v>39</v>
      </c>
      <c r="B30" s="3">
        <v>3</v>
      </c>
      <c r="C30" s="3">
        <v>2</v>
      </c>
      <c r="D30" s="3">
        <v>3</v>
      </c>
      <c r="E30" s="36">
        <v>3</v>
      </c>
      <c r="F30" s="3"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E7" sqref="E7"/>
    </sheetView>
  </sheetViews>
  <sheetFormatPr baseColWidth="10" defaultRowHeight="16" x14ac:dyDescent="0.2"/>
  <sheetData>
    <row r="1" spans="1:5" x14ac:dyDescent="0.2">
      <c r="B1" t="s">
        <v>79</v>
      </c>
      <c r="C1" t="s">
        <v>85</v>
      </c>
      <c r="D1" t="s">
        <v>83</v>
      </c>
      <c r="E1" t="s">
        <v>84</v>
      </c>
    </row>
    <row r="2" spans="1:5" x14ac:dyDescent="0.2">
      <c r="A2" t="s">
        <v>0</v>
      </c>
    </row>
    <row r="3" spans="1:5" x14ac:dyDescent="0.2">
      <c r="A3" s="3" t="s">
        <v>1</v>
      </c>
      <c r="C3" t="s">
        <v>80</v>
      </c>
      <c r="D3" t="s">
        <v>86</v>
      </c>
    </row>
    <row r="4" spans="1:5" x14ac:dyDescent="0.2">
      <c r="A4" t="s">
        <v>2</v>
      </c>
      <c r="C4" t="s">
        <v>81</v>
      </c>
      <c r="D4" t="s">
        <v>86</v>
      </c>
    </row>
    <row r="5" spans="1:5" x14ac:dyDescent="0.2">
      <c r="A5" t="s">
        <v>3</v>
      </c>
      <c r="D5" t="s">
        <v>86</v>
      </c>
      <c r="E5" t="s">
        <v>82</v>
      </c>
    </row>
    <row r="6" spans="1:5" x14ac:dyDescent="0.2">
      <c r="A6" t="s">
        <v>4</v>
      </c>
      <c r="E6">
        <f>3*250*0.2+(2*250*0.1)</f>
        <v>200</v>
      </c>
    </row>
    <row r="7" spans="1:5" x14ac:dyDescent="0.2">
      <c r="A7" t="s">
        <v>5</v>
      </c>
    </row>
    <row r="8" spans="1:5" x14ac:dyDescent="0.2">
      <c r="A8" t="s">
        <v>6</v>
      </c>
    </row>
    <row r="9" spans="1:5" x14ac:dyDescent="0.2">
      <c r="A9" t="s">
        <v>7</v>
      </c>
    </row>
    <row r="10" spans="1:5" x14ac:dyDescent="0.2">
      <c r="A10" t="s">
        <v>8</v>
      </c>
    </row>
    <row r="11" spans="1:5" x14ac:dyDescent="0.2">
      <c r="A11" t="s">
        <v>9</v>
      </c>
    </row>
    <row r="12" spans="1:5" x14ac:dyDescent="0.2">
      <c r="A12" t="s">
        <v>10</v>
      </c>
    </row>
    <row r="13" spans="1:5" x14ac:dyDescent="0.2">
      <c r="A13" t="s">
        <v>11</v>
      </c>
    </row>
    <row r="14" spans="1:5" x14ac:dyDescent="0.2">
      <c r="A14" t="s">
        <v>12</v>
      </c>
    </row>
    <row r="15" spans="1:5" x14ac:dyDescent="0.2">
      <c r="A15" t="s">
        <v>13</v>
      </c>
    </row>
    <row r="16" spans="1:5" x14ac:dyDescent="0.2">
      <c r="A16" t="s">
        <v>14</v>
      </c>
    </row>
    <row r="17" spans="1:1" x14ac:dyDescent="0.2">
      <c r="A17" t="s">
        <v>15</v>
      </c>
    </row>
    <row r="18" spans="1:1" x14ac:dyDescent="0.2">
      <c r="A18" t="s">
        <v>16</v>
      </c>
    </row>
    <row r="19" spans="1:1" x14ac:dyDescent="0.2">
      <c r="A19" t="s">
        <v>17</v>
      </c>
    </row>
    <row r="20" spans="1:1" x14ac:dyDescent="0.2">
      <c r="A20" t="s">
        <v>18</v>
      </c>
    </row>
    <row r="21" spans="1:1" x14ac:dyDescent="0.2">
      <c r="A21" s="3" t="s">
        <v>19</v>
      </c>
    </row>
    <row r="22" spans="1:1" x14ac:dyDescent="0.2">
      <c r="A22" t="s">
        <v>20</v>
      </c>
    </row>
    <row r="23" spans="1:1" x14ac:dyDescent="0.2">
      <c r="A23" t="s">
        <v>21</v>
      </c>
    </row>
    <row r="24" spans="1:1" x14ac:dyDescent="0.2">
      <c r="A24" t="s">
        <v>22</v>
      </c>
    </row>
    <row r="25" spans="1:1" x14ac:dyDescent="0.2">
      <c r="A25" t="s">
        <v>23</v>
      </c>
    </row>
    <row r="26" spans="1:1" x14ac:dyDescent="0.2">
      <c r="A26" t="s">
        <v>24</v>
      </c>
    </row>
    <row r="27" spans="1:1" x14ac:dyDescent="0.2">
      <c r="A27" t="s">
        <v>25</v>
      </c>
    </row>
    <row r="28" spans="1:1" x14ac:dyDescent="0.2">
      <c r="A28" t="s">
        <v>26</v>
      </c>
    </row>
    <row r="29" spans="1:1" x14ac:dyDescent="0.2">
      <c r="A29" t="s">
        <v>27</v>
      </c>
    </row>
    <row r="30" spans="1:1" x14ac:dyDescent="0.2">
      <c r="A30" t="s">
        <v>28</v>
      </c>
    </row>
    <row r="31" spans="1:1" x14ac:dyDescent="0.2">
      <c r="A31" t="s">
        <v>29</v>
      </c>
    </row>
    <row r="32" spans="1:1" x14ac:dyDescent="0.2">
      <c r="A32" t="s">
        <v>30</v>
      </c>
    </row>
    <row r="33" spans="1:1" x14ac:dyDescent="0.2">
      <c r="A33" t="s">
        <v>31</v>
      </c>
    </row>
    <row r="34" spans="1:1" x14ac:dyDescent="0.2">
      <c r="A34" t="s">
        <v>32</v>
      </c>
    </row>
    <row r="35" spans="1:1" x14ac:dyDescent="0.2">
      <c r="A35" t="s">
        <v>33</v>
      </c>
    </row>
    <row r="36" spans="1:1" x14ac:dyDescent="0.2">
      <c r="A36" t="s">
        <v>34</v>
      </c>
    </row>
    <row r="37" spans="1:1" x14ac:dyDescent="0.2">
      <c r="A37" t="s">
        <v>35</v>
      </c>
    </row>
    <row r="38" spans="1:1" x14ac:dyDescent="0.2">
      <c r="A38" t="s">
        <v>36</v>
      </c>
    </row>
    <row r="39" spans="1:1" x14ac:dyDescent="0.2">
      <c r="A39" t="s">
        <v>37</v>
      </c>
    </row>
    <row r="40" spans="1:1" x14ac:dyDescent="0.2">
      <c r="A40" t="s">
        <v>38</v>
      </c>
    </row>
    <row r="41" spans="1:1" x14ac:dyDescent="0.2">
      <c r="A41" t="s">
        <v>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7"/>
  <sheetViews>
    <sheetView tabSelected="1" topLeftCell="A2" zoomScale="110" zoomScaleNormal="110" zoomScalePageLayoutView="110" workbookViewId="0">
      <selection activeCell="S5" sqref="S5"/>
    </sheetView>
  </sheetViews>
  <sheetFormatPr baseColWidth="10" defaultRowHeight="16" x14ac:dyDescent="0.2"/>
  <sheetData>
    <row r="1" spans="1:25" ht="160" x14ac:dyDescent="0.2">
      <c r="A1" s="86" t="s">
        <v>88</v>
      </c>
      <c r="B1" s="27" t="s">
        <v>106</v>
      </c>
      <c r="D1" s="23" t="s">
        <v>95</v>
      </c>
      <c r="E1" s="28" t="s">
        <v>96</v>
      </c>
      <c r="G1" s="20" t="s">
        <v>89</v>
      </c>
      <c r="H1" s="27" t="s">
        <v>191</v>
      </c>
      <c r="J1" s="20" t="s">
        <v>90</v>
      </c>
      <c r="K1" s="27" t="s">
        <v>194</v>
      </c>
      <c r="N1" s="20" t="s">
        <v>87</v>
      </c>
      <c r="O1" s="27" t="s">
        <v>110</v>
      </c>
      <c r="R1" t="s">
        <v>147</v>
      </c>
      <c r="S1" s="24" t="s">
        <v>59</v>
      </c>
      <c r="U1" t="s">
        <v>148</v>
      </c>
      <c r="V1" s="24" t="s">
        <v>172</v>
      </c>
      <c r="X1" t="s">
        <v>149</v>
      </c>
      <c r="Y1" s="24" t="s">
        <v>59</v>
      </c>
    </row>
    <row r="2" spans="1:25" ht="100" x14ac:dyDescent="0.2">
      <c r="A2" s="87"/>
      <c r="B2" s="26" t="s">
        <v>107</v>
      </c>
      <c r="D2" s="23"/>
      <c r="E2" s="29" t="s">
        <v>97</v>
      </c>
      <c r="G2" s="21"/>
      <c r="H2" s="26" t="s">
        <v>107</v>
      </c>
      <c r="J2" s="21"/>
      <c r="K2" s="26" t="s">
        <v>71</v>
      </c>
      <c r="N2" s="21"/>
      <c r="O2" s="26" t="s">
        <v>111</v>
      </c>
      <c r="S2" s="25" t="s">
        <v>58</v>
      </c>
      <c r="V2" s="25" t="s">
        <v>173</v>
      </c>
      <c r="Y2" s="25" t="s">
        <v>58</v>
      </c>
    </row>
    <row r="3" spans="1:25" ht="80" x14ac:dyDescent="0.2">
      <c r="A3" s="87"/>
      <c r="B3" s="25" t="s">
        <v>114</v>
      </c>
      <c r="D3" s="23"/>
      <c r="E3" s="30" t="s">
        <v>98</v>
      </c>
      <c r="G3" s="21"/>
      <c r="H3" s="25" t="s">
        <v>192</v>
      </c>
      <c r="J3" s="21"/>
      <c r="K3" s="25" t="s">
        <v>195</v>
      </c>
      <c r="N3" s="21"/>
      <c r="O3" s="25" t="s">
        <v>112</v>
      </c>
      <c r="S3" s="26" t="s">
        <v>171</v>
      </c>
      <c r="V3" s="26" t="s">
        <v>174</v>
      </c>
      <c r="Y3" s="26" t="s">
        <v>171</v>
      </c>
    </row>
    <row r="4" spans="1:25" ht="81" thickBot="1" x14ac:dyDescent="0.25">
      <c r="A4" s="88"/>
      <c r="B4" s="24" t="s">
        <v>150</v>
      </c>
      <c r="D4" s="23"/>
      <c r="E4" s="31" t="s">
        <v>99</v>
      </c>
      <c r="G4" s="21"/>
      <c r="H4" s="24" t="s">
        <v>109</v>
      </c>
      <c r="J4" s="22"/>
      <c r="K4" s="24" t="s">
        <v>193</v>
      </c>
      <c r="N4" s="22"/>
      <c r="O4" s="24" t="s">
        <v>113</v>
      </c>
      <c r="S4" s="27" t="s">
        <v>56</v>
      </c>
      <c r="V4" s="27" t="s">
        <v>175</v>
      </c>
      <c r="Y4" s="27" t="s">
        <v>56</v>
      </c>
    </row>
    <row r="5" spans="1:25" ht="22" thickTop="1" thickBot="1" x14ac:dyDescent="0.25">
      <c r="G5" s="22"/>
    </row>
    <row r="6" spans="1:25" ht="17" thickTop="1" x14ac:dyDescent="0.2"/>
    <row r="8" spans="1:25" ht="20" x14ac:dyDescent="0.2">
      <c r="R8" t="s">
        <v>49</v>
      </c>
      <c r="T8" t="s">
        <v>50</v>
      </c>
      <c r="U8" s="4" t="s">
        <v>93</v>
      </c>
      <c r="V8" s="4" t="s">
        <v>92</v>
      </c>
    </row>
    <row r="9" spans="1:25" ht="20" x14ac:dyDescent="0.2">
      <c r="B9" t="s">
        <v>49</v>
      </c>
      <c r="D9" t="s">
        <v>50</v>
      </c>
      <c r="F9" s="4" t="s">
        <v>93</v>
      </c>
      <c r="G9" s="4" t="s">
        <v>92</v>
      </c>
      <c r="R9" t="s">
        <v>94</v>
      </c>
      <c r="S9" s="4" t="s">
        <v>87</v>
      </c>
      <c r="T9" s="4" t="s">
        <v>88</v>
      </c>
      <c r="U9" s="4" t="s">
        <v>90</v>
      </c>
      <c r="V9" t="s">
        <v>48</v>
      </c>
      <c r="W9" t="s">
        <v>91</v>
      </c>
      <c r="X9" t="s">
        <v>116</v>
      </c>
    </row>
    <row r="10" spans="1:25" ht="20" x14ac:dyDescent="0.2">
      <c r="B10" t="s">
        <v>94</v>
      </c>
      <c r="C10" s="4" t="s">
        <v>87</v>
      </c>
      <c r="D10" s="4" t="s">
        <v>88</v>
      </c>
      <c r="E10" s="4" t="s">
        <v>90</v>
      </c>
      <c r="F10" t="s">
        <v>48</v>
      </c>
      <c r="G10" t="s">
        <v>91</v>
      </c>
      <c r="H10" t="s">
        <v>116</v>
      </c>
      <c r="Q10" s="2" t="s">
        <v>20</v>
      </c>
      <c r="R10" s="2">
        <v>0</v>
      </c>
      <c r="S10" s="2">
        <v>3</v>
      </c>
      <c r="T10">
        <v>0</v>
      </c>
      <c r="U10" s="2">
        <v>0</v>
      </c>
      <c r="V10" s="2">
        <v>0</v>
      </c>
      <c r="W10" s="2">
        <v>1</v>
      </c>
      <c r="X10" s="2">
        <v>3</v>
      </c>
    </row>
    <row r="11" spans="1:25" x14ac:dyDescent="0.2">
      <c r="A11" s="2" t="s">
        <v>0</v>
      </c>
      <c r="B11">
        <v>0</v>
      </c>
      <c r="C11" s="2">
        <v>3</v>
      </c>
      <c r="D11" s="2">
        <v>2</v>
      </c>
      <c r="E11" s="2">
        <v>0</v>
      </c>
      <c r="F11" s="2">
        <v>0</v>
      </c>
      <c r="G11" s="2">
        <v>0</v>
      </c>
      <c r="H11" s="2">
        <v>3</v>
      </c>
      <c r="J11" s="2"/>
      <c r="Q11" s="2" t="s">
        <v>21</v>
      </c>
      <c r="R11" s="2">
        <v>3</v>
      </c>
      <c r="S11" s="2">
        <v>3</v>
      </c>
      <c r="T11">
        <v>1</v>
      </c>
      <c r="U11" s="2">
        <v>2</v>
      </c>
      <c r="V11" s="2">
        <v>0</v>
      </c>
      <c r="W11" s="2">
        <v>0</v>
      </c>
      <c r="X11" s="2">
        <v>3</v>
      </c>
    </row>
    <row r="12" spans="1:25" x14ac:dyDescent="0.2">
      <c r="A12" s="2" t="s">
        <v>1</v>
      </c>
      <c r="B12">
        <v>2</v>
      </c>
      <c r="C12" s="2">
        <v>3</v>
      </c>
      <c r="D12" s="2">
        <v>2</v>
      </c>
      <c r="E12" s="2">
        <v>1</v>
      </c>
      <c r="F12" s="2">
        <v>0</v>
      </c>
      <c r="G12" s="2">
        <v>0</v>
      </c>
      <c r="H12" s="2">
        <v>3</v>
      </c>
      <c r="J12" s="2"/>
      <c r="Q12" s="2" t="s">
        <v>22</v>
      </c>
      <c r="R12" s="2">
        <v>2</v>
      </c>
      <c r="S12" s="2">
        <v>3</v>
      </c>
      <c r="T12">
        <v>2</v>
      </c>
      <c r="U12" s="2">
        <v>1</v>
      </c>
      <c r="V12" s="2">
        <v>0</v>
      </c>
      <c r="W12" s="2">
        <v>0</v>
      </c>
      <c r="X12" s="2">
        <v>3</v>
      </c>
    </row>
    <row r="13" spans="1:25" x14ac:dyDescent="0.2">
      <c r="A13" s="2" t="s">
        <v>2</v>
      </c>
      <c r="B13" s="2">
        <v>3</v>
      </c>
      <c r="C13" s="2">
        <v>2</v>
      </c>
      <c r="D13" s="2">
        <v>1</v>
      </c>
      <c r="E13" s="2">
        <v>1</v>
      </c>
      <c r="F13" s="2">
        <v>0</v>
      </c>
      <c r="G13" s="2">
        <v>2</v>
      </c>
      <c r="H13" s="2">
        <v>3</v>
      </c>
      <c r="Q13" s="2" t="s">
        <v>23</v>
      </c>
      <c r="R13" s="2">
        <v>0</v>
      </c>
      <c r="S13" s="2">
        <v>3</v>
      </c>
      <c r="T13">
        <v>1</v>
      </c>
      <c r="U13" s="2">
        <v>1</v>
      </c>
      <c r="V13" s="2">
        <v>1</v>
      </c>
      <c r="W13" s="2">
        <v>0</v>
      </c>
      <c r="X13" s="2">
        <v>3</v>
      </c>
    </row>
    <row r="14" spans="1:25" x14ac:dyDescent="0.2">
      <c r="A14" s="2" t="s">
        <v>3</v>
      </c>
      <c r="B14" s="2">
        <v>0</v>
      </c>
      <c r="C14" s="2">
        <v>3</v>
      </c>
      <c r="D14" s="2">
        <v>2</v>
      </c>
      <c r="E14" s="2">
        <v>1</v>
      </c>
      <c r="F14" s="2">
        <v>0</v>
      </c>
      <c r="G14" s="2">
        <v>2</v>
      </c>
      <c r="H14" s="2">
        <v>1</v>
      </c>
      <c r="Q14" s="2" t="s">
        <v>24</v>
      </c>
      <c r="R14" s="2">
        <v>0</v>
      </c>
      <c r="S14" s="2">
        <v>3</v>
      </c>
      <c r="T14">
        <v>1</v>
      </c>
      <c r="U14" s="2">
        <v>1</v>
      </c>
      <c r="V14" s="2">
        <v>0</v>
      </c>
      <c r="W14" s="2">
        <v>0</v>
      </c>
      <c r="X14" s="2">
        <v>3</v>
      </c>
    </row>
    <row r="15" spans="1:25" x14ac:dyDescent="0.2">
      <c r="A15" s="2" t="s">
        <v>4</v>
      </c>
      <c r="B15">
        <v>1</v>
      </c>
      <c r="C15">
        <v>3</v>
      </c>
      <c r="D15">
        <v>0</v>
      </c>
      <c r="E15">
        <v>1</v>
      </c>
      <c r="F15">
        <v>3</v>
      </c>
      <c r="G15">
        <v>1</v>
      </c>
      <c r="H15">
        <v>3</v>
      </c>
      <c r="Q15" s="2" t="s">
        <v>25</v>
      </c>
      <c r="R15" s="2">
        <v>2</v>
      </c>
      <c r="S15" s="2">
        <v>1</v>
      </c>
      <c r="T15">
        <v>1</v>
      </c>
      <c r="U15" s="2">
        <v>1</v>
      </c>
      <c r="V15" s="2">
        <v>0</v>
      </c>
      <c r="W15" s="2">
        <v>0</v>
      </c>
      <c r="X15" s="2">
        <v>3</v>
      </c>
    </row>
    <row r="16" spans="1:25" x14ac:dyDescent="0.2">
      <c r="A16" s="2" t="s">
        <v>7</v>
      </c>
      <c r="B16" s="2">
        <v>0</v>
      </c>
      <c r="C16" s="2">
        <v>3</v>
      </c>
      <c r="D16" s="2">
        <v>2</v>
      </c>
      <c r="E16" s="2">
        <v>2</v>
      </c>
      <c r="F16" s="2">
        <v>0</v>
      </c>
      <c r="G16" s="2">
        <v>0</v>
      </c>
      <c r="H16" s="2">
        <v>3</v>
      </c>
      <c r="Q16" s="2" t="s">
        <v>27</v>
      </c>
      <c r="R16" s="2">
        <v>0</v>
      </c>
      <c r="S16" s="2">
        <v>1</v>
      </c>
      <c r="T16">
        <v>1</v>
      </c>
      <c r="U16" s="2">
        <v>1</v>
      </c>
      <c r="V16" s="2">
        <v>0</v>
      </c>
      <c r="W16" s="2">
        <v>0</v>
      </c>
      <c r="X16" s="2">
        <v>2</v>
      </c>
    </row>
    <row r="17" spans="1:33" x14ac:dyDescent="0.2">
      <c r="A17" s="2" t="s">
        <v>8</v>
      </c>
      <c r="B17" s="2">
        <v>2</v>
      </c>
      <c r="C17" s="2">
        <v>1</v>
      </c>
      <c r="D17" s="2">
        <v>1</v>
      </c>
      <c r="E17" s="2">
        <v>1</v>
      </c>
      <c r="F17" s="2">
        <v>0</v>
      </c>
      <c r="G17" s="2">
        <v>0</v>
      </c>
      <c r="H17" s="2">
        <v>3</v>
      </c>
      <c r="Q17" s="2" t="s">
        <v>28</v>
      </c>
      <c r="R17" s="2">
        <v>0</v>
      </c>
      <c r="S17" s="2">
        <v>3</v>
      </c>
      <c r="T17">
        <v>1</v>
      </c>
      <c r="U17" s="2">
        <v>1</v>
      </c>
      <c r="V17" s="2">
        <v>1</v>
      </c>
      <c r="W17" s="2">
        <v>0</v>
      </c>
      <c r="X17" s="2">
        <v>0</v>
      </c>
    </row>
    <row r="18" spans="1:33" x14ac:dyDescent="0.2">
      <c r="A18" s="2" t="s">
        <v>15</v>
      </c>
      <c r="B18" s="2">
        <v>1</v>
      </c>
      <c r="C18" s="2">
        <v>2</v>
      </c>
      <c r="D18" s="2">
        <v>1</v>
      </c>
      <c r="E18" s="2">
        <v>1</v>
      </c>
      <c r="F18" s="2">
        <v>0</v>
      </c>
      <c r="G18" s="2">
        <v>2</v>
      </c>
      <c r="H18" s="2">
        <v>3</v>
      </c>
      <c r="Q18" s="2" t="s">
        <v>29</v>
      </c>
      <c r="R18" s="2">
        <v>1</v>
      </c>
      <c r="S18" s="2">
        <v>3</v>
      </c>
      <c r="T18">
        <v>0</v>
      </c>
      <c r="U18" s="2">
        <v>1</v>
      </c>
      <c r="V18" s="2">
        <v>1</v>
      </c>
      <c r="W18" s="2">
        <v>0</v>
      </c>
      <c r="X18" s="2">
        <v>3</v>
      </c>
    </row>
    <row r="19" spans="1:33" x14ac:dyDescent="0.2">
      <c r="A19" s="2" t="s">
        <v>17</v>
      </c>
      <c r="B19" s="2">
        <v>3</v>
      </c>
      <c r="C19" s="2">
        <v>3</v>
      </c>
      <c r="D19" s="2">
        <v>3</v>
      </c>
      <c r="E19" s="2">
        <v>2</v>
      </c>
      <c r="F19" s="2">
        <v>1</v>
      </c>
      <c r="G19" s="2">
        <v>0</v>
      </c>
      <c r="H19" s="2">
        <v>2</v>
      </c>
      <c r="Q19" s="2" t="s">
        <v>30</v>
      </c>
      <c r="R19" s="2">
        <v>0</v>
      </c>
      <c r="S19" s="2">
        <v>3</v>
      </c>
      <c r="T19">
        <v>1</v>
      </c>
      <c r="U19" s="2">
        <v>1</v>
      </c>
      <c r="V19" s="2">
        <v>1</v>
      </c>
      <c r="W19" s="2">
        <v>0</v>
      </c>
      <c r="X19" s="2">
        <v>0</v>
      </c>
    </row>
    <row r="20" spans="1:33" x14ac:dyDescent="0.2">
      <c r="A20" s="2" t="s">
        <v>19</v>
      </c>
      <c r="B20" s="2">
        <v>1</v>
      </c>
      <c r="C20" s="2">
        <v>3</v>
      </c>
      <c r="D20" s="2">
        <v>3</v>
      </c>
      <c r="E20" s="2">
        <v>1</v>
      </c>
      <c r="F20" s="2">
        <v>0</v>
      </c>
      <c r="G20" s="2">
        <v>0</v>
      </c>
      <c r="H20" s="2">
        <v>3</v>
      </c>
      <c r="Q20" s="2" t="s">
        <v>31</v>
      </c>
      <c r="R20" s="2">
        <v>2</v>
      </c>
      <c r="S20" s="2">
        <v>2</v>
      </c>
      <c r="T20">
        <v>1</v>
      </c>
      <c r="U20" s="2">
        <v>1</v>
      </c>
      <c r="V20" s="2">
        <v>0</v>
      </c>
      <c r="W20" s="2">
        <v>0</v>
      </c>
      <c r="X20" s="2">
        <v>0</v>
      </c>
    </row>
    <row r="21" spans="1:33" x14ac:dyDescent="0.2">
      <c r="Q21" s="2" t="s">
        <v>32</v>
      </c>
      <c r="R21" s="2">
        <v>2</v>
      </c>
      <c r="S21" s="2">
        <v>1</v>
      </c>
      <c r="T21">
        <v>1</v>
      </c>
      <c r="U21" s="2">
        <v>1</v>
      </c>
      <c r="V21" s="2">
        <v>0</v>
      </c>
      <c r="W21" s="2">
        <v>0</v>
      </c>
      <c r="X21" s="2">
        <v>2</v>
      </c>
    </row>
    <row r="22" spans="1:33" x14ac:dyDescent="0.2">
      <c r="A22" s="2"/>
      <c r="B22" s="2"/>
      <c r="C22" s="2"/>
      <c r="D22" s="2"/>
      <c r="E22" s="2"/>
      <c r="F22" s="2"/>
      <c r="G22" s="2"/>
      <c r="H22" s="2"/>
      <c r="I22" s="2"/>
      <c r="Q22" s="2" t="s">
        <v>33</v>
      </c>
      <c r="R22" s="2">
        <v>2</v>
      </c>
      <c r="S22" s="2">
        <v>0</v>
      </c>
      <c r="T22">
        <v>1</v>
      </c>
      <c r="U22" s="2">
        <v>1</v>
      </c>
      <c r="V22" s="2">
        <v>0</v>
      </c>
      <c r="W22" s="2">
        <v>0</v>
      </c>
      <c r="X22" s="2">
        <v>1</v>
      </c>
    </row>
    <row r="23" spans="1:33" ht="20" x14ac:dyDescent="0.2">
      <c r="B23" t="s">
        <v>49</v>
      </c>
      <c r="D23" t="s">
        <v>50</v>
      </c>
      <c r="F23" s="4" t="s">
        <v>93</v>
      </c>
      <c r="G23" s="4" t="s">
        <v>92</v>
      </c>
      <c r="Q23" s="2" t="s">
        <v>34</v>
      </c>
      <c r="R23" s="2">
        <v>2</v>
      </c>
      <c r="S23" s="2">
        <v>0</v>
      </c>
      <c r="T23">
        <v>1</v>
      </c>
      <c r="U23" s="2">
        <v>1</v>
      </c>
      <c r="V23" s="2">
        <v>0</v>
      </c>
      <c r="W23" s="2">
        <v>0</v>
      </c>
      <c r="X23" s="2">
        <v>0</v>
      </c>
      <c r="AE23">
        <f>7/40</f>
        <v>0.17499999999999999</v>
      </c>
    </row>
    <row r="24" spans="1:33" ht="20" x14ac:dyDescent="0.2">
      <c r="A24" s="2"/>
      <c r="B24" t="s">
        <v>94</v>
      </c>
      <c r="C24" s="4" t="s">
        <v>87</v>
      </c>
      <c r="D24" s="4" t="s">
        <v>88</v>
      </c>
      <c r="E24" s="4" t="s">
        <v>89</v>
      </c>
      <c r="F24" s="4" t="s">
        <v>90</v>
      </c>
      <c r="G24" t="s">
        <v>48</v>
      </c>
      <c r="H24" t="s">
        <v>91</v>
      </c>
      <c r="I24" t="s">
        <v>116</v>
      </c>
      <c r="Q24" s="2" t="s">
        <v>35</v>
      </c>
      <c r="R24" s="2">
        <v>0</v>
      </c>
      <c r="S24" s="2">
        <v>0</v>
      </c>
      <c r="T24">
        <v>0</v>
      </c>
      <c r="U24" s="2">
        <v>1</v>
      </c>
      <c r="V24" s="2">
        <v>0</v>
      </c>
      <c r="W24" s="2">
        <v>0</v>
      </c>
      <c r="X24" s="2">
        <v>0</v>
      </c>
    </row>
    <row r="25" spans="1:33" x14ac:dyDescent="0.2">
      <c r="A25" t="s">
        <v>247</v>
      </c>
      <c r="B25">
        <f>AVERAGE(B11:B20)</f>
        <v>1.3</v>
      </c>
      <c r="C25">
        <f>AVERAGE(C11:C20)</f>
        <v>2.6</v>
      </c>
      <c r="D25">
        <f>AVERAGE(D11:D20)</f>
        <v>1.7</v>
      </c>
      <c r="E25" t="e">
        <f>AVERAGE(#REF!)</f>
        <v>#REF!</v>
      </c>
      <c r="F25">
        <f>AVERAGE(E11:E20)</f>
        <v>1.1000000000000001</v>
      </c>
      <c r="G25">
        <f>AVERAGE(F11:F20)</f>
        <v>0.4</v>
      </c>
      <c r="H25">
        <f>AVERAGE(G11:G20)</f>
        <v>0.7</v>
      </c>
      <c r="I25">
        <f>AVERAGE(H11:H20)</f>
        <v>2.7</v>
      </c>
      <c r="Q25" s="2" t="s">
        <v>36</v>
      </c>
      <c r="R25" s="2">
        <v>0</v>
      </c>
      <c r="S25" s="2">
        <v>1</v>
      </c>
      <c r="T25">
        <v>3</v>
      </c>
      <c r="U25" s="2">
        <v>2</v>
      </c>
      <c r="V25" s="2">
        <v>0</v>
      </c>
      <c r="W25" s="2">
        <v>2</v>
      </c>
      <c r="X25" s="2">
        <v>0</v>
      </c>
    </row>
    <row r="26" spans="1:33" x14ac:dyDescent="0.2">
      <c r="A26" t="s">
        <v>146</v>
      </c>
      <c r="B26">
        <f>AVERAGE(R10:R28)</f>
        <v>1.263157894736842</v>
      </c>
      <c r="C26">
        <f>AVERAGE(S10:S28)</f>
        <v>1.736842105263158</v>
      </c>
      <c r="D26">
        <f>AVERAGE(T10:T28)</f>
        <v>1.0526315789473684</v>
      </c>
      <c r="E26" t="e">
        <f>AVERAGE(#REF!)</f>
        <v>#REF!</v>
      </c>
      <c r="F26">
        <f>AVERAGE(U10:U28)</f>
        <v>1</v>
      </c>
      <c r="G26">
        <f>AVERAGE(V10:V28)</f>
        <v>0.26315789473684209</v>
      </c>
      <c r="H26">
        <f>AVERAGE(W10:W28)</f>
        <v>0.21052631578947367</v>
      </c>
      <c r="I26">
        <f>AVERAGE(X10:X28)</f>
        <v>1.6842105263157894</v>
      </c>
      <c r="Q26" s="2" t="s">
        <v>37</v>
      </c>
      <c r="R26" s="2">
        <v>3</v>
      </c>
      <c r="S26" s="2">
        <v>2</v>
      </c>
      <c r="T26">
        <v>1</v>
      </c>
      <c r="U26" s="2">
        <v>1</v>
      </c>
      <c r="V26" s="2">
        <v>1</v>
      </c>
      <c r="W26" s="2">
        <v>0</v>
      </c>
      <c r="X26" s="2">
        <v>0</v>
      </c>
    </row>
    <row r="27" spans="1:33" x14ac:dyDescent="0.2">
      <c r="Q27" s="2" t="s">
        <v>38</v>
      </c>
      <c r="R27" s="2">
        <v>2</v>
      </c>
      <c r="S27" s="2">
        <v>1</v>
      </c>
      <c r="T27">
        <v>2</v>
      </c>
      <c r="U27" s="2">
        <v>1</v>
      </c>
      <c r="V27" s="2">
        <v>0</v>
      </c>
      <c r="W27" s="2">
        <v>1</v>
      </c>
      <c r="X27" s="2">
        <v>3</v>
      </c>
    </row>
    <row r="28" spans="1:33" ht="20" x14ac:dyDescent="0.2">
      <c r="B28" t="s">
        <v>49</v>
      </c>
      <c r="D28" t="s">
        <v>50</v>
      </c>
      <c r="E28" s="4" t="s">
        <v>93</v>
      </c>
      <c r="F28" s="4" t="s">
        <v>92</v>
      </c>
      <c r="Q28" s="2" t="s">
        <v>39</v>
      </c>
      <c r="R28" s="2">
        <v>3</v>
      </c>
      <c r="S28" s="2">
        <v>0</v>
      </c>
      <c r="T28">
        <v>1</v>
      </c>
      <c r="U28" s="2">
        <v>0</v>
      </c>
      <c r="V28" s="2">
        <v>0</v>
      </c>
      <c r="W28" s="2">
        <v>0</v>
      </c>
      <c r="X28" s="2">
        <v>3</v>
      </c>
    </row>
    <row r="29" spans="1:33" ht="20" x14ac:dyDescent="0.2">
      <c r="B29" t="s">
        <v>186</v>
      </c>
      <c r="C29" s="4" t="s">
        <v>187</v>
      </c>
      <c r="D29" s="4" t="s">
        <v>188</v>
      </c>
      <c r="E29" s="4" t="s">
        <v>231</v>
      </c>
      <c r="F29" t="s">
        <v>189</v>
      </c>
      <c r="G29" t="s">
        <v>148</v>
      </c>
      <c r="H29" t="s">
        <v>149</v>
      </c>
    </row>
    <row r="30" spans="1:33" x14ac:dyDescent="0.2">
      <c r="A30" t="s">
        <v>247</v>
      </c>
      <c r="B30" s="13">
        <v>1</v>
      </c>
      <c r="C30" s="11">
        <v>3</v>
      </c>
      <c r="D30" s="12">
        <v>2</v>
      </c>
      <c r="E30" s="13">
        <v>1</v>
      </c>
      <c r="F30" s="14">
        <v>0</v>
      </c>
      <c r="G30" s="13">
        <v>1</v>
      </c>
      <c r="H30" s="11">
        <v>3</v>
      </c>
      <c r="Q30" s="2"/>
      <c r="R30" s="2"/>
      <c r="S30" s="2"/>
    </row>
    <row r="31" spans="1:33" ht="17" thickBot="1" x14ac:dyDescent="0.25">
      <c r="A31" t="s">
        <v>73</v>
      </c>
      <c r="B31" s="13">
        <v>1</v>
      </c>
      <c r="C31" s="12">
        <v>2</v>
      </c>
      <c r="D31" s="13">
        <v>1</v>
      </c>
      <c r="E31" s="13">
        <v>1</v>
      </c>
      <c r="F31" s="14">
        <v>0</v>
      </c>
      <c r="G31" s="14">
        <v>0</v>
      </c>
      <c r="H31" s="13">
        <v>2</v>
      </c>
    </row>
    <row r="32" spans="1:33" ht="160" x14ac:dyDescent="0.2">
      <c r="B32" t="s">
        <v>94</v>
      </c>
      <c r="C32" s="4" t="s">
        <v>87</v>
      </c>
      <c r="D32" s="4" t="s">
        <v>88</v>
      </c>
      <c r="E32" s="4" t="s">
        <v>89</v>
      </c>
      <c r="F32" s="4" t="s">
        <v>90</v>
      </c>
      <c r="G32" t="s">
        <v>48</v>
      </c>
      <c r="H32" t="s">
        <v>91</v>
      </c>
      <c r="I32" t="s">
        <v>116</v>
      </c>
      <c r="Q32" s="83" t="s">
        <v>88</v>
      </c>
      <c r="R32" s="80" t="s">
        <v>105</v>
      </c>
      <c r="S32" s="6" t="s">
        <v>106</v>
      </c>
      <c r="T32" t="s">
        <v>95</v>
      </c>
      <c r="U32" t="s">
        <v>96</v>
      </c>
      <c r="V32">
        <v>0</v>
      </c>
      <c r="W32" s="5" t="s">
        <v>89</v>
      </c>
      <c r="X32" s="6" t="s">
        <v>100</v>
      </c>
      <c r="Y32" s="6" t="s">
        <v>101</v>
      </c>
      <c r="AA32" s="5" t="s">
        <v>90</v>
      </c>
      <c r="AB32" s="6" t="s">
        <v>105</v>
      </c>
      <c r="AC32" s="6" t="s">
        <v>106</v>
      </c>
      <c r="AE32" s="5" t="s">
        <v>87</v>
      </c>
      <c r="AF32" s="6" t="s">
        <v>105</v>
      </c>
      <c r="AG32" s="6" t="s">
        <v>110</v>
      </c>
    </row>
    <row r="33" spans="1:33" ht="60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Q33" s="84"/>
      <c r="R33" s="81"/>
      <c r="S33" s="7" t="s">
        <v>107</v>
      </c>
      <c r="U33" t="s">
        <v>97</v>
      </c>
      <c r="V33">
        <v>1</v>
      </c>
      <c r="W33" s="9"/>
      <c r="X33" s="7"/>
      <c r="Y33" s="7" t="s">
        <v>102</v>
      </c>
      <c r="AA33" s="9"/>
      <c r="AB33" s="7"/>
      <c r="AC33" s="7" t="s">
        <v>107</v>
      </c>
      <c r="AE33" s="9"/>
      <c r="AF33" s="7"/>
      <c r="AG33" s="7" t="s">
        <v>111</v>
      </c>
    </row>
    <row r="34" spans="1:33" ht="80" x14ac:dyDescent="0.2">
      <c r="K34" s="3"/>
      <c r="Q34" s="84"/>
      <c r="R34" s="81"/>
      <c r="S34" s="7" t="s">
        <v>114</v>
      </c>
      <c r="U34" t="s">
        <v>98</v>
      </c>
      <c r="V34">
        <v>2</v>
      </c>
      <c r="W34" s="9"/>
      <c r="X34" s="7"/>
      <c r="Y34" s="7" t="s">
        <v>58</v>
      </c>
      <c r="AA34" s="9"/>
      <c r="AB34" s="7"/>
      <c r="AC34" s="7" t="s">
        <v>108</v>
      </c>
      <c r="AE34" s="9"/>
      <c r="AF34" s="7"/>
      <c r="AG34" s="7" t="s">
        <v>112</v>
      </c>
    </row>
    <row r="35" spans="1:33" ht="81" thickBot="1" x14ac:dyDescent="0.25">
      <c r="Q35" s="85"/>
      <c r="R35" s="82"/>
      <c r="S35" s="8" t="s">
        <v>115</v>
      </c>
      <c r="U35" t="s">
        <v>99</v>
      </c>
      <c r="V35">
        <v>3</v>
      </c>
      <c r="W35" s="9"/>
      <c r="X35" s="7"/>
      <c r="Y35" s="7" t="s">
        <v>103</v>
      </c>
      <c r="AA35" s="10"/>
      <c r="AB35" s="8"/>
      <c r="AC35" s="8" t="s">
        <v>109</v>
      </c>
      <c r="AE35" s="10"/>
      <c r="AF35" s="8"/>
      <c r="AG35" s="8" t="s">
        <v>113</v>
      </c>
    </row>
    <row r="36" spans="1:33" ht="22" thickTop="1" thickBot="1" x14ac:dyDescent="0.25">
      <c r="W36" s="10"/>
      <c r="X36" s="8"/>
      <c r="Y36" s="8" t="s">
        <v>104</v>
      </c>
    </row>
    <row r="37" spans="1:33" ht="17" thickTop="1" x14ac:dyDescent="0.2"/>
  </sheetData>
  <mergeCells count="3">
    <mergeCell ref="R32:R35"/>
    <mergeCell ref="Q32:Q35"/>
    <mergeCell ref="A1:A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opLeftCell="H1" zoomScale="130" zoomScaleNormal="130" zoomScalePageLayoutView="130" workbookViewId="0">
      <selection activeCell="Q3" sqref="Q3"/>
    </sheetView>
  </sheetViews>
  <sheetFormatPr baseColWidth="10" defaultRowHeight="16" x14ac:dyDescent="0.2"/>
  <sheetData>
    <row r="1" spans="1:28" ht="20" x14ac:dyDescent="0.2">
      <c r="A1" s="2"/>
      <c r="B1" t="s">
        <v>94</v>
      </c>
      <c r="C1" s="4" t="s">
        <v>87</v>
      </c>
      <c r="D1" s="4" t="s">
        <v>88</v>
      </c>
      <c r="E1" s="4" t="s">
        <v>90</v>
      </c>
      <c r="F1" t="s">
        <v>48</v>
      </c>
      <c r="G1" t="s">
        <v>91</v>
      </c>
      <c r="H1" t="s">
        <v>116</v>
      </c>
      <c r="O1" t="s">
        <v>283</v>
      </c>
      <c r="Q1" s="4" t="s">
        <v>248</v>
      </c>
      <c r="S1" s="4" t="s">
        <v>249</v>
      </c>
      <c r="U1" s="4" t="s">
        <v>250</v>
      </c>
      <c r="W1" t="s">
        <v>147</v>
      </c>
      <c r="Y1" t="s">
        <v>251</v>
      </c>
      <c r="AA1" t="s">
        <v>252</v>
      </c>
    </row>
    <row r="2" spans="1:28" x14ac:dyDescent="0.2">
      <c r="A2" s="2" t="s">
        <v>0</v>
      </c>
      <c r="B2">
        <v>0</v>
      </c>
      <c r="C2" s="2">
        <v>3</v>
      </c>
      <c r="D2" s="2">
        <v>2</v>
      </c>
      <c r="E2" s="2">
        <v>0</v>
      </c>
      <c r="F2" s="2">
        <v>0</v>
      </c>
      <c r="G2" s="2">
        <v>0</v>
      </c>
      <c r="H2" s="2">
        <v>3</v>
      </c>
      <c r="O2" t="s">
        <v>73</v>
      </c>
      <c r="P2" t="s">
        <v>247</v>
      </c>
      <c r="Q2" t="s">
        <v>73</v>
      </c>
      <c r="R2" t="s">
        <v>247</v>
      </c>
      <c r="S2" t="s">
        <v>73</v>
      </c>
      <c r="T2" t="s">
        <v>247</v>
      </c>
      <c r="U2" t="s">
        <v>73</v>
      </c>
      <c r="V2" t="s">
        <v>247</v>
      </c>
      <c r="W2" t="s">
        <v>73</v>
      </c>
      <c r="X2" t="s">
        <v>247</v>
      </c>
      <c r="Y2" t="s">
        <v>73</v>
      </c>
      <c r="Z2" t="s">
        <v>247</v>
      </c>
      <c r="AA2" t="s">
        <v>73</v>
      </c>
      <c r="AB2" t="s">
        <v>247</v>
      </c>
    </row>
    <row r="3" spans="1:28" x14ac:dyDescent="0.2">
      <c r="A3" s="2" t="s">
        <v>1</v>
      </c>
      <c r="B3">
        <v>2</v>
      </c>
      <c r="C3" s="2">
        <v>3</v>
      </c>
      <c r="D3" s="2">
        <v>2</v>
      </c>
      <c r="E3" s="2">
        <v>1</v>
      </c>
      <c r="F3" s="2">
        <v>0</v>
      </c>
      <c r="G3" s="2">
        <v>0</v>
      </c>
      <c r="H3" s="2">
        <v>3</v>
      </c>
      <c r="M3">
        <v>1</v>
      </c>
      <c r="N3" t="s">
        <v>233</v>
      </c>
      <c r="O3">
        <f>QUARTILE($B$12:$B$30,M3)</f>
        <v>0</v>
      </c>
      <c r="P3">
        <f>QUARTILE($B$2:$B$11,M3)</f>
        <v>0.25</v>
      </c>
      <c r="Q3" s="2">
        <f>QUARTILE($C$12:$C$30,M3)</f>
        <v>1</v>
      </c>
      <c r="R3">
        <f>QUARTILE($C$2:$C$11,M3)</f>
        <v>2.25</v>
      </c>
      <c r="S3" s="2">
        <f>QUARTILE($D$12:$D$30,M3)</f>
        <v>1</v>
      </c>
      <c r="T3">
        <f>QUARTILE($D$2:$D$11,M3)</f>
        <v>1</v>
      </c>
      <c r="U3" s="2">
        <f>QUARTILE($E$12:$E$30,M3)</f>
        <v>1</v>
      </c>
      <c r="V3">
        <f>QUARTILE($E$2:$E$11,M3)</f>
        <v>1</v>
      </c>
      <c r="W3" s="2">
        <f>QUARTILE($F$12:$F$30,M3)</f>
        <v>0</v>
      </c>
      <c r="X3">
        <f>QUARTILE($F$2:$F$11,M3)</f>
        <v>0</v>
      </c>
      <c r="Y3" s="2">
        <f>QUARTILE($G$12:$G$30,M3)</f>
        <v>0</v>
      </c>
      <c r="Z3">
        <f t="shared" ref="Z3:Z7" si="0">QUARTILE($G$1:$G$10,M3)</f>
        <v>0</v>
      </c>
      <c r="AA3" s="2">
        <f>QUARTILE($H$12:$H$30,M3)</f>
        <v>0</v>
      </c>
      <c r="AB3">
        <f>QUARTILE($H$2:$H$11,M3)</f>
        <v>3</v>
      </c>
    </row>
    <row r="4" spans="1:28" x14ac:dyDescent="0.2">
      <c r="A4" s="2" t="s">
        <v>2</v>
      </c>
      <c r="B4" s="2">
        <v>3</v>
      </c>
      <c r="C4" s="2">
        <v>2</v>
      </c>
      <c r="D4" s="2">
        <v>1</v>
      </c>
      <c r="E4" s="2">
        <v>1</v>
      </c>
      <c r="F4" s="2">
        <v>0</v>
      </c>
      <c r="G4" s="2">
        <v>2</v>
      </c>
      <c r="H4" s="2">
        <v>3</v>
      </c>
      <c r="M4">
        <v>0</v>
      </c>
      <c r="N4" t="s">
        <v>237</v>
      </c>
      <c r="O4">
        <f>QUARTILE($B$12:$B$30,M4)</f>
        <v>0</v>
      </c>
      <c r="P4">
        <f t="shared" ref="P4:P7" si="1">QUARTILE($B$2:$B$11,M4)</f>
        <v>0</v>
      </c>
      <c r="Q4" s="2">
        <f>QUARTILE($C$12:$C$30,M4)</f>
        <v>0</v>
      </c>
      <c r="R4">
        <f t="shared" ref="R4:R7" si="2">QUARTILE($C$2:$C$11,M4)</f>
        <v>1</v>
      </c>
      <c r="S4" s="2">
        <f>QUARTILE($D$12:$D$30,M4)</f>
        <v>0</v>
      </c>
      <c r="T4">
        <f t="shared" ref="T4:T7" si="3">QUARTILE($D$2:$D$11,M4)</f>
        <v>0</v>
      </c>
      <c r="U4" s="2">
        <f t="shared" ref="U4:U7" si="4">QUARTILE($E$12:$E$30,M4)</f>
        <v>0</v>
      </c>
      <c r="V4">
        <f t="shared" ref="V4:V7" si="5">QUARTILE($E$2:$E$11,M4)</f>
        <v>0</v>
      </c>
      <c r="W4" s="2">
        <f t="shared" ref="W4:W7" si="6">QUARTILE($F$12:$F$30,M4)</f>
        <v>0</v>
      </c>
      <c r="X4">
        <f t="shared" ref="X4:X7" si="7">QUARTILE($F$2:$F$11,M4)</f>
        <v>0</v>
      </c>
      <c r="Y4" s="2">
        <f>QUARTILE($G$12:$G$30,M4)</f>
        <v>0</v>
      </c>
      <c r="Z4">
        <f t="shared" si="0"/>
        <v>0</v>
      </c>
      <c r="AA4" s="2">
        <f t="shared" ref="AA4" si="8">QUARTILE($H$12:$H$30,M4)</f>
        <v>0</v>
      </c>
      <c r="AB4">
        <f>QUARTILE($H$2:$H$11,M4)</f>
        <v>1</v>
      </c>
    </row>
    <row r="5" spans="1:28" x14ac:dyDescent="0.2">
      <c r="A5" s="2" t="s">
        <v>3</v>
      </c>
      <c r="B5" s="2">
        <v>0</v>
      </c>
      <c r="C5" s="2">
        <v>3</v>
      </c>
      <c r="D5" s="2">
        <v>2</v>
      </c>
      <c r="E5" s="2">
        <v>1</v>
      </c>
      <c r="F5" s="2">
        <v>0</v>
      </c>
      <c r="G5" s="2">
        <v>2</v>
      </c>
      <c r="H5" s="2">
        <v>1</v>
      </c>
      <c r="M5">
        <v>2</v>
      </c>
      <c r="N5" t="s">
        <v>238</v>
      </c>
      <c r="O5">
        <f>QUARTILE($B$12:$B$30,M5)</f>
        <v>2</v>
      </c>
      <c r="P5">
        <f>QUARTILE($B$2:$B$11,M5)</f>
        <v>1</v>
      </c>
      <c r="Q5" s="2">
        <f>QUARTILE($C$12:$C$30,M5)</f>
        <v>2</v>
      </c>
      <c r="R5">
        <f t="shared" si="2"/>
        <v>3</v>
      </c>
      <c r="S5" s="2">
        <f>QUARTILE($D$12:$D$30,M5)</f>
        <v>1</v>
      </c>
      <c r="T5">
        <f t="shared" si="3"/>
        <v>2</v>
      </c>
      <c r="U5" s="2">
        <f t="shared" si="4"/>
        <v>1</v>
      </c>
      <c r="V5">
        <f t="shared" si="5"/>
        <v>1</v>
      </c>
      <c r="W5" s="2">
        <f>QUARTILE($F$12:$F$30,M5)</f>
        <v>0</v>
      </c>
      <c r="X5">
        <f t="shared" si="7"/>
        <v>0</v>
      </c>
      <c r="Y5" s="2">
        <f t="shared" ref="Y5:Y7" si="9">QUARTILE($G$12:$G$30,M5)</f>
        <v>0</v>
      </c>
      <c r="Z5">
        <f t="shared" si="0"/>
        <v>0</v>
      </c>
      <c r="AA5" s="2">
        <f>QUARTILE($H$12:$H$30,M5)</f>
        <v>2</v>
      </c>
      <c r="AB5">
        <f t="shared" ref="AB5:AB7" si="10">QUARTILE($H$2:$H$11,M5)</f>
        <v>3</v>
      </c>
    </row>
    <row r="6" spans="1:28" x14ac:dyDescent="0.2">
      <c r="A6" s="2" t="s">
        <v>4</v>
      </c>
      <c r="B6">
        <v>1</v>
      </c>
      <c r="C6">
        <v>3</v>
      </c>
      <c r="D6">
        <v>0</v>
      </c>
      <c r="E6">
        <v>1</v>
      </c>
      <c r="F6">
        <v>3</v>
      </c>
      <c r="G6">
        <v>1</v>
      </c>
      <c r="H6">
        <v>3</v>
      </c>
      <c r="M6">
        <v>4</v>
      </c>
      <c r="N6" t="s">
        <v>241</v>
      </c>
      <c r="O6">
        <f>QUARTILE($B$12:$B$30,M6)</f>
        <v>3</v>
      </c>
      <c r="P6">
        <f t="shared" si="1"/>
        <v>3</v>
      </c>
      <c r="Q6" s="2">
        <f>QUARTILE($C$12:$C$30,M6)</f>
        <v>3</v>
      </c>
      <c r="R6">
        <f t="shared" si="2"/>
        <v>3</v>
      </c>
      <c r="S6" s="2">
        <f>QUARTILE($D$12:$D$30,M6)</f>
        <v>3</v>
      </c>
      <c r="T6">
        <f t="shared" si="3"/>
        <v>3</v>
      </c>
      <c r="U6" s="2">
        <f t="shared" si="4"/>
        <v>2</v>
      </c>
      <c r="V6">
        <f t="shared" si="5"/>
        <v>2</v>
      </c>
      <c r="W6" s="2">
        <f t="shared" si="6"/>
        <v>1</v>
      </c>
      <c r="X6">
        <f t="shared" si="7"/>
        <v>3</v>
      </c>
      <c r="Y6" s="2">
        <f t="shared" si="9"/>
        <v>2</v>
      </c>
      <c r="Z6">
        <f t="shared" si="0"/>
        <v>2</v>
      </c>
      <c r="AA6" s="2">
        <f t="shared" ref="AA6:AA7" si="11">QUARTILE($H$12:$H$30,M6)</f>
        <v>3</v>
      </c>
      <c r="AB6">
        <f t="shared" si="10"/>
        <v>3</v>
      </c>
    </row>
    <row r="7" spans="1:28" x14ac:dyDescent="0.2">
      <c r="A7" s="2" t="s">
        <v>7</v>
      </c>
      <c r="B7" s="2">
        <v>0</v>
      </c>
      <c r="C7" s="2">
        <v>3</v>
      </c>
      <c r="D7" s="2">
        <v>2</v>
      </c>
      <c r="E7" s="2">
        <v>2</v>
      </c>
      <c r="F7" s="2">
        <v>0</v>
      </c>
      <c r="G7" s="2">
        <v>0</v>
      </c>
      <c r="H7" s="2">
        <v>3</v>
      </c>
      <c r="M7">
        <v>3</v>
      </c>
      <c r="N7" t="s">
        <v>235</v>
      </c>
      <c r="O7">
        <f>QUARTILE($B$12:$B$30,M7)</f>
        <v>2</v>
      </c>
      <c r="P7">
        <f t="shared" si="1"/>
        <v>2</v>
      </c>
      <c r="Q7" s="2">
        <f>QUARTILE($C$12:$C$30,M7)</f>
        <v>3</v>
      </c>
      <c r="R7">
        <f t="shared" si="2"/>
        <v>3</v>
      </c>
      <c r="S7" s="2">
        <f>QUARTILE($D$12:$D$30,M7)</f>
        <v>1</v>
      </c>
      <c r="T7">
        <f t="shared" si="3"/>
        <v>2</v>
      </c>
      <c r="U7" s="2">
        <f t="shared" si="4"/>
        <v>1</v>
      </c>
      <c r="V7">
        <f t="shared" si="5"/>
        <v>1</v>
      </c>
      <c r="W7" s="2">
        <f t="shared" si="6"/>
        <v>0.5</v>
      </c>
      <c r="X7">
        <f t="shared" si="7"/>
        <v>0</v>
      </c>
      <c r="Y7" s="2">
        <f t="shared" si="9"/>
        <v>0</v>
      </c>
      <c r="Z7">
        <f t="shared" si="0"/>
        <v>2</v>
      </c>
      <c r="AA7" s="2">
        <f t="shared" si="11"/>
        <v>3</v>
      </c>
      <c r="AB7">
        <f t="shared" si="10"/>
        <v>3</v>
      </c>
    </row>
    <row r="8" spans="1:28" x14ac:dyDescent="0.2">
      <c r="A8" s="2" t="s">
        <v>8</v>
      </c>
      <c r="B8" s="2">
        <v>2</v>
      </c>
      <c r="C8" s="2">
        <v>1</v>
      </c>
      <c r="D8" s="2">
        <v>1</v>
      </c>
      <c r="E8" s="2">
        <v>1</v>
      </c>
      <c r="F8" s="2">
        <v>0</v>
      </c>
      <c r="G8" s="2">
        <v>0</v>
      </c>
      <c r="H8" s="2">
        <v>3</v>
      </c>
      <c r="N8" t="s">
        <v>279</v>
      </c>
      <c r="O8">
        <f>AVERAGE(B12:B30)</f>
        <v>1.263157894736842</v>
      </c>
      <c r="P8">
        <f>AVERAGE(B2:B11)</f>
        <v>1.3</v>
      </c>
      <c r="Q8">
        <f>AVERAGE(C12:C30)</f>
        <v>1.736842105263158</v>
      </c>
      <c r="R8">
        <f>AVERAGE(C2:C11)</f>
        <v>2.6</v>
      </c>
      <c r="S8">
        <f>AVERAGE(D12:D30)</f>
        <v>1.0526315789473684</v>
      </c>
      <c r="T8">
        <f>AVERAGE(D2:D11)</f>
        <v>1.7</v>
      </c>
      <c r="U8">
        <f>AVERAGE(E12:E30)</f>
        <v>1</v>
      </c>
      <c r="V8">
        <f>AVERAGE(E2:E11)</f>
        <v>1.1000000000000001</v>
      </c>
      <c r="W8">
        <f>AVERAGE(F12:F30)</f>
        <v>0.26315789473684209</v>
      </c>
      <c r="X8">
        <f>AVERAGE(F2:F11)</f>
        <v>0.4</v>
      </c>
      <c r="Y8">
        <f>AVERAGE(G12:G30)</f>
        <v>0.21052631578947367</v>
      </c>
      <c r="Z8">
        <f>AVERAGE(G2:G11)</f>
        <v>0.7</v>
      </c>
      <c r="AA8">
        <f>AVERAGE(H12:H30)</f>
        <v>1.6842105263157894</v>
      </c>
      <c r="AB8">
        <f>AVERAGE(H2:H11)</f>
        <v>2.7</v>
      </c>
    </row>
    <row r="9" spans="1:28" x14ac:dyDescent="0.2">
      <c r="A9" s="2" t="s">
        <v>15</v>
      </c>
      <c r="B9" s="2">
        <v>1</v>
      </c>
      <c r="C9" s="2">
        <v>2</v>
      </c>
      <c r="D9" s="2">
        <v>1</v>
      </c>
      <c r="E9" s="2">
        <v>1</v>
      </c>
      <c r="F9" s="2">
        <v>0</v>
      </c>
      <c r="G9" s="2">
        <v>2</v>
      </c>
      <c r="H9" s="2">
        <v>3</v>
      </c>
    </row>
    <row r="10" spans="1:28" x14ac:dyDescent="0.2">
      <c r="A10" s="2" t="s">
        <v>17</v>
      </c>
      <c r="B10" s="2">
        <v>3</v>
      </c>
      <c r="C10" s="2">
        <v>3</v>
      </c>
      <c r="D10" s="2">
        <v>3</v>
      </c>
      <c r="E10" s="2">
        <v>2</v>
      </c>
      <c r="F10" s="2">
        <v>1</v>
      </c>
      <c r="G10" s="2">
        <v>0</v>
      </c>
      <c r="H10" s="2">
        <v>2</v>
      </c>
    </row>
    <row r="11" spans="1:28" ht="20" x14ac:dyDescent="0.2">
      <c r="A11" s="2" t="s">
        <v>19</v>
      </c>
      <c r="B11" s="2">
        <v>1</v>
      </c>
      <c r="C11" s="2">
        <v>3</v>
      </c>
      <c r="D11" s="2">
        <v>3</v>
      </c>
      <c r="E11" s="2">
        <v>1</v>
      </c>
      <c r="F11" s="2">
        <v>0</v>
      </c>
      <c r="G11" s="2">
        <v>0</v>
      </c>
      <c r="H11" s="2">
        <v>3</v>
      </c>
      <c r="V11" s="4" t="s">
        <v>249</v>
      </c>
    </row>
    <row r="12" spans="1:28" x14ac:dyDescent="0.2">
      <c r="A12" s="2" t="s">
        <v>20</v>
      </c>
      <c r="B12" s="2">
        <v>0</v>
      </c>
      <c r="C12" s="2">
        <v>3</v>
      </c>
      <c r="D12">
        <v>0</v>
      </c>
      <c r="E12" s="2">
        <v>0</v>
      </c>
      <c r="F12" s="2">
        <v>0</v>
      </c>
      <c r="G12" s="2">
        <v>1</v>
      </c>
      <c r="H12" s="2">
        <v>3</v>
      </c>
      <c r="V12" t="s">
        <v>73</v>
      </c>
      <c r="W12" t="s">
        <v>247</v>
      </c>
    </row>
    <row r="13" spans="1:28" x14ac:dyDescent="0.2">
      <c r="A13" s="2" t="s">
        <v>21</v>
      </c>
      <c r="B13" s="2">
        <v>3</v>
      </c>
      <c r="C13" s="2">
        <v>3</v>
      </c>
      <c r="D13">
        <v>1</v>
      </c>
      <c r="E13" s="2">
        <v>2</v>
      </c>
      <c r="F13" s="2">
        <v>0</v>
      </c>
      <c r="G13" s="2">
        <v>0</v>
      </c>
      <c r="H13" s="2">
        <v>3</v>
      </c>
      <c r="U13" t="s">
        <v>233</v>
      </c>
      <c r="V13" s="2">
        <f t="shared" ref="V13:W17" si="12">S3</f>
        <v>1</v>
      </c>
      <c r="W13">
        <f t="shared" si="12"/>
        <v>1</v>
      </c>
    </row>
    <row r="14" spans="1:28" x14ac:dyDescent="0.2">
      <c r="A14" s="2" t="s">
        <v>22</v>
      </c>
      <c r="B14" s="2">
        <v>2</v>
      </c>
      <c r="C14" s="2">
        <v>3</v>
      </c>
      <c r="D14">
        <v>2</v>
      </c>
      <c r="E14" s="2">
        <v>1</v>
      </c>
      <c r="F14" s="2">
        <v>0</v>
      </c>
      <c r="G14" s="2">
        <v>0</v>
      </c>
      <c r="H14" s="2">
        <v>3</v>
      </c>
      <c r="O14" s="79"/>
      <c r="U14" t="s">
        <v>237</v>
      </c>
      <c r="V14" s="2">
        <f t="shared" si="12"/>
        <v>0</v>
      </c>
      <c r="W14">
        <f t="shared" si="12"/>
        <v>0</v>
      </c>
    </row>
    <row r="15" spans="1:28" x14ac:dyDescent="0.2">
      <c r="A15" s="2" t="s">
        <v>23</v>
      </c>
      <c r="B15" s="2">
        <v>0</v>
      </c>
      <c r="C15" s="2">
        <v>3</v>
      </c>
      <c r="D15">
        <v>1</v>
      </c>
      <c r="E15" s="2">
        <v>1</v>
      </c>
      <c r="F15" s="2">
        <v>1</v>
      </c>
      <c r="G15" s="2">
        <v>0</v>
      </c>
      <c r="H15" s="2">
        <v>3</v>
      </c>
      <c r="O15" s="79"/>
      <c r="U15" t="s">
        <v>238</v>
      </c>
      <c r="V15" s="2">
        <f t="shared" si="12"/>
        <v>1</v>
      </c>
      <c r="W15">
        <f t="shared" si="12"/>
        <v>2</v>
      </c>
    </row>
    <row r="16" spans="1:28" x14ac:dyDescent="0.2">
      <c r="A16" s="2" t="s">
        <v>24</v>
      </c>
      <c r="B16" s="2">
        <v>0</v>
      </c>
      <c r="C16" s="2">
        <v>3</v>
      </c>
      <c r="D16">
        <v>1</v>
      </c>
      <c r="E16" s="2">
        <v>1</v>
      </c>
      <c r="F16" s="2">
        <v>0</v>
      </c>
      <c r="G16" s="2">
        <v>0</v>
      </c>
      <c r="H16" s="2">
        <v>3</v>
      </c>
      <c r="O16" s="79"/>
      <c r="U16" t="s">
        <v>241</v>
      </c>
      <c r="V16" s="2">
        <f t="shared" si="12"/>
        <v>3</v>
      </c>
      <c r="W16">
        <f t="shared" si="12"/>
        <v>3</v>
      </c>
    </row>
    <row r="17" spans="1:23" x14ac:dyDescent="0.2">
      <c r="A17" s="2" t="s">
        <v>25</v>
      </c>
      <c r="B17" s="2">
        <v>2</v>
      </c>
      <c r="C17" s="2">
        <v>1</v>
      </c>
      <c r="D17">
        <v>1</v>
      </c>
      <c r="E17" s="2">
        <v>1</v>
      </c>
      <c r="F17" s="2">
        <v>0</v>
      </c>
      <c r="G17" s="2">
        <v>0</v>
      </c>
      <c r="H17" s="2">
        <v>3</v>
      </c>
      <c r="O17" s="79"/>
      <c r="U17" t="s">
        <v>235</v>
      </c>
      <c r="V17" s="2">
        <f t="shared" si="12"/>
        <v>1</v>
      </c>
      <c r="W17">
        <f t="shared" si="12"/>
        <v>2</v>
      </c>
    </row>
    <row r="18" spans="1:23" x14ac:dyDescent="0.2">
      <c r="A18" s="2" t="s">
        <v>27</v>
      </c>
      <c r="B18" s="2">
        <v>0</v>
      </c>
      <c r="C18" s="2">
        <v>1</v>
      </c>
      <c r="D18">
        <v>1</v>
      </c>
      <c r="E18" s="2">
        <v>1</v>
      </c>
      <c r="F18" s="2">
        <v>0</v>
      </c>
      <c r="G18" s="2">
        <v>0</v>
      </c>
      <c r="H18" s="2">
        <v>2</v>
      </c>
      <c r="O18" s="79"/>
    </row>
    <row r="19" spans="1:23" x14ac:dyDescent="0.2">
      <c r="A19" s="2" t="s">
        <v>28</v>
      </c>
      <c r="B19" s="2">
        <v>0</v>
      </c>
      <c r="C19" s="2">
        <v>3</v>
      </c>
      <c r="D19">
        <v>1</v>
      </c>
      <c r="E19" s="2">
        <v>1</v>
      </c>
      <c r="F19" s="2">
        <v>1</v>
      </c>
      <c r="G19" s="2">
        <v>0</v>
      </c>
      <c r="H19" s="2">
        <v>0</v>
      </c>
    </row>
    <row r="20" spans="1:23" x14ac:dyDescent="0.2">
      <c r="A20" s="2" t="s">
        <v>29</v>
      </c>
      <c r="B20" s="2">
        <v>1</v>
      </c>
      <c r="C20" s="2">
        <v>3</v>
      </c>
      <c r="D20">
        <v>0</v>
      </c>
      <c r="E20" s="2">
        <v>1</v>
      </c>
      <c r="F20" s="2">
        <v>1</v>
      </c>
      <c r="G20" s="2">
        <v>0</v>
      </c>
      <c r="H20" s="2">
        <v>3</v>
      </c>
    </row>
    <row r="21" spans="1:23" x14ac:dyDescent="0.2">
      <c r="A21" s="2" t="s">
        <v>30</v>
      </c>
      <c r="B21" s="2">
        <v>0</v>
      </c>
      <c r="C21" s="2">
        <v>3</v>
      </c>
      <c r="D21">
        <v>1</v>
      </c>
      <c r="E21" s="2">
        <v>1</v>
      </c>
      <c r="F21" s="2">
        <v>1</v>
      </c>
      <c r="G21" s="2">
        <v>0</v>
      </c>
      <c r="H21" s="2">
        <v>0</v>
      </c>
    </row>
    <row r="22" spans="1:23" x14ac:dyDescent="0.2">
      <c r="A22" s="2" t="s">
        <v>31</v>
      </c>
      <c r="B22" s="2">
        <v>2</v>
      </c>
      <c r="C22" s="2">
        <v>2</v>
      </c>
      <c r="D22">
        <v>1</v>
      </c>
      <c r="E22" s="2">
        <v>1</v>
      </c>
      <c r="F22" s="2">
        <v>0</v>
      </c>
      <c r="G22" s="2">
        <v>0</v>
      </c>
      <c r="H22" s="2">
        <v>0</v>
      </c>
    </row>
    <row r="23" spans="1:23" x14ac:dyDescent="0.2">
      <c r="A23" s="2" t="s">
        <v>32</v>
      </c>
      <c r="B23" s="2">
        <v>2</v>
      </c>
      <c r="C23" s="2">
        <v>1</v>
      </c>
      <c r="D23">
        <v>1</v>
      </c>
      <c r="E23" s="2">
        <v>1</v>
      </c>
      <c r="F23" s="2">
        <v>0</v>
      </c>
      <c r="G23" s="2">
        <v>0</v>
      </c>
      <c r="H23" s="2">
        <v>2</v>
      </c>
    </row>
    <row r="24" spans="1:23" x14ac:dyDescent="0.2">
      <c r="A24" s="2" t="s">
        <v>33</v>
      </c>
      <c r="B24" s="2">
        <v>2</v>
      </c>
      <c r="C24" s="2">
        <v>0</v>
      </c>
      <c r="D24">
        <v>1</v>
      </c>
      <c r="E24" s="2">
        <v>1</v>
      </c>
      <c r="F24" s="2">
        <v>0</v>
      </c>
      <c r="G24" s="2">
        <v>0</v>
      </c>
      <c r="H24" s="2">
        <v>1</v>
      </c>
    </row>
    <row r="25" spans="1:23" x14ac:dyDescent="0.2">
      <c r="A25" s="2" t="s">
        <v>34</v>
      </c>
      <c r="B25" s="2">
        <v>2</v>
      </c>
      <c r="C25" s="2">
        <v>0</v>
      </c>
      <c r="D25">
        <v>1</v>
      </c>
      <c r="E25" s="2">
        <v>1</v>
      </c>
      <c r="F25" s="2">
        <v>0</v>
      </c>
      <c r="G25" s="2">
        <v>0</v>
      </c>
      <c r="H25" s="2">
        <v>0</v>
      </c>
    </row>
    <row r="26" spans="1:23" x14ac:dyDescent="0.2">
      <c r="A26" s="2" t="s">
        <v>35</v>
      </c>
      <c r="B26" s="2">
        <v>0</v>
      </c>
      <c r="C26" s="2">
        <v>0</v>
      </c>
      <c r="D26">
        <v>0</v>
      </c>
      <c r="E26" s="2">
        <v>1</v>
      </c>
      <c r="F26" s="2">
        <v>0</v>
      </c>
      <c r="G26" s="2">
        <v>0</v>
      </c>
      <c r="H26" s="2">
        <v>0</v>
      </c>
    </row>
    <row r="27" spans="1:23" x14ac:dyDescent="0.2">
      <c r="A27" s="2" t="s">
        <v>36</v>
      </c>
      <c r="B27" s="2">
        <v>0</v>
      </c>
      <c r="C27" s="2">
        <v>1</v>
      </c>
      <c r="D27">
        <v>3</v>
      </c>
      <c r="E27" s="2">
        <v>2</v>
      </c>
      <c r="F27" s="2">
        <v>0</v>
      </c>
      <c r="G27" s="2">
        <v>2</v>
      </c>
      <c r="H27" s="2">
        <v>0</v>
      </c>
    </row>
    <row r="28" spans="1:23" x14ac:dyDescent="0.2">
      <c r="A28" s="2" t="s">
        <v>37</v>
      </c>
      <c r="B28" s="2">
        <v>3</v>
      </c>
      <c r="C28" s="2">
        <v>2</v>
      </c>
      <c r="D28">
        <v>1</v>
      </c>
      <c r="E28" s="2">
        <v>1</v>
      </c>
      <c r="F28" s="2">
        <v>1</v>
      </c>
      <c r="G28" s="2">
        <v>0</v>
      </c>
      <c r="H28" s="2">
        <v>0</v>
      </c>
    </row>
    <row r="29" spans="1:23" x14ac:dyDescent="0.2">
      <c r="A29" s="2" t="s">
        <v>38</v>
      </c>
      <c r="B29" s="2">
        <v>2</v>
      </c>
      <c r="C29" s="2">
        <v>1</v>
      </c>
      <c r="D29">
        <v>2</v>
      </c>
      <c r="E29" s="2">
        <v>1</v>
      </c>
      <c r="F29" s="2">
        <v>0</v>
      </c>
      <c r="G29" s="2">
        <v>1</v>
      </c>
      <c r="H29" s="2">
        <v>3</v>
      </c>
    </row>
    <row r="30" spans="1:23" x14ac:dyDescent="0.2">
      <c r="A30" s="2" t="s">
        <v>39</v>
      </c>
      <c r="B30" s="2">
        <v>3</v>
      </c>
      <c r="C30" s="2">
        <v>0</v>
      </c>
      <c r="D30">
        <v>1</v>
      </c>
      <c r="E30" s="2">
        <v>0</v>
      </c>
      <c r="F30" s="2">
        <v>0</v>
      </c>
      <c r="G30" s="2">
        <v>0</v>
      </c>
      <c r="H30" s="2">
        <v>3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zoomScale="99" workbookViewId="0">
      <selection activeCell="C1" sqref="C1"/>
    </sheetView>
  </sheetViews>
  <sheetFormatPr baseColWidth="10" defaultRowHeight="16" x14ac:dyDescent="0.2"/>
  <sheetData>
    <row r="1" spans="1:8" ht="20" x14ac:dyDescent="0.2">
      <c r="A1" s="2"/>
      <c r="B1" t="s">
        <v>94</v>
      </c>
      <c r="C1" s="4" t="s">
        <v>87</v>
      </c>
      <c r="D1" s="4" t="s">
        <v>88</v>
      </c>
      <c r="E1" s="4" t="s">
        <v>90</v>
      </c>
      <c r="F1" t="s">
        <v>48</v>
      </c>
      <c r="G1" t="s">
        <v>91</v>
      </c>
      <c r="H1" t="s">
        <v>116</v>
      </c>
    </row>
    <row r="2" spans="1:8" x14ac:dyDescent="0.2">
      <c r="A2" s="2" t="s">
        <v>0</v>
      </c>
      <c r="B2">
        <v>0</v>
      </c>
      <c r="C2" s="2">
        <v>3</v>
      </c>
      <c r="D2" s="2">
        <v>2</v>
      </c>
      <c r="E2" s="2">
        <v>0</v>
      </c>
      <c r="F2" s="2">
        <v>0</v>
      </c>
      <c r="G2" s="2">
        <v>0</v>
      </c>
      <c r="H2" s="2">
        <v>3</v>
      </c>
    </row>
    <row r="3" spans="1:8" x14ac:dyDescent="0.2">
      <c r="A3" s="2" t="s">
        <v>1</v>
      </c>
      <c r="B3">
        <v>2</v>
      </c>
      <c r="C3" s="2">
        <v>3</v>
      </c>
      <c r="D3" s="2">
        <v>2</v>
      </c>
      <c r="E3" s="2">
        <v>1</v>
      </c>
      <c r="F3" s="2">
        <v>0</v>
      </c>
      <c r="G3" s="2">
        <v>0</v>
      </c>
      <c r="H3" s="2">
        <v>3</v>
      </c>
    </row>
    <row r="4" spans="1:8" x14ac:dyDescent="0.2">
      <c r="A4" s="2" t="s">
        <v>2</v>
      </c>
      <c r="B4" s="2">
        <v>3</v>
      </c>
      <c r="C4" s="2">
        <v>2</v>
      </c>
      <c r="D4" s="2">
        <v>1</v>
      </c>
      <c r="E4" s="2">
        <v>1</v>
      </c>
      <c r="F4" s="2">
        <v>0</v>
      </c>
      <c r="G4" s="2">
        <v>2</v>
      </c>
      <c r="H4" s="2">
        <v>3</v>
      </c>
    </row>
    <row r="5" spans="1:8" x14ac:dyDescent="0.2">
      <c r="A5" s="2" t="s">
        <v>3</v>
      </c>
      <c r="B5" s="2">
        <v>0</v>
      </c>
      <c r="C5" s="2">
        <v>3</v>
      </c>
      <c r="D5" s="2">
        <v>2</v>
      </c>
      <c r="E5" s="2">
        <v>1</v>
      </c>
      <c r="F5" s="2">
        <v>0</v>
      </c>
      <c r="G5" s="2">
        <v>2</v>
      </c>
      <c r="H5" s="2">
        <v>1</v>
      </c>
    </row>
    <row r="6" spans="1:8" x14ac:dyDescent="0.2">
      <c r="A6" s="2" t="s">
        <v>4</v>
      </c>
      <c r="B6">
        <v>1</v>
      </c>
      <c r="C6">
        <v>3</v>
      </c>
      <c r="D6">
        <v>0</v>
      </c>
      <c r="E6">
        <v>1</v>
      </c>
      <c r="F6">
        <v>3</v>
      </c>
      <c r="G6">
        <v>1</v>
      </c>
      <c r="H6">
        <v>3</v>
      </c>
    </row>
    <row r="7" spans="1:8" x14ac:dyDescent="0.2">
      <c r="A7" s="2" t="s">
        <v>7</v>
      </c>
      <c r="B7" s="2">
        <v>0</v>
      </c>
      <c r="C7" s="2">
        <v>3</v>
      </c>
      <c r="D7" s="2">
        <v>2</v>
      </c>
      <c r="E7" s="2">
        <v>2</v>
      </c>
      <c r="F7" s="2">
        <v>0</v>
      </c>
      <c r="G7" s="2">
        <v>0</v>
      </c>
      <c r="H7" s="2">
        <v>3</v>
      </c>
    </row>
    <row r="8" spans="1:8" x14ac:dyDescent="0.2">
      <c r="A8" s="2" t="s">
        <v>8</v>
      </c>
      <c r="B8" s="2">
        <v>2</v>
      </c>
      <c r="C8" s="2">
        <v>1</v>
      </c>
      <c r="D8" s="2">
        <v>1</v>
      </c>
      <c r="E8" s="2">
        <v>1</v>
      </c>
      <c r="F8" s="2">
        <v>0</v>
      </c>
      <c r="G8" s="2">
        <v>0</v>
      </c>
      <c r="H8" s="2">
        <v>3</v>
      </c>
    </row>
    <row r="9" spans="1:8" x14ac:dyDescent="0.2">
      <c r="A9" s="2" t="s">
        <v>15</v>
      </c>
      <c r="B9" s="2">
        <v>1</v>
      </c>
      <c r="C9" s="2">
        <v>2</v>
      </c>
      <c r="D9" s="2">
        <v>1</v>
      </c>
      <c r="E9" s="2">
        <v>1</v>
      </c>
      <c r="F9" s="2">
        <v>0</v>
      </c>
      <c r="G9" s="2">
        <v>2</v>
      </c>
      <c r="H9" s="2">
        <v>3</v>
      </c>
    </row>
    <row r="10" spans="1:8" x14ac:dyDescent="0.2">
      <c r="A10" s="2" t="s">
        <v>17</v>
      </c>
      <c r="B10" s="2">
        <v>3</v>
      </c>
      <c r="C10" s="2">
        <v>3</v>
      </c>
      <c r="D10" s="2">
        <v>3</v>
      </c>
      <c r="E10" s="2">
        <v>2</v>
      </c>
      <c r="F10" s="2">
        <v>1</v>
      </c>
      <c r="G10" s="2">
        <v>0</v>
      </c>
      <c r="H10" s="2">
        <v>2</v>
      </c>
    </row>
    <row r="11" spans="1:8" x14ac:dyDescent="0.2">
      <c r="A11" s="2" t="s">
        <v>19</v>
      </c>
      <c r="B11" s="2">
        <v>1</v>
      </c>
      <c r="C11" s="2">
        <v>3</v>
      </c>
      <c r="D11" s="2">
        <v>3</v>
      </c>
      <c r="E11" s="2">
        <v>1</v>
      </c>
      <c r="F11" s="2">
        <v>0</v>
      </c>
      <c r="G11" s="2">
        <v>0</v>
      </c>
      <c r="H11" s="2">
        <v>3</v>
      </c>
    </row>
    <row r="12" spans="1:8" x14ac:dyDescent="0.2">
      <c r="A12" s="2"/>
      <c r="B12" s="2"/>
      <c r="C12" s="2"/>
      <c r="E12" s="2"/>
      <c r="F12" s="2"/>
      <c r="G12" s="2"/>
      <c r="H12" s="2"/>
    </row>
    <row r="13" spans="1:8" x14ac:dyDescent="0.2">
      <c r="A13" s="2"/>
      <c r="B13" s="2"/>
      <c r="C13" s="2"/>
      <c r="E13" s="2"/>
      <c r="F13" s="2"/>
      <c r="G13" s="2"/>
      <c r="H13" s="2"/>
    </row>
    <row r="14" spans="1:8" x14ac:dyDescent="0.2">
      <c r="A14" s="2"/>
      <c r="B14" s="2"/>
      <c r="C14" s="2"/>
      <c r="E14" s="2"/>
      <c r="F14" s="2"/>
      <c r="G14" s="2"/>
      <c r="H14" s="2"/>
    </row>
    <row r="15" spans="1:8" x14ac:dyDescent="0.2">
      <c r="A15" s="2"/>
      <c r="B15" s="2"/>
      <c r="C15" s="2"/>
      <c r="E15" s="2"/>
      <c r="F15" s="2"/>
      <c r="G15" s="2"/>
      <c r="H15" s="2"/>
    </row>
    <row r="16" spans="1:8" x14ac:dyDescent="0.2">
      <c r="A16" s="2"/>
      <c r="B16" s="2"/>
      <c r="C16" s="2"/>
      <c r="E16" s="2"/>
      <c r="F16" s="2"/>
      <c r="G16" s="2"/>
      <c r="H16" s="2"/>
    </row>
    <row r="17" spans="1:8" x14ac:dyDescent="0.2">
      <c r="A17" s="2"/>
      <c r="B17" s="2"/>
      <c r="C17" s="2"/>
      <c r="E17" s="2"/>
      <c r="F17" s="2"/>
      <c r="G17" s="2"/>
      <c r="H17" s="2"/>
    </row>
    <row r="18" spans="1:8" x14ac:dyDescent="0.2">
      <c r="A18" s="2"/>
      <c r="B18" s="2"/>
      <c r="C18" s="2"/>
      <c r="E18" s="2"/>
      <c r="F18" s="2"/>
      <c r="G18" s="2"/>
      <c r="H18" s="2"/>
    </row>
    <row r="19" spans="1:8" x14ac:dyDescent="0.2">
      <c r="A19" s="2"/>
      <c r="B19" s="2"/>
      <c r="C19" s="2"/>
      <c r="E19" s="2"/>
      <c r="F19" s="2"/>
      <c r="G19" s="2"/>
      <c r="H19" s="2"/>
    </row>
    <row r="20" spans="1:8" x14ac:dyDescent="0.2">
      <c r="A20" s="2"/>
      <c r="B20" s="2"/>
      <c r="C20" s="2"/>
      <c r="E20" s="2"/>
      <c r="F20" s="2"/>
      <c r="G20" s="2"/>
      <c r="H20" s="2"/>
    </row>
    <row r="21" spans="1:8" x14ac:dyDescent="0.2">
      <c r="A21" s="2"/>
      <c r="B21" s="2"/>
      <c r="C21" s="2"/>
      <c r="E21" s="2"/>
      <c r="F21" s="2"/>
      <c r="G21" s="2"/>
      <c r="H21" s="2"/>
    </row>
    <row r="22" spans="1:8" x14ac:dyDescent="0.2">
      <c r="A22" s="2"/>
      <c r="B22" s="2"/>
      <c r="C22" s="2"/>
      <c r="E22" s="2"/>
      <c r="F22" s="2"/>
      <c r="G22" s="2"/>
      <c r="H22" s="2"/>
    </row>
    <row r="23" spans="1:8" x14ac:dyDescent="0.2">
      <c r="A23" s="2"/>
      <c r="B23" s="2"/>
      <c r="C23" s="2"/>
      <c r="E23" s="2"/>
      <c r="F23" s="2"/>
      <c r="G23" s="2"/>
      <c r="H23" s="2"/>
    </row>
    <row r="24" spans="1:8" x14ac:dyDescent="0.2">
      <c r="A24" s="2"/>
      <c r="B24" s="2"/>
      <c r="C24" s="2"/>
      <c r="E24" s="2"/>
      <c r="F24" s="2"/>
      <c r="G24" s="2"/>
      <c r="H24" s="2"/>
    </row>
    <row r="25" spans="1:8" x14ac:dyDescent="0.2">
      <c r="A25" s="2"/>
      <c r="B25" s="2"/>
      <c r="C25" s="2"/>
      <c r="E25" s="2"/>
      <c r="F25" s="2"/>
      <c r="G25" s="2"/>
      <c r="H25" s="2"/>
    </row>
    <row r="26" spans="1:8" x14ac:dyDescent="0.2">
      <c r="A26" s="2"/>
      <c r="B26" s="2"/>
      <c r="C26" s="2"/>
      <c r="E26" s="2"/>
      <c r="F26" s="2"/>
      <c r="G26" s="2"/>
      <c r="H26" s="2"/>
    </row>
    <row r="27" spans="1:8" x14ac:dyDescent="0.2">
      <c r="A27" s="2"/>
      <c r="B27" s="2"/>
      <c r="C27" s="2"/>
      <c r="E27" s="2"/>
      <c r="F27" s="2"/>
      <c r="G27" s="2"/>
      <c r="H27" s="2"/>
    </row>
    <row r="28" spans="1:8" x14ac:dyDescent="0.2">
      <c r="A28" s="2"/>
      <c r="B28" s="2"/>
      <c r="C28" s="2"/>
      <c r="E28" s="2"/>
      <c r="F28" s="2"/>
      <c r="G28" s="2"/>
      <c r="H28" s="2"/>
    </row>
    <row r="29" spans="1:8" x14ac:dyDescent="0.2">
      <c r="A29" s="2"/>
      <c r="B29" s="2"/>
      <c r="C29" s="2"/>
      <c r="E29" s="2"/>
      <c r="F29" s="2"/>
      <c r="G29" s="2"/>
      <c r="H29" s="2"/>
    </row>
    <row r="30" spans="1:8" x14ac:dyDescent="0.2">
      <c r="A30" s="2"/>
      <c r="B30" s="2"/>
      <c r="C30" s="2"/>
      <c r="E30" s="2"/>
      <c r="F30" s="2"/>
      <c r="G30" s="2"/>
      <c r="H30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B1" sqref="B1:I1"/>
    </sheetView>
  </sheetViews>
  <sheetFormatPr baseColWidth="10" defaultRowHeight="16" x14ac:dyDescent="0.2"/>
  <sheetData>
    <row r="1" spans="1:8" ht="20" x14ac:dyDescent="0.2">
      <c r="B1" t="s">
        <v>94</v>
      </c>
      <c r="C1" s="4" t="s">
        <v>87</v>
      </c>
      <c r="D1" s="4" t="s">
        <v>88</v>
      </c>
      <c r="E1" s="4" t="s">
        <v>90</v>
      </c>
      <c r="F1" t="s">
        <v>48</v>
      </c>
      <c r="G1" t="s">
        <v>91</v>
      </c>
      <c r="H1" t="s">
        <v>116</v>
      </c>
    </row>
    <row r="2" spans="1:8" x14ac:dyDescent="0.2">
      <c r="A2" s="2" t="s">
        <v>20</v>
      </c>
      <c r="B2" s="2">
        <v>0</v>
      </c>
      <c r="C2" s="2">
        <v>3</v>
      </c>
      <c r="D2">
        <v>0</v>
      </c>
      <c r="E2" s="2">
        <v>0</v>
      </c>
      <c r="F2" s="2">
        <v>0</v>
      </c>
      <c r="G2" s="2">
        <v>1</v>
      </c>
      <c r="H2" s="2">
        <v>3</v>
      </c>
    </row>
    <row r="3" spans="1:8" x14ac:dyDescent="0.2">
      <c r="A3" s="2" t="s">
        <v>21</v>
      </c>
      <c r="B3" s="2">
        <v>3</v>
      </c>
      <c r="C3" s="2">
        <v>3</v>
      </c>
      <c r="D3">
        <v>1</v>
      </c>
      <c r="E3" s="2">
        <v>2</v>
      </c>
      <c r="F3" s="2">
        <v>0</v>
      </c>
      <c r="G3" s="2">
        <v>0</v>
      </c>
      <c r="H3" s="2">
        <v>3</v>
      </c>
    </row>
    <row r="4" spans="1:8" x14ac:dyDescent="0.2">
      <c r="A4" s="2" t="s">
        <v>22</v>
      </c>
      <c r="B4" s="2">
        <v>2</v>
      </c>
      <c r="C4" s="2">
        <v>3</v>
      </c>
      <c r="D4">
        <v>2</v>
      </c>
      <c r="E4" s="2">
        <v>1</v>
      </c>
      <c r="F4" s="2">
        <v>0</v>
      </c>
      <c r="G4" s="2">
        <v>0</v>
      </c>
      <c r="H4" s="2">
        <v>3</v>
      </c>
    </row>
    <row r="5" spans="1:8" x14ac:dyDescent="0.2">
      <c r="A5" s="2" t="s">
        <v>23</v>
      </c>
      <c r="B5" s="2">
        <v>0</v>
      </c>
      <c r="C5" s="2">
        <v>3</v>
      </c>
      <c r="D5">
        <v>1</v>
      </c>
      <c r="E5" s="2">
        <v>1</v>
      </c>
      <c r="F5" s="2">
        <v>1</v>
      </c>
      <c r="G5" s="2">
        <v>0</v>
      </c>
      <c r="H5" s="2">
        <v>3</v>
      </c>
    </row>
    <row r="6" spans="1:8" x14ac:dyDescent="0.2">
      <c r="A6" s="2" t="s">
        <v>24</v>
      </c>
      <c r="B6" s="2">
        <v>0</v>
      </c>
      <c r="C6" s="2">
        <v>3</v>
      </c>
      <c r="D6">
        <v>1</v>
      </c>
      <c r="E6" s="2">
        <v>1</v>
      </c>
      <c r="F6" s="2">
        <v>0</v>
      </c>
      <c r="G6" s="2">
        <v>0</v>
      </c>
      <c r="H6" s="2">
        <v>3</v>
      </c>
    </row>
    <row r="7" spans="1:8" x14ac:dyDescent="0.2">
      <c r="A7" s="2" t="s">
        <v>25</v>
      </c>
      <c r="B7" s="2">
        <v>2</v>
      </c>
      <c r="C7" s="2">
        <v>1</v>
      </c>
      <c r="D7">
        <v>1</v>
      </c>
      <c r="E7" s="2">
        <v>1</v>
      </c>
      <c r="F7" s="2">
        <v>0</v>
      </c>
      <c r="G7" s="2">
        <v>0</v>
      </c>
      <c r="H7" s="2">
        <v>3</v>
      </c>
    </row>
    <row r="8" spans="1:8" x14ac:dyDescent="0.2">
      <c r="A8" s="2" t="s">
        <v>27</v>
      </c>
      <c r="B8" s="2">
        <v>0</v>
      </c>
      <c r="C8" s="2">
        <v>1</v>
      </c>
      <c r="D8">
        <v>1</v>
      </c>
      <c r="E8" s="2">
        <v>1</v>
      </c>
      <c r="F8" s="2">
        <v>0</v>
      </c>
      <c r="G8" s="2">
        <v>0</v>
      </c>
      <c r="H8" s="2">
        <v>2</v>
      </c>
    </row>
    <row r="9" spans="1:8" x14ac:dyDescent="0.2">
      <c r="A9" s="2" t="s">
        <v>28</v>
      </c>
      <c r="B9" s="2">
        <v>0</v>
      </c>
      <c r="C9" s="2">
        <v>3</v>
      </c>
      <c r="D9">
        <v>1</v>
      </c>
      <c r="E9" s="2">
        <v>1</v>
      </c>
      <c r="F9" s="2">
        <v>1</v>
      </c>
      <c r="G9" s="2">
        <v>0</v>
      </c>
      <c r="H9" s="2">
        <v>0</v>
      </c>
    </row>
    <row r="10" spans="1:8" x14ac:dyDescent="0.2">
      <c r="A10" s="2" t="s">
        <v>29</v>
      </c>
      <c r="B10" s="2">
        <v>1</v>
      </c>
      <c r="C10" s="2">
        <v>3</v>
      </c>
      <c r="D10">
        <v>0</v>
      </c>
      <c r="E10" s="2">
        <v>1</v>
      </c>
      <c r="F10" s="2">
        <v>1</v>
      </c>
      <c r="G10" s="2">
        <v>0</v>
      </c>
      <c r="H10" s="2">
        <v>3</v>
      </c>
    </row>
    <row r="11" spans="1:8" x14ac:dyDescent="0.2">
      <c r="A11" s="2" t="s">
        <v>30</v>
      </c>
      <c r="B11" s="2">
        <v>0</v>
      </c>
      <c r="C11" s="2">
        <v>3</v>
      </c>
      <c r="D11">
        <v>1</v>
      </c>
      <c r="E11" s="2">
        <v>1</v>
      </c>
      <c r="F11" s="2">
        <v>1</v>
      </c>
      <c r="G11" s="2">
        <v>0</v>
      </c>
      <c r="H11" s="2">
        <v>0</v>
      </c>
    </row>
    <row r="12" spans="1:8" x14ac:dyDescent="0.2">
      <c r="A12" s="2" t="s">
        <v>31</v>
      </c>
      <c r="B12" s="2">
        <v>2</v>
      </c>
      <c r="C12" s="2">
        <v>2</v>
      </c>
      <c r="D12">
        <v>1</v>
      </c>
      <c r="E12" s="2">
        <v>1</v>
      </c>
      <c r="F12" s="2">
        <v>0</v>
      </c>
      <c r="G12" s="2">
        <v>0</v>
      </c>
      <c r="H12" s="2">
        <v>0</v>
      </c>
    </row>
    <row r="13" spans="1:8" x14ac:dyDescent="0.2">
      <c r="A13" s="2" t="s">
        <v>32</v>
      </c>
      <c r="B13" s="2">
        <v>2</v>
      </c>
      <c r="C13" s="2">
        <v>1</v>
      </c>
      <c r="D13">
        <v>1</v>
      </c>
      <c r="E13" s="2">
        <v>1</v>
      </c>
      <c r="F13" s="2">
        <v>0</v>
      </c>
      <c r="G13" s="2">
        <v>0</v>
      </c>
      <c r="H13" s="2">
        <v>2</v>
      </c>
    </row>
    <row r="14" spans="1:8" x14ac:dyDescent="0.2">
      <c r="A14" s="2" t="s">
        <v>33</v>
      </c>
      <c r="B14" s="2">
        <v>2</v>
      </c>
      <c r="C14" s="2">
        <v>0</v>
      </c>
      <c r="D14">
        <v>1</v>
      </c>
      <c r="E14" s="2">
        <v>1</v>
      </c>
      <c r="F14" s="2">
        <v>0</v>
      </c>
      <c r="G14" s="2">
        <v>0</v>
      </c>
      <c r="H14" s="2">
        <v>1</v>
      </c>
    </row>
    <row r="15" spans="1:8" x14ac:dyDescent="0.2">
      <c r="A15" s="2" t="s">
        <v>34</v>
      </c>
      <c r="B15" s="2">
        <v>2</v>
      </c>
      <c r="C15" s="2">
        <v>0</v>
      </c>
      <c r="D15">
        <v>1</v>
      </c>
      <c r="E15" s="2">
        <v>1</v>
      </c>
      <c r="F15" s="2">
        <v>0</v>
      </c>
      <c r="G15" s="2">
        <v>0</v>
      </c>
      <c r="H15" s="2">
        <v>0</v>
      </c>
    </row>
    <row r="16" spans="1:8" x14ac:dyDescent="0.2">
      <c r="A16" s="2" t="s">
        <v>35</v>
      </c>
      <c r="B16" s="2">
        <v>0</v>
      </c>
      <c r="C16" s="2">
        <v>0</v>
      </c>
      <c r="D16">
        <v>0</v>
      </c>
      <c r="E16" s="2">
        <v>1</v>
      </c>
      <c r="F16" s="2">
        <v>0</v>
      </c>
      <c r="G16" s="2">
        <v>0</v>
      </c>
      <c r="H16" s="2">
        <v>0</v>
      </c>
    </row>
    <row r="17" spans="1:8" x14ac:dyDescent="0.2">
      <c r="A17" s="2" t="s">
        <v>36</v>
      </c>
      <c r="B17" s="2">
        <v>0</v>
      </c>
      <c r="C17" s="2">
        <v>1</v>
      </c>
      <c r="D17">
        <v>3</v>
      </c>
      <c r="E17" s="2">
        <v>2</v>
      </c>
      <c r="F17" s="2">
        <v>0</v>
      </c>
      <c r="G17" s="2">
        <v>2</v>
      </c>
      <c r="H17" s="2">
        <v>0</v>
      </c>
    </row>
    <row r="18" spans="1:8" x14ac:dyDescent="0.2">
      <c r="A18" s="2" t="s">
        <v>37</v>
      </c>
      <c r="B18" s="2">
        <v>3</v>
      </c>
      <c r="C18" s="2">
        <v>2</v>
      </c>
      <c r="D18">
        <v>1</v>
      </c>
      <c r="E18" s="2">
        <v>1</v>
      </c>
      <c r="F18" s="2">
        <v>1</v>
      </c>
      <c r="G18" s="2">
        <v>0</v>
      </c>
      <c r="H18" s="2">
        <v>0</v>
      </c>
    </row>
    <row r="19" spans="1:8" x14ac:dyDescent="0.2">
      <c r="A19" s="2" t="s">
        <v>38</v>
      </c>
      <c r="B19" s="2">
        <v>2</v>
      </c>
      <c r="C19" s="2">
        <v>1</v>
      </c>
      <c r="D19">
        <v>2</v>
      </c>
      <c r="E19" s="2">
        <v>1</v>
      </c>
      <c r="F19" s="2">
        <v>0</v>
      </c>
      <c r="G19" s="2">
        <v>1</v>
      </c>
      <c r="H19" s="2">
        <v>3</v>
      </c>
    </row>
    <row r="20" spans="1:8" x14ac:dyDescent="0.2">
      <c r="A20" s="2" t="s">
        <v>39</v>
      </c>
      <c r="B20" s="2">
        <v>3</v>
      </c>
      <c r="C20" s="2">
        <v>0</v>
      </c>
      <c r="D20">
        <v>1</v>
      </c>
      <c r="E20" s="2">
        <v>0</v>
      </c>
      <c r="F20" s="2">
        <v>0</v>
      </c>
      <c r="G20" s="2">
        <v>0</v>
      </c>
      <c r="H20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performances agro radar</vt:lpstr>
      <vt:lpstr>perf agro box plot</vt:lpstr>
      <vt:lpstr>Feuil2</vt:lpstr>
      <vt:lpstr>performances éco radar</vt:lpstr>
      <vt:lpstr>perf éco box plot</vt:lpstr>
      <vt:lpstr>perf eco boxplot2</vt:lpstr>
      <vt:lpstr>perf éco atypiques</vt:lpstr>
      <vt:lpstr>Perf éco stylo RF vs GSDM</vt:lpstr>
      <vt:lpstr>performances env radar</vt:lpstr>
      <vt:lpstr>perf env box plot</vt:lpstr>
      <vt:lpstr>Feuil1</vt:lpstr>
      <vt:lpstr>performances sociales radar</vt:lpstr>
      <vt:lpstr>perf sociales box plot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2017-09-25T10:13:59Z</dcterms:created>
  <dcterms:modified xsi:type="dcterms:W3CDTF">2017-12-05T09:30:22Z</dcterms:modified>
</cp:coreProperties>
</file>