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490" windowHeight="7905"/>
  </bookViews>
  <sheets>
    <sheet name="230" sheetId="1" r:id="rId1"/>
    <sheet name="240" sheetId="2" r:id="rId2"/>
    <sheet name="TS CAUTION" sheetId="3" r:id="rId3"/>
  </sheets>
  <definedNames>
    <definedName name="_Key2" localSheetId="1" hidden="1">#REF!</definedName>
    <definedName name="_Key2" localSheetId="2" hidden="1">#REF!</definedName>
    <definedName name="_Key2" hidden="1">#REF!</definedName>
    <definedName name="_Order2" hidden="1">255</definedName>
    <definedName name="_Sort" localSheetId="1" hidden="1">#REF!</definedName>
    <definedName name="_Sort" localSheetId="2" hidden="1">#REF!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DAZ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DAZ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bb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bb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cycles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cycles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localSheetId="0" hidden="1">{#N/A,#N/A,FALSE,"Etanchéité";#N/A,#N/A,FALSE,"Etanchéité2";#N/A,#N/A,FALSE,"MOI";#N/A,#N/A,FALSE,"Encadrement"}</definedName>
    <definedName name="dd" localSheetId="1" hidden="1">{#N/A,#N/A,FALSE,"Etanchéité";#N/A,#N/A,FALSE,"Etanchéité2";#N/A,#N/A,FALSE,"MOI";#N/A,#N/A,FALSE,"Encadrement"}</definedName>
    <definedName name="dd" localSheetId="2" hidden="1">{#N/A,#N/A,FALSE,"Etanchéité";#N/A,#N/A,FALSE,"Etanchéité2";#N/A,#N/A,FALSE,"MOI";#N/A,#N/A,FALSE,"Encadrement"}</definedName>
    <definedName name="dd" hidden="1">{#N/A,#N/A,FALSE,"Etanchéité";#N/A,#N/A,FALSE,"Etanchéité2";#N/A,#N/A,FALSE,"MOI";#N/A,#N/A,FALSE,"Encadrement"}</definedName>
    <definedName name="de" localSheetId="0" hidden="1">{#N/A,#N/A,FALSE,"R.D. Maroc";#N/A,#N/A,FALSE,"Colle";#N/A,#N/A,FALSE,"Métaci"}</definedName>
    <definedName name="de" localSheetId="1" hidden="1">{#N/A,#N/A,FALSE,"R.D. Maroc";#N/A,#N/A,FALSE,"Colle";#N/A,#N/A,FALSE,"Métaci"}</definedName>
    <definedName name="de" localSheetId="2" hidden="1">{#N/A,#N/A,FALSE,"R.D. Maroc";#N/A,#N/A,FALSE,"Colle";#N/A,#N/A,FALSE,"Métaci"}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localSheetId="0" hidden="1">{#N/A,#N/A,FALSE,"Menuiserie extérieure";#N/A,#N/A,FALSE,"Menuiserie ext.";#N/A,#N/A,FALSE,"MOI";#N/A,#N/A,FALSE,"Encadrement";#N/A,#N/A,FALSE,"Fournitures"}</definedName>
    <definedName name="ds" localSheetId="1" hidden="1">{#N/A,#N/A,FALSE,"Menuiserie extérieure";#N/A,#N/A,FALSE,"Menuiserie ext.";#N/A,#N/A,FALSE,"MOI";#N/A,#N/A,FALSE,"Encadrement";#N/A,#N/A,FALSE,"Fournitures"}</definedName>
    <definedName name="ds" localSheetId="2" hidden="1">{#N/A,#N/A,FALSE,"Menuiserie extérieure";#N/A,#N/A,FALSE,"Menuiserie ext.";#N/A,#N/A,FALSE,"MOI";#N/A,#N/A,FALSE,"Encadrement";#N/A,#N/A,FALSE,"Fournitures"}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hh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hh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II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II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hty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hty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jj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jj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hjgutj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hjgutj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MM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MM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localSheetId="0" hidden="1">{#N/A,#N/A,FALSE,"DH";#N/A,#N/A,FALSE,"FFR";#N/A,#N/A,FALSE,"AVDH";#N/A,#N/A,FALSE,"AVFFR";#N/A,#N/A,FALSE,"RevDH";#N/A,#N/A,FALSE,"RevFFR";#N/A,#N/A,FALSE,"Base-App-Dh";#N/A,#N/A,FALSE,"Base-App-FF"}</definedName>
    <definedName name="NN" localSheetId="1" hidden="1">{#N/A,#N/A,FALSE,"DH";#N/A,#N/A,FALSE,"FFR";#N/A,#N/A,FALSE,"AVDH";#N/A,#N/A,FALSE,"AVFFR";#N/A,#N/A,FALSE,"RevDH";#N/A,#N/A,FALSE,"RevFFR";#N/A,#N/A,FALSE,"Base-App-Dh";#N/A,#N/A,FALSE,"Base-App-FF"}</definedName>
    <definedName name="NN" localSheetId="2" hidden="1">{#N/A,#N/A,FALSE,"DH";#N/A,#N/A,FALSE,"FFR";#N/A,#N/A,FALSE,"AVDH";#N/A,#N/A,FALSE,"AVFFR";#N/A,#N/A,FALSE,"RevDH";#N/A,#N/A,FALSE,"RevFFR";#N/A,#N/A,FALSE,"Base-App-Dh";#N/A,#N/A,FALSE,"Base-App-FF"}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tr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tr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qq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qq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rr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rr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SS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SS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U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U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tytyt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tytyt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localSheetId="0" hidden="1">{#N/A,#N/A,FALSE,"DH";#N/A,#N/A,FALSE,"FFR";#N/A,#N/A,FALSE,"AVDH";#N/A,#N/A,FALSE,"AVFFR";#N/A,#N/A,FALSE,"RevDH";#N/A,#N/A,FALSE,"RevFFR";#N/A,#N/A,FALSE,"Base-App-Dh";#N/A,#N/A,FALSE,"Base-App-FF"}</definedName>
    <definedName name="uu" localSheetId="1" hidden="1">{#N/A,#N/A,FALSE,"DH";#N/A,#N/A,FALSE,"FFR";#N/A,#N/A,FALSE,"AVDH";#N/A,#N/A,FALSE,"AVFFR";#N/A,#N/A,FALSE,"RevDH";#N/A,#N/A,FALSE,"RevFFR";#N/A,#N/A,FALSE,"Base-App-Dh";#N/A,#N/A,FALSE,"Base-App-FF"}</definedName>
    <definedName name="uu" localSheetId="2" hidden="1">{#N/A,#N/A,FALSE,"DH";#N/A,#N/A,FALSE,"FFR";#N/A,#N/A,FALSE,"AVDH";#N/A,#N/A,FALSE,"AVFFR";#N/A,#N/A,FALSE,"RevDH";#N/A,#N/A,FALSE,"RevFFR";#N/A,#N/A,FALSE,"Base-App-Dh";#N/A,#N/A,FALSE,"Base-App-FF"}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VV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VV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Avancement.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Avancement.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localSheetId="0" hidden="1">{#N/A,#N/A,FALSE,"ETANC";#N/A,#N/A,FALSE,"PLO";#N/A,#N/A,FALSE,"ELEC";#N/A,#N/A,FALSE,"P-int-B";#N/A,#N/A,FALSE,"P-int-Récap";#N/A,#N/A,FALSE,"Rev-sol";#N/A,#N/A,FALSE,"RV-Récap";#N/A,#N/A,FALSE,"FAI-VIT-MEN-P_ext"}</definedName>
    <definedName name="wrn.CES." localSheetId="1" hidden="1">{#N/A,#N/A,FALSE,"ETANC";#N/A,#N/A,FALSE,"PLO";#N/A,#N/A,FALSE,"ELEC";#N/A,#N/A,FALSE,"P-int-B";#N/A,#N/A,FALSE,"P-int-Récap";#N/A,#N/A,FALSE,"Rev-sol";#N/A,#N/A,FALSE,"RV-Récap";#N/A,#N/A,FALSE,"FAI-VIT-MEN-P_ext"}</definedName>
    <definedName name="wrn.CES." localSheetId="2" hidden="1">{#N/A,#N/A,FALSE,"ETANC";#N/A,#N/A,FALSE,"PLO";#N/A,#N/A,FALSE,"ELEC";#N/A,#N/A,FALSE,"P-int-B";#N/A,#N/A,FALSE,"P-int-Récap";#N/A,#N/A,FALSE,"Rev-sol";#N/A,#N/A,FALSE,"RV-Récap";#N/A,#N/A,FALSE,"FAI-VIT-MEN-P_ext"}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localSheetId="0" hidden="1">{#N/A,#N/A,FALSE,"Etanchéité";#N/A,#N/A,FALSE,"Etanchéité2";#N/A,#N/A,FALSE,"MOI";#N/A,#N/A,FALSE,"Encadrement"}</definedName>
    <definedName name="wrn.Etanchéité." localSheetId="1" hidden="1">{#N/A,#N/A,FALSE,"Etanchéité";#N/A,#N/A,FALSE,"Etanchéité2";#N/A,#N/A,FALSE,"MOI";#N/A,#N/A,FALSE,"Encadrement"}</definedName>
    <definedName name="wrn.Etanchéité." localSheetId="2" hidden="1">{#N/A,#N/A,FALSE,"Etanchéité";#N/A,#N/A,FALSE,"Etanchéité2";#N/A,#N/A,FALSE,"MOI";#N/A,#N/A,FALSE,"Encadrement"}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localSheetId="0" hidden="1">{#N/A,#N/A,FALSE,"Menuiserie extérieure";#N/A,#N/A,FALSE,"Menuiserie ext.";#N/A,#N/A,FALSE,"MOI";#N/A,#N/A,FALSE,"Encadrement";#N/A,#N/A,FALSE,"Fournitures"}</definedName>
    <definedName name="wrn.Menuiserie._.extérieure." localSheetId="1" hidden="1">{#N/A,#N/A,FALSE,"Menuiserie extérieure";#N/A,#N/A,FALSE,"Menuiserie ext.";#N/A,#N/A,FALSE,"MOI";#N/A,#N/A,FALSE,"Encadrement";#N/A,#N/A,FALSE,"Fournitures"}</definedName>
    <definedName name="wrn.Menuiserie._.extérieure." localSheetId="2" hidden="1">{#N/A,#N/A,FALSE,"Menuiserie extérieure";#N/A,#N/A,FALSE,"Menuiserie ext.";#N/A,#N/A,FALSE,"MOI";#N/A,#N/A,FALSE,"Encadrement";#N/A,#N/A,FALSE,"Fournitures"}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nuiserie._.intérieure.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nuiserie._.intérieure.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localSheetId="0" hidden="1">{#N/A,#N/A,FALSE,"R.D. Maroc";#N/A,#N/A,FALSE,"Colle";#N/A,#N/A,FALSE,"Métaci"}</definedName>
    <definedName name="wrn.METACI." localSheetId="1" hidden="1">{#N/A,#N/A,FALSE,"R.D. Maroc";#N/A,#N/A,FALSE,"Colle";#N/A,#N/A,FALSE,"Métaci"}</definedName>
    <definedName name="wrn.METACI." localSheetId="2" hidden="1">{#N/A,#N/A,FALSE,"R.D. Maroc";#N/A,#N/A,FALSE,"Colle";#N/A,#N/A,FALSE,"Métaci"}</definedName>
    <definedName name="wrn.METACI." hidden="1">{#N/A,#N/A,FALSE,"R.D. Maroc";#N/A,#N/A,FALSE,"Colle";#N/A,#N/A,FALSE,"Métaci"}</definedName>
    <definedName name="wrn.Situation." localSheetId="0" hidden="1">{#N/A,#N/A,FALSE,"DH";#N/A,#N/A,FALSE,"FFR";#N/A,#N/A,FALSE,"AVDH";#N/A,#N/A,FALSE,"AVFFR";#N/A,#N/A,FALSE,"RevDH";#N/A,#N/A,FALSE,"RevFFR";#N/A,#N/A,FALSE,"Base-App-Dh";#N/A,#N/A,FALSE,"Base-App-FF"}</definedName>
    <definedName name="wrn.Situation." localSheetId="1" hidden="1">{#N/A,#N/A,FALSE,"DH";#N/A,#N/A,FALSE,"FFR";#N/A,#N/A,FALSE,"AVDH";#N/A,#N/A,FALSE,"AVFFR";#N/A,#N/A,FALSE,"RevDH";#N/A,#N/A,FALSE,"RevFFR";#N/A,#N/A,FALSE,"Base-App-Dh";#N/A,#N/A,FALSE,"Base-App-FF"}</definedName>
    <definedName name="wrn.Situation." localSheetId="2" hidden="1">{#N/A,#N/A,FALSE,"DH";#N/A,#N/A,FALSE,"FFR";#N/A,#N/A,FALSE,"AVDH";#N/A,#N/A,FALSE,"AVFFR";#N/A,#N/A,FALSE,"RevDH";#N/A,#N/A,FALSE,"RevFFR";#N/A,#N/A,FALSE,"Base-App-Dh";#N/A,#N/A,FALSE,"Base-App-FF"}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localSheetId="0" hidden="1">{#N/A,#N/A,FALSE,"VRD-F-DH";#N/A,#N/A,FALSE,"VRD-F-FF";#N/A,#N/A,FALSE,"VRD-T";#N/A,#N/A,FALSE,"RevVRD-DH";#N/A,#N/A,FALSE,"RevVRD-FF";#N/A,#N/A,FALSE,"Base-App-Dh";#N/A,#N/A,FALSE,"Base-App-FF"}</definedName>
    <definedName name="wrn.VRD." localSheetId="1" hidden="1">{#N/A,#N/A,FALSE,"VRD-F-DH";#N/A,#N/A,FALSE,"VRD-F-FF";#N/A,#N/A,FALSE,"VRD-T";#N/A,#N/A,FALSE,"RevVRD-DH";#N/A,#N/A,FALSE,"RevVRD-FF";#N/A,#N/A,FALSE,"Base-App-Dh";#N/A,#N/A,FALSE,"Base-App-FF"}</definedName>
    <definedName name="wrn.VRD." localSheetId="2" hidden="1">{#N/A,#N/A,FALSE,"VRD-F-DH";#N/A,#N/A,FALSE,"VRD-F-FF";#N/A,#N/A,FALSE,"VRD-T";#N/A,#N/A,FALSE,"RevVRD-DH";#N/A,#N/A,FALSE,"RevVRD-FF";#N/A,#N/A,FALSE,"Base-App-Dh";#N/A,#N/A,FALSE,"Base-App-FF"}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localSheetId="0" hidden="1">{#N/A,#N/A,FALSE,"MOD";#N/A,#N/A,FALSE,"Menuiseries intérieures";#N/A,#N/A,FALSE,"Menuiseries int.";#N/A,#N/A,FALSE,"MOI";#N/A,#N/A,FALSE,"Encadrement";#N/A,#N/A,FALSE,"FO1";#N/A,#N/A,FALSE,"Maitrise";#N/A,#N/A,FALSE,"MOD2"}</definedName>
    <definedName name="YY" localSheetId="1" hidden="1">{#N/A,#N/A,FALSE,"MOD";#N/A,#N/A,FALSE,"Menuiseries intérieures";#N/A,#N/A,FALSE,"Menuiseries int.";#N/A,#N/A,FALSE,"MOI";#N/A,#N/A,FALSE,"Encadrement";#N/A,#N/A,FALSE,"FO1";#N/A,#N/A,FALSE,"Maitrise";#N/A,#N/A,FALSE,"MOD2"}</definedName>
    <definedName name="YY" localSheetId="2" hidden="1">{#N/A,#N/A,FALSE,"MOD";#N/A,#N/A,FALSE,"Menuiseries intérieures";#N/A,#N/A,FALSE,"Menuiseries int.";#N/A,#N/A,FALSE,"MOI";#N/A,#N/A,FALSE,"Encadrement";#N/A,#N/A,FALSE,"FO1";#N/A,#N/A,FALSE,"Maitrise";#N/A,#N/A,FALSE,"MOD2"}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localSheetId="0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zz" localSheetId="1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zz" localSheetId="2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3" l="1"/>
  <c r="Y9" i="3"/>
  <c r="Q10" i="3"/>
  <c r="Y10" i="3"/>
  <c r="O11" i="3"/>
  <c r="Q11" i="3"/>
  <c r="Y11" i="3"/>
  <c r="O12" i="3"/>
  <c r="Q12" i="3"/>
  <c r="Y12" i="3"/>
  <c r="O13" i="3"/>
  <c r="Q13" i="3"/>
  <c r="Y13" i="3"/>
  <c r="O14" i="3"/>
  <c r="Q14" i="3"/>
  <c r="Y14" i="3"/>
  <c r="O15" i="3"/>
  <c r="Q15" i="3"/>
  <c r="Y15" i="3"/>
  <c r="Y17" i="3"/>
  <c r="X9" i="3"/>
  <c r="X10" i="3"/>
  <c r="K11" i="3"/>
  <c r="L11" i="3"/>
  <c r="M11" i="3"/>
  <c r="R11" i="3"/>
  <c r="X11" i="3"/>
  <c r="X12" i="3"/>
  <c r="X13" i="3"/>
  <c r="X14" i="3"/>
  <c r="X15" i="3"/>
  <c r="X17" i="3"/>
  <c r="W9" i="3"/>
  <c r="W10" i="3"/>
  <c r="W11" i="3"/>
  <c r="W12" i="3"/>
  <c r="W13" i="3"/>
  <c r="W14" i="3"/>
  <c r="W15" i="3"/>
  <c r="W17" i="3"/>
  <c r="V9" i="3"/>
  <c r="V10" i="3"/>
  <c r="V11" i="3"/>
  <c r="L12" i="3"/>
  <c r="M12" i="3"/>
  <c r="R12" i="3"/>
  <c r="V12" i="3"/>
  <c r="L13" i="3"/>
  <c r="M13" i="3"/>
  <c r="R13" i="3"/>
  <c r="V13" i="3"/>
  <c r="L14" i="3"/>
  <c r="M14" i="3"/>
  <c r="R14" i="3"/>
  <c r="V14" i="3"/>
  <c r="V15" i="3"/>
  <c r="V17" i="3"/>
  <c r="U9" i="3"/>
  <c r="U10" i="3"/>
  <c r="U11" i="3"/>
  <c r="U12" i="3"/>
  <c r="U13" i="3"/>
  <c r="U14" i="3"/>
  <c r="U15" i="3"/>
  <c r="U17" i="3"/>
  <c r="S11" i="3"/>
  <c r="S12" i="3"/>
  <c r="S13" i="3"/>
  <c r="S14" i="3"/>
  <c r="S15" i="3"/>
  <c r="S17" i="3"/>
  <c r="L15" i="3"/>
  <c r="M15" i="3"/>
  <c r="R15" i="3"/>
  <c r="R17" i="3"/>
  <c r="N17" i="3"/>
  <c r="L9" i="3"/>
  <c r="M9" i="3"/>
  <c r="L10" i="3"/>
  <c r="M10" i="3"/>
  <c r="M17" i="3"/>
  <c r="L17" i="3"/>
  <c r="K17" i="3"/>
  <c r="J17" i="3"/>
  <c r="G17" i="3"/>
  <c r="E9" i="3"/>
  <c r="E17" i="3"/>
  <c r="L12" i="2"/>
  <c r="G12" i="2"/>
  <c r="F12" i="2"/>
  <c r="I12" i="2"/>
  <c r="J12" i="2"/>
  <c r="K12" i="2"/>
  <c r="O12" i="2"/>
  <c r="P12" i="2"/>
  <c r="L17" i="2"/>
  <c r="G17" i="2"/>
  <c r="F17" i="2"/>
  <c r="I17" i="2"/>
  <c r="J17" i="2"/>
  <c r="O17" i="2"/>
  <c r="P17" i="2"/>
  <c r="L18" i="2"/>
  <c r="G18" i="2"/>
  <c r="F18" i="2"/>
  <c r="I18" i="2"/>
  <c r="J18" i="2"/>
  <c r="O18" i="2"/>
  <c r="P18" i="2"/>
  <c r="L19" i="2"/>
  <c r="G19" i="2"/>
  <c r="F19" i="2"/>
  <c r="I19" i="2"/>
  <c r="J19" i="2"/>
  <c r="O19" i="2"/>
  <c r="P19" i="2"/>
  <c r="L20" i="2"/>
  <c r="G20" i="2"/>
  <c r="F20" i="2"/>
  <c r="I20" i="2"/>
  <c r="J20" i="2"/>
  <c r="K20" i="2"/>
  <c r="O20" i="2"/>
  <c r="P20" i="2"/>
  <c r="L23" i="2"/>
  <c r="P23" i="2"/>
  <c r="P25" i="2"/>
  <c r="H39" i="2"/>
  <c r="G13" i="2"/>
  <c r="F13" i="2"/>
  <c r="I13" i="2"/>
  <c r="J13" i="2"/>
  <c r="G14" i="2"/>
  <c r="F14" i="2"/>
  <c r="I14" i="2"/>
  <c r="J14" i="2"/>
  <c r="G15" i="2"/>
  <c r="F15" i="2"/>
  <c r="I15" i="2"/>
  <c r="J15" i="2"/>
  <c r="G16" i="2"/>
  <c r="F16" i="2"/>
  <c r="I16" i="2"/>
  <c r="J16" i="2"/>
  <c r="G23" i="2"/>
  <c r="F23" i="2"/>
  <c r="I23" i="2"/>
  <c r="J23" i="2"/>
  <c r="J25" i="2"/>
  <c r="K39" i="2"/>
  <c r="O23" i="2"/>
  <c r="O25" i="2"/>
  <c r="H37" i="2"/>
  <c r="K37" i="2"/>
  <c r="K25" i="2"/>
  <c r="H35" i="2"/>
  <c r="K35" i="2"/>
  <c r="E25" i="2"/>
  <c r="H33" i="2"/>
  <c r="M7" i="2"/>
  <c r="H31" i="2"/>
  <c r="K33" i="2"/>
  <c r="E27" i="2"/>
  <c r="F27" i="2"/>
  <c r="K26" i="2"/>
  <c r="E26" i="2"/>
  <c r="V12" i="2"/>
  <c r="N13" i="2"/>
  <c r="V13" i="2"/>
  <c r="N14" i="2"/>
  <c r="V14" i="2"/>
  <c r="N15" i="2"/>
  <c r="V15" i="2"/>
  <c r="N16" i="2"/>
  <c r="V16" i="2"/>
  <c r="N17" i="2"/>
  <c r="V17" i="2"/>
  <c r="N18" i="2"/>
  <c r="V18" i="2"/>
  <c r="N19" i="2"/>
  <c r="V19" i="2"/>
  <c r="V20" i="2"/>
  <c r="N21" i="2"/>
  <c r="V21" i="2"/>
  <c r="N22" i="2"/>
  <c r="V22" i="2"/>
  <c r="N23" i="2"/>
  <c r="V23" i="2"/>
  <c r="V24" i="2"/>
  <c r="V25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I25" i="2"/>
  <c r="H25" i="2"/>
  <c r="G25" i="2"/>
  <c r="F25" i="2"/>
  <c r="M8" i="2"/>
  <c r="E22" i="1"/>
  <c r="H22" i="1"/>
  <c r="E21" i="1"/>
  <c r="E20" i="1"/>
  <c r="H19" i="1"/>
  <c r="F19" i="1"/>
  <c r="H18" i="1"/>
  <c r="F18" i="1"/>
  <c r="H17" i="1"/>
  <c r="F17" i="1"/>
  <c r="F20" i="1"/>
  <c r="U16" i="1"/>
  <c r="T16" i="1"/>
  <c r="N16" i="1"/>
  <c r="S16" i="1"/>
  <c r="H16" i="1"/>
  <c r="F16" i="1"/>
  <c r="N15" i="1"/>
  <c r="V15" i="1"/>
  <c r="H15" i="1"/>
  <c r="F15" i="1"/>
  <c r="V14" i="1"/>
  <c r="N14" i="1"/>
  <c r="S14" i="1"/>
  <c r="H14" i="1"/>
  <c r="I14" i="1"/>
  <c r="J14" i="1"/>
  <c r="N13" i="1"/>
  <c r="T13" i="1"/>
  <c r="H13" i="1"/>
  <c r="I13" i="1"/>
  <c r="J13" i="1"/>
  <c r="K13" i="1"/>
  <c r="N12" i="1"/>
  <c r="V12" i="1"/>
  <c r="H12" i="1"/>
  <c r="I12" i="1"/>
  <c r="J12" i="1"/>
  <c r="M7" i="1"/>
  <c r="I16" i="1"/>
  <c r="J16" i="1"/>
  <c r="X16" i="1"/>
  <c r="T12" i="1"/>
  <c r="U14" i="1"/>
  <c r="I17" i="1"/>
  <c r="J17" i="1"/>
  <c r="O17" i="1"/>
  <c r="P17" i="1"/>
  <c r="T15" i="1"/>
  <c r="S13" i="1"/>
  <c r="V16" i="1"/>
  <c r="X13" i="1"/>
  <c r="T14" i="1"/>
  <c r="R16" i="1"/>
  <c r="G24" i="1"/>
  <c r="K12" i="1"/>
  <c r="O12" i="1"/>
  <c r="X12" i="1"/>
  <c r="H21" i="1"/>
  <c r="I15" i="1"/>
  <c r="J15" i="1"/>
  <c r="F21" i="1"/>
  <c r="I21" i="1"/>
  <c r="J21" i="1"/>
  <c r="O21" i="1"/>
  <c r="P21" i="1"/>
  <c r="I18" i="1"/>
  <c r="J18" i="1"/>
  <c r="O18" i="1"/>
  <c r="P18" i="1"/>
  <c r="F22" i="1"/>
  <c r="I22" i="1"/>
  <c r="J22" i="1"/>
  <c r="O22" i="1"/>
  <c r="P22" i="1"/>
  <c r="I19" i="1"/>
  <c r="J19" i="1"/>
  <c r="O19" i="1"/>
  <c r="G30" i="1"/>
  <c r="M8" i="1"/>
  <c r="U12" i="1"/>
  <c r="S12" i="1"/>
  <c r="X14" i="1"/>
  <c r="N22" i="1"/>
  <c r="N21" i="1"/>
  <c r="P19" i="1"/>
  <c r="N18" i="1"/>
  <c r="N19" i="1"/>
  <c r="N17" i="1"/>
  <c r="O13" i="1"/>
  <c r="R13" i="1"/>
  <c r="K14" i="1"/>
  <c r="O14" i="1"/>
  <c r="U15" i="1"/>
  <c r="S15" i="1"/>
  <c r="N20" i="1"/>
  <c r="U13" i="1"/>
  <c r="E24" i="1"/>
  <c r="H20" i="1"/>
  <c r="H24" i="1"/>
  <c r="V13" i="1"/>
  <c r="K16" i="1"/>
  <c r="O16" i="1"/>
  <c r="P16" i="1"/>
  <c r="H25" i="1"/>
  <c r="R14" i="1"/>
  <c r="P14" i="1"/>
  <c r="R12" i="1"/>
  <c r="P12" i="1"/>
  <c r="P13" i="1"/>
  <c r="T21" i="1"/>
  <c r="S21" i="1"/>
  <c r="V21" i="1"/>
  <c r="U21" i="1"/>
  <c r="R21" i="1"/>
  <c r="F24" i="1"/>
  <c r="I20" i="1"/>
  <c r="J20" i="1"/>
  <c r="O20" i="1"/>
  <c r="P20" i="1"/>
  <c r="U20" i="1"/>
  <c r="T20" i="1"/>
  <c r="S20" i="1"/>
  <c r="R20" i="1"/>
  <c r="V20" i="1"/>
  <c r="V17" i="1"/>
  <c r="R17" i="1"/>
  <c r="U17" i="1"/>
  <c r="T17" i="1"/>
  <c r="S17" i="1"/>
  <c r="S22" i="1"/>
  <c r="V22" i="1"/>
  <c r="R22" i="1"/>
  <c r="U22" i="1"/>
  <c r="T22" i="1"/>
  <c r="K15" i="1"/>
  <c r="O15" i="1"/>
  <c r="X15" i="1"/>
  <c r="E25" i="1"/>
  <c r="E26" i="1"/>
  <c r="F26" i="1"/>
  <c r="G32" i="1"/>
  <c r="J32" i="1"/>
  <c r="V19" i="1"/>
  <c r="R19" i="1"/>
  <c r="U19" i="1"/>
  <c r="S19" i="1"/>
  <c r="T19" i="1"/>
  <c r="V18" i="1"/>
  <c r="R18" i="1"/>
  <c r="U18" i="1"/>
  <c r="T18" i="1"/>
  <c r="S18" i="1"/>
  <c r="I24" i="1"/>
  <c r="S24" i="1"/>
  <c r="V24" i="1"/>
  <c r="T24" i="1"/>
  <c r="U24" i="1"/>
  <c r="P15" i="1"/>
  <c r="R15" i="1"/>
  <c r="K24" i="1"/>
  <c r="X24" i="1"/>
  <c r="J24" i="1"/>
  <c r="G34" i="1"/>
  <c r="J34" i="1"/>
  <c r="K25" i="1"/>
  <c r="O24" i="1"/>
  <c r="G36" i="1"/>
  <c r="J36" i="1"/>
  <c r="R24" i="1"/>
  <c r="P24" i="1"/>
  <c r="G38" i="1"/>
  <c r="J38" i="1"/>
</calcChain>
</file>

<file path=xl/sharedStrings.xml><?xml version="1.0" encoding="utf-8"?>
<sst xmlns="http://schemas.openxmlformats.org/spreadsheetml/2006/main" count="198" uniqueCount="100">
  <si>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</si>
  <si>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</si>
  <si>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</si>
  <si>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</si>
  <si>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</si>
  <si>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</si>
  <si>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</si>
  <si>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</si>
  <si>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</si>
  <si>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</si>
  <si>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</si>
  <si>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</si>
  <si>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</si>
  <si>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</si>
  <si>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</si>
  <si>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</si>
  <si>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</si>
  <si>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</si>
  <si>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</si>
  <si>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</si>
  <si>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</si>
  <si>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</si>
  <si>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</si>
  <si>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</si>
  <si>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</si>
  <si>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</si>
  <si>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</si>
  <si>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</si>
  <si>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</si>
  <si>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</si>
  <si>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</si>
  <si>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</si>
  <si>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</si>
  <si>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</si>
  <si>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</si>
  <si>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</si>
  <si>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</si>
  <si>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</si>
  <si>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</si>
  <si>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</si>
  <si>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</si>
  <si>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</si>
  <si>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</si>
  <si>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</si>
  <si>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</si>
  <si>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</si>
  <si>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</si>
  <si>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</si>
  <si>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</si>
  <si>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</si>
  <si>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</si>
  <si>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</si>
  <si>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</si>
  <si>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</si>
  <si>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</si>
  <si>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</si>
  <si>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</si>
  <si>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</si>
  <si>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</si>
  <si>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</si>
  <si>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</si>
  <si>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HOTEL PATI</t>
  </si>
  <si>
    <t>VAN BUETEN</t>
  </si>
  <si>
    <t>Signature:</t>
  </si>
  <si>
    <t>12/10/2013</t>
  </si>
  <si>
    <t>Date contractuelle</t>
  </si>
  <si>
    <t>22/08/2018</t>
  </si>
  <si>
    <t>Date prévisionnelle</t>
  </si>
  <si>
    <t>13/06/2018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</si>
  <si>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</si>
  <si>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</si>
  <si>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</si>
  <si>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</si>
  <si>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</si>
  <si>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</si>
  <si>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</si>
  <si>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</si>
  <si>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</si>
  <si>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</si>
  <si>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Date TS</t>
  </si>
  <si>
    <t>N° Cde Clt</t>
  </si>
  <si>
    <t>Désignation</t>
  </si>
  <si>
    <t>Montant TS ht</t>
  </si>
  <si>
    <t>n° Cde SAP</t>
  </si>
  <si>
    <t>n° SIT°</t>
  </si>
  <si>
    <t>Date</t>
  </si>
  <si>
    <t>Montant Situation HT</t>
  </si>
  <si>
    <t>TS4</t>
  </si>
  <si>
    <t>RAA-AE-VRD-10/2015</t>
  </si>
  <si>
    <t>Aménagement éxterieur H5</t>
  </si>
  <si>
    <t>Annulation cde Aménagement ext H5</t>
  </si>
  <si>
    <t>TS11</t>
  </si>
  <si>
    <t>Aménagement éxterieur H5 / Avenant 01</t>
  </si>
  <si>
    <t>Aménagement éxterieur ILOT C</t>
  </si>
  <si>
    <t>TOTAL TS CDES</t>
  </si>
  <si>
    <t>Aménagement éxterieur H5 / Avenant 02</t>
  </si>
  <si>
    <t>Aménagement éxterieur H5 / Avenant 03</t>
  </si>
  <si>
    <t>Aménagement éxterieur H5 / Avenant 04</t>
  </si>
  <si>
    <t>BAX.230</t>
  </si>
  <si>
    <t>BAX.240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</si>
</sst>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#,##0.00;[Red]\-#,##0.00"/>
    <numFmt numFmtId="168" formatCode="d/m/yy;@"/>
    <numFmt numFmtId="169" formatCode="[$-40C]mmm\-yy;@"/>
    <numFmt numFmtId="170" formatCode="dd/mm/yy;@"/>
    <numFmt numFmtId="171" formatCode="_-* #,##0.00\ [$€-1]_-;\-* #,##0.00\ [$€-1]_-;_-* &quot;-&quot;??\ [$€-1]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</fonts>
  <fills count="19">
    <fill>
      <patternFill patternType="none"/>
    </fill>
    <fill>
      <patternFill patternType="gray125"/>
    </fill>
    <fill>
      <patternFill patternType="solid">
        <fgColor theme="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5" fillId="0" borderId="0"/>
    <xf numFmtId="171" fontId="15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5" fillId="0" borderId="0"/>
    <xf numFmtId="167" fontId="15" fillId="0" borderId="0"/>
  </cellStyleXfs>
  <cellXfs count="249">
    <xf numFmtId="0" fontId="0" fillId="0" borderId="0" xfId="0"/>
    <xf numFmtId="0" fontId="6" fillId="0" borderId="0" xfId="0" applyFont="1" applyAlignment="1">
      <alignment vertical="center"/>
    </xf>
    <xf numFmtId="0" fontId="6" fillId="2" borderId="4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164" fontId="8" fillId="2" borderId="0" xfId="0" applyNumberFormat="1" applyFont="1" applyFill="1" applyBorder="1" applyAlignment="1">
      <alignment horizontal="left" vertical="center"/>
    </xf>
    <xf numFmtId="0" fontId="5" fillId="2" borderId="5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6" fillId="2" borderId="5" xfId="0" applyFont="1" applyFill="1" applyBorder="1" applyAlignment="1">
      <alignment vertical="center"/>
    </xf>
    <xf numFmtId="9" fontId="8" fillId="2" borderId="0" xfId="2" applyNumberFormat="1" applyFont="1" applyFill="1" applyBorder="1" applyAlignment="1">
      <alignment horizontal="left" vertical="center"/>
    </xf>
    <xf numFmtId="166" fontId="8" fillId="2" borderId="0" xfId="0" applyNumberFormat="1" applyFont="1" applyFill="1" applyBorder="1" applyAlignment="1">
      <alignment horizontal="center" vertical="center"/>
    </xf>
    <xf numFmtId="9" fontId="8" fillId="2" borderId="0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vertical="center"/>
    </xf>
    <xf numFmtId="0" fontId="8" fillId="2" borderId="7" xfId="0" applyFont="1" applyFill="1" applyBorder="1" applyAlignment="1">
      <alignment vertical="center"/>
    </xf>
    <xf numFmtId="9" fontId="8" fillId="2" borderId="7" xfId="0" applyNumberFormat="1" applyFont="1" applyFill="1" applyBorder="1" applyAlignment="1">
      <alignment horizontal="center" vertical="center"/>
    </xf>
    <xf numFmtId="0" fontId="6" fillId="2" borderId="8" xfId="0" applyFont="1" applyFill="1" applyBorder="1" applyAlignment="1">
      <alignment vertical="center"/>
    </xf>
    <xf numFmtId="14" fontId="14" fillId="0" borderId="0" xfId="0" applyNumberFormat="1" applyFont="1"/>
    <xf numFmtId="0" fontId="6" fillId="0" borderId="0" xfId="0" applyFont="1" applyAlignment="1">
      <alignment horizontal="right" vertical="center"/>
    </xf>
    <xf numFmtId="9" fontId="6" fillId="0" borderId="0" xfId="0" applyNumberFormat="1" applyFont="1" applyAlignment="1">
      <alignment horizontal="center" vertical="center"/>
    </xf>
    <xf numFmtId="10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4" fontId="11" fillId="0" borderId="11" xfId="3" applyNumberFormat="1" applyFont="1" applyBorder="1" applyAlignment="1">
      <alignment horizontal="center" vertical="center" wrapText="1"/>
    </xf>
    <xf numFmtId="4" fontId="16" fillId="0" borderId="12" xfId="0" applyNumberFormat="1" applyFont="1" applyBorder="1" applyAlignment="1">
      <alignment vertical="center"/>
    </xf>
    <xf numFmtId="168" fontId="16" fillId="0" borderId="12" xfId="0" applyNumberFormat="1" applyFont="1" applyBorder="1" applyAlignment="1">
      <alignment horizontal="center" vertical="center"/>
    </xf>
    <xf numFmtId="1" fontId="16" fillId="0" borderId="12" xfId="0" quotePrefix="1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3" fontId="17" fillId="0" borderId="0" xfId="3" applyNumberFormat="1" applyFont="1" applyAlignment="1">
      <alignment vertical="center"/>
    </xf>
    <xf numFmtId="0" fontId="16" fillId="0" borderId="12" xfId="0" applyFont="1" applyBorder="1" applyAlignment="1">
      <alignment horizontal="center" vertical="center"/>
    </xf>
    <xf numFmtId="0" fontId="16" fillId="0" borderId="12" xfId="0" applyFont="1" applyBorder="1" applyAlignment="1">
      <alignment vertical="center"/>
    </xf>
    <xf numFmtId="168" fontId="16" fillId="0" borderId="12" xfId="0" applyNumberFormat="1" applyFont="1" applyBorder="1" applyAlignment="1">
      <alignment vertical="center"/>
    </xf>
    <xf numFmtId="169" fontId="16" fillId="0" borderId="12" xfId="0" applyNumberFormat="1" applyFont="1" applyBorder="1" applyAlignment="1">
      <alignment horizontal="center" vertical="center"/>
    </xf>
    <xf numFmtId="3" fontId="17" fillId="0" borderId="12" xfId="3" applyNumberFormat="1" applyFont="1" applyBorder="1" applyAlignment="1">
      <alignment vertical="center"/>
    </xf>
    <xf numFmtId="168" fontId="16" fillId="0" borderId="12" xfId="0" quotePrefix="1" applyNumberFormat="1" applyFont="1" applyBorder="1" applyAlignment="1">
      <alignment horizontal="center" vertical="center"/>
    </xf>
    <xf numFmtId="1" fontId="16" fillId="0" borderId="12" xfId="0" applyNumberFormat="1" applyFont="1" applyBorder="1" applyAlignment="1">
      <alignment horizontal="center" vertical="center"/>
    </xf>
    <xf numFmtId="3" fontId="18" fillId="0" borderId="11" xfId="0" applyNumberFormat="1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0" fontId="16" fillId="0" borderId="18" xfId="0" applyFont="1" applyBorder="1" applyAlignment="1">
      <alignment vertical="center"/>
    </xf>
    <xf numFmtId="0" fontId="6" fillId="0" borderId="18" xfId="0" applyFont="1" applyBorder="1" applyAlignment="1">
      <alignment horizontal="right" vertical="center"/>
    </xf>
    <xf numFmtId="10" fontId="16" fillId="3" borderId="18" xfId="2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vertical="center"/>
    </xf>
    <xf numFmtId="0" fontId="16" fillId="0" borderId="20" xfId="0" applyFont="1" applyBorder="1" applyAlignment="1">
      <alignment vertical="center"/>
    </xf>
    <xf numFmtId="0" fontId="16" fillId="0" borderId="21" xfId="0" applyFont="1" applyBorder="1" applyAlignment="1">
      <alignment vertical="center"/>
    </xf>
    <xf numFmtId="0" fontId="6" fillId="0" borderId="21" xfId="0" applyFont="1" applyBorder="1" applyAlignment="1">
      <alignment horizontal="right" vertical="center"/>
    </xf>
    <xf numFmtId="4" fontId="16" fillId="3" borderId="21" xfId="0" applyNumberFormat="1" applyFont="1" applyFill="1" applyBorder="1" applyAlignment="1">
      <alignment vertical="center"/>
    </xf>
    <xf numFmtId="10" fontId="16" fillId="3" borderId="21" xfId="2" applyNumberFormat="1" applyFont="1" applyFill="1" applyBorder="1" applyAlignment="1">
      <alignment horizontal="center" vertical="center"/>
    </xf>
    <xf numFmtId="0" fontId="16" fillId="0" borderId="22" xfId="0" applyFont="1" applyBorder="1" applyAlignment="1">
      <alignment vertical="center"/>
    </xf>
    <xf numFmtId="0" fontId="16" fillId="0" borderId="17" xfId="0" applyFont="1" applyFill="1" applyBorder="1" applyAlignment="1">
      <alignment vertical="center"/>
    </xf>
    <xf numFmtId="0" fontId="16" fillId="0" borderId="18" xfId="0" applyFont="1" applyFill="1" applyBorder="1" applyAlignment="1">
      <alignment vertical="center"/>
    </xf>
    <xf numFmtId="0" fontId="16" fillId="0" borderId="19" xfId="0" applyFont="1" applyFill="1" applyBorder="1" applyAlignment="1">
      <alignment vertical="center"/>
    </xf>
    <xf numFmtId="0" fontId="16" fillId="0" borderId="2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vertical="center"/>
    </xf>
    <xf numFmtId="0" fontId="16" fillId="0" borderId="24" xfId="0" applyFont="1" applyFill="1" applyBorder="1" applyAlignment="1">
      <alignment vertical="center"/>
    </xf>
    <xf numFmtId="4" fontId="16" fillId="0" borderId="0" xfId="0" applyNumberFormat="1" applyFont="1" applyAlignment="1">
      <alignment vertical="center"/>
    </xf>
    <xf numFmtId="0" fontId="19" fillId="0" borderId="0" xfId="0" applyFont="1" applyFill="1" applyBorder="1" applyAlignment="1">
      <alignment horizontal="right"/>
    </xf>
    <xf numFmtId="0" fontId="2" fillId="0" borderId="0" xfId="0" applyFont="1" applyFill="1" applyBorder="1"/>
    <xf numFmtId="3" fontId="10" fillId="4" borderId="26" xfId="0" applyNumberFormat="1" applyFont="1" applyFill="1" applyBorder="1" applyAlignment="1">
      <alignment horizontal="center" vertical="center"/>
    </xf>
    <xf numFmtId="3" fontId="2" fillId="0" borderId="0" xfId="0" applyNumberFormat="1" applyFont="1" applyFill="1" applyBorder="1"/>
    <xf numFmtId="0" fontId="11" fillId="0" borderId="0" xfId="0" applyFont="1" applyFill="1" applyBorder="1"/>
    <xf numFmtId="0" fontId="20" fillId="0" borderId="24" xfId="0" applyFont="1" applyFill="1" applyBorder="1"/>
    <xf numFmtId="3" fontId="10" fillId="3" borderId="26" xfId="0" applyNumberFormat="1" applyFont="1" applyFill="1" applyBorder="1" applyAlignment="1">
      <alignment horizontal="center" vertical="center"/>
    </xf>
    <xf numFmtId="10" fontId="10" fillId="5" borderId="26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 indent="1"/>
    </xf>
    <xf numFmtId="0" fontId="10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6" fillId="0" borderId="23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indent="1"/>
    </xf>
    <xf numFmtId="3" fontId="10" fillId="6" borderId="26" xfId="0" applyNumberFormat="1" applyFont="1" applyFill="1" applyBorder="1" applyAlignment="1">
      <alignment horizontal="center" vertical="center"/>
    </xf>
    <xf numFmtId="10" fontId="10" fillId="6" borderId="26" xfId="0" applyNumberFormat="1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left" vertical="center" indent="1"/>
    </xf>
    <xf numFmtId="0" fontId="2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3" fontId="10" fillId="7" borderId="26" xfId="0" applyNumberFormat="1" applyFont="1" applyFill="1" applyBorder="1" applyAlignment="1">
      <alignment horizontal="center" vertical="center"/>
    </xf>
    <xf numFmtId="10" fontId="10" fillId="7" borderId="26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vertical="center" wrapText="1"/>
    </xf>
    <xf numFmtId="3" fontId="10" fillId="8" borderId="26" xfId="0" applyNumberFormat="1" applyFont="1" applyFill="1" applyBorder="1" applyAlignment="1">
      <alignment horizontal="center" vertical="center"/>
    </xf>
    <xf numFmtId="10" fontId="10" fillId="8" borderId="26" xfId="0" applyNumberFormat="1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vertical="center"/>
    </xf>
    <xf numFmtId="0" fontId="20" fillId="0" borderId="21" xfId="0" applyFont="1" applyFill="1" applyBorder="1"/>
    <xf numFmtId="0" fontId="20" fillId="0" borderId="22" xfId="0" applyFont="1" applyFill="1" applyBorder="1"/>
    <xf numFmtId="0" fontId="19" fillId="0" borderId="0" xfId="0" applyFont="1" applyAlignment="1">
      <alignment vertical="center"/>
    </xf>
    <xf numFmtId="4" fontId="19" fillId="0" borderId="0" xfId="0" applyNumberFormat="1" applyFont="1" applyAlignment="1">
      <alignment vertical="center"/>
    </xf>
    <xf numFmtId="0" fontId="12" fillId="9" borderId="11" xfId="0" applyFont="1" applyFill="1" applyBorder="1" applyAlignment="1">
      <alignment horizontal="center" vertical="center"/>
    </xf>
    <xf numFmtId="0" fontId="12" fillId="9" borderId="11" xfId="0" applyFont="1" applyFill="1" applyBorder="1" applyAlignment="1">
      <alignment horizontal="center" vertical="center" wrapText="1"/>
    </xf>
    <xf numFmtId="49" fontId="9" fillId="10" borderId="5" xfId="1" applyNumberFormat="1" applyFont="1" applyFill="1" applyBorder="1" applyAlignment="1" applyProtection="1">
      <alignment horizontal="center" vertical="center"/>
      <protection locked="0"/>
    </xf>
    <xf numFmtId="49" fontId="3" fillId="10" borderId="5" xfId="1" applyNumberFormat="1" applyFont="1" applyFill="1" applyBorder="1" applyAlignment="1" applyProtection="1">
      <alignment vertical="center"/>
      <protection locked="0"/>
    </xf>
    <xf numFmtId="49" fontId="2" fillId="10" borderId="4" xfId="1" applyNumberFormat="1" applyFont="1" applyFill="1" applyBorder="1" applyAlignment="1" applyProtection="1">
      <alignment horizontal="left" vertical="center"/>
    </xf>
    <xf numFmtId="165" fontId="2" fillId="10" borderId="0" xfId="1" applyNumberFormat="1" applyFont="1" applyFill="1" applyBorder="1" applyAlignment="1" applyProtection="1">
      <alignment horizontal="left" vertical="center"/>
    </xf>
    <xf numFmtId="49" fontId="10" fillId="10" borderId="0" xfId="1" applyNumberFormat="1" applyFont="1" applyFill="1" applyBorder="1" applyAlignment="1" applyProtection="1">
      <alignment horizontal="left" vertical="center"/>
      <protection locked="0"/>
    </xf>
    <xf numFmtId="165" fontId="2" fillId="10" borderId="0" xfId="1" applyNumberFormat="1" applyFont="1" applyFill="1" applyBorder="1" applyAlignment="1" applyProtection="1">
      <alignment horizontal="left" vertical="center"/>
      <protection locked="0"/>
    </xf>
    <xf numFmtId="165" fontId="2" fillId="10" borderId="5" xfId="1" applyNumberFormat="1" applyFont="1" applyFill="1" applyBorder="1" applyAlignment="1" applyProtection="1">
      <alignment horizontal="left" vertical="center"/>
      <protection locked="0"/>
    </xf>
    <xf numFmtId="49" fontId="11" fillId="10" borderId="0" xfId="1" applyNumberFormat="1" applyFont="1" applyFill="1" applyBorder="1" applyAlignment="1" applyProtection="1">
      <alignment vertical="center"/>
      <protection locked="0"/>
    </xf>
    <xf numFmtId="49" fontId="2" fillId="10" borderId="0" xfId="1" applyNumberFormat="1" applyFont="1" applyFill="1" applyBorder="1" applyAlignment="1" applyProtection="1">
      <alignment vertical="center"/>
      <protection locked="0"/>
    </xf>
    <xf numFmtId="49" fontId="2" fillId="10" borderId="5" xfId="1" applyNumberFormat="1" applyFont="1" applyFill="1" applyBorder="1" applyAlignment="1" applyProtection="1">
      <alignment vertical="center"/>
      <protection locked="0"/>
    </xf>
    <xf numFmtId="49" fontId="2" fillId="10" borderId="6" xfId="1" applyNumberFormat="1" applyFont="1" applyFill="1" applyBorder="1" applyAlignment="1" applyProtection="1">
      <alignment horizontal="left" vertical="center"/>
    </xf>
    <xf numFmtId="165" fontId="2" fillId="10" borderId="7" xfId="1" applyNumberFormat="1" applyFont="1" applyFill="1" applyBorder="1" applyAlignment="1" applyProtection="1">
      <alignment horizontal="left" vertical="center"/>
    </xf>
    <xf numFmtId="49" fontId="13" fillId="10" borderId="7" xfId="1" applyNumberFormat="1" applyFont="1" applyFill="1" applyBorder="1" applyAlignment="1" applyProtection="1">
      <alignment vertical="center"/>
      <protection locked="0"/>
    </xf>
    <xf numFmtId="49" fontId="2" fillId="10" borderId="7" xfId="1" applyNumberFormat="1" applyFont="1" applyFill="1" applyBorder="1" applyAlignment="1" applyProtection="1">
      <alignment vertical="center"/>
      <protection locked="0"/>
    </xf>
    <xf numFmtId="49" fontId="2" fillId="10" borderId="8" xfId="1" applyNumberFormat="1" applyFont="1" applyFill="1" applyBorder="1" applyAlignment="1" applyProtection="1">
      <alignment vertical="center"/>
      <protection locked="0"/>
    </xf>
    <xf numFmtId="0" fontId="6" fillId="11" borderId="1" xfId="0" quotePrefix="1" applyFont="1" applyFill="1" applyBorder="1" applyAlignment="1">
      <alignment vertical="center"/>
    </xf>
    <xf numFmtId="0" fontId="6" fillId="11" borderId="2" xfId="0" applyFont="1" applyFill="1" applyBorder="1" applyAlignment="1">
      <alignment vertical="center"/>
    </xf>
    <xf numFmtId="0" fontId="6" fillId="11" borderId="2" xfId="0" applyFont="1" applyFill="1" applyBorder="1" applyAlignment="1">
      <alignment horizontal="right" vertical="center"/>
    </xf>
    <xf numFmtId="0" fontId="7" fillId="11" borderId="3" xfId="0" applyFont="1" applyFill="1" applyBorder="1" applyAlignment="1">
      <alignment vertical="center"/>
    </xf>
    <xf numFmtId="0" fontId="6" fillId="11" borderId="4" xfId="0" quotePrefix="1" applyFont="1" applyFill="1" applyBorder="1" applyAlignment="1">
      <alignment vertical="center"/>
    </xf>
    <xf numFmtId="0" fontId="6" fillId="11" borderId="0" xfId="0" applyFont="1" applyFill="1" applyBorder="1" applyAlignment="1">
      <alignment vertical="center"/>
    </xf>
    <xf numFmtId="0" fontId="6" fillId="11" borderId="5" xfId="0" applyFont="1" applyFill="1" applyBorder="1" applyAlignment="1">
      <alignment vertical="center"/>
    </xf>
    <xf numFmtId="0" fontId="6" fillId="11" borderId="4" xfId="0" applyFont="1" applyFill="1" applyBorder="1" applyAlignment="1">
      <alignment vertical="center"/>
    </xf>
    <xf numFmtId="0" fontId="12" fillId="11" borderId="4" xfId="0" quotePrefix="1" applyFont="1" applyFill="1" applyBorder="1" applyAlignment="1">
      <alignment vertical="center"/>
    </xf>
    <xf numFmtId="0" fontId="12" fillId="11" borderId="0" xfId="0" applyFont="1" applyFill="1" applyBorder="1" applyAlignment="1">
      <alignment vertical="center"/>
    </xf>
    <xf numFmtId="0" fontId="12" fillId="11" borderId="6" xfId="0" quotePrefix="1" applyFont="1" applyFill="1" applyBorder="1" applyAlignment="1">
      <alignment vertical="center"/>
    </xf>
    <xf numFmtId="0" fontId="12" fillId="11" borderId="7" xfId="0" applyFont="1" applyFill="1" applyBorder="1" applyAlignment="1">
      <alignment vertical="center"/>
    </xf>
    <xf numFmtId="0" fontId="6" fillId="11" borderId="7" xfId="0" applyFont="1" applyFill="1" applyBorder="1" applyAlignment="1">
      <alignment vertical="center"/>
    </xf>
    <xf numFmtId="0" fontId="6" fillId="11" borderId="8" xfId="0" applyFont="1" applyFill="1" applyBorder="1" applyAlignment="1">
      <alignment vertical="center"/>
    </xf>
    <xf numFmtId="0" fontId="16" fillId="9" borderId="13" xfId="0" applyFont="1" applyFill="1" applyBorder="1" applyAlignment="1">
      <alignment vertical="center"/>
    </xf>
    <xf numFmtId="0" fontId="16" fillId="9" borderId="14" xfId="0" applyFont="1" applyFill="1" applyBorder="1" applyAlignment="1">
      <alignment vertical="center"/>
    </xf>
    <xf numFmtId="4" fontId="16" fillId="9" borderId="15" xfId="0" applyNumberFormat="1" applyFont="1" applyFill="1" applyBorder="1" applyAlignment="1">
      <alignment vertical="center"/>
    </xf>
    <xf numFmtId="0" fontId="16" fillId="9" borderId="15" xfId="0" applyFont="1" applyFill="1" applyBorder="1" applyAlignment="1">
      <alignment vertical="center"/>
    </xf>
    <xf numFmtId="4" fontId="16" fillId="9" borderId="16" xfId="0" applyNumberFormat="1" applyFont="1" applyFill="1" applyBorder="1" applyAlignment="1">
      <alignment vertical="center"/>
    </xf>
    <xf numFmtId="49" fontId="2" fillId="10" borderId="4" xfId="1" applyNumberFormat="1" applyFont="1" applyFill="1" applyBorder="1" applyAlignment="1" applyProtection="1">
      <alignment horizontal="left" vertical="center"/>
    </xf>
    <xf numFmtId="0" fontId="6" fillId="13" borderId="1" xfId="0" quotePrefix="1" applyFont="1" applyFill="1" applyBorder="1" applyAlignment="1">
      <alignment vertical="center"/>
    </xf>
    <xf numFmtId="0" fontId="6" fillId="13" borderId="2" xfId="0" applyFont="1" applyFill="1" applyBorder="1" applyAlignment="1">
      <alignment vertical="center"/>
    </xf>
    <xf numFmtId="0" fontId="6" fillId="13" borderId="2" xfId="0" applyFont="1" applyFill="1" applyBorder="1" applyAlignment="1">
      <alignment horizontal="right" vertical="center"/>
    </xf>
    <xf numFmtId="0" fontId="6" fillId="13" borderId="4" xfId="0" quotePrefix="1" applyFont="1" applyFill="1" applyBorder="1" applyAlignment="1">
      <alignment vertical="center"/>
    </xf>
    <xf numFmtId="0" fontId="6" fillId="13" borderId="0" xfId="0" applyFont="1" applyFill="1" applyBorder="1" applyAlignment="1">
      <alignment vertical="center"/>
    </xf>
    <xf numFmtId="0" fontId="6" fillId="13" borderId="5" xfId="0" applyFont="1" applyFill="1" applyBorder="1" applyAlignment="1">
      <alignment vertical="center"/>
    </xf>
    <xf numFmtId="0" fontId="6" fillId="13" borderId="7" xfId="0" applyFont="1" applyFill="1" applyBorder="1" applyAlignment="1">
      <alignment vertical="center"/>
    </xf>
    <xf numFmtId="0" fontId="6" fillId="13" borderId="8" xfId="0" applyFont="1" applyFill="1" applyBorder="1" applyAlignment="1">
      <alignment vertical="center"/>
    </xf>
    <xf numFmtId="168" fontId="22" fillId="0" borderId="0" xfId="0" applyNumberFormat="1" applyFont="1" applyAlignment="1">
      <alignment vertical="center"/>
    </xf>
    <xf numFmtId="4" fontId="11" fillId="0" borderId="11" xfId="4" applyNumberFormat="1" applyFont="1" applyBorder="1" applyAlignment="1">
      <alignment horizontal="center" vertical="center" wrapText="1"/>
    </xf>
    <xf numFmtId="3" fontId="17" fillId="0" borderId="0" xfId="4" applyNumberFormat="1" applyFont="1" applyAlignment="1">
      <alignment vertical="center"/>
    </xf>
    <xf numFmtId="0" fontId="16" fillId="0" borderId="23" xfId="0" applyFont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6" fillId="0" borderId="24" xfId="0" applyFont="1" applyBorder="1" applyAlignment="1">
      <alignment vertical="center"/>
    </xf>
    <xf numFmtId="0" fontId="19" fillId="0" borderId="0" xfId="0" applyFont="1" applyBorder="1" applyAlignment="1">
      <alignment horizontal="right"/>
    </xf>
    <xf numFmtId="0" fontId="2" fillId="14" borderId="0" xfId="0" applyFont="1" applyFill="1" applyBorder="1"/>
    <xf numFmtId="3" fontId="10" fillId="5" borderId="26" xfId="0" applyNumberFormat="1" applyFont="1" applyFill="1" applyBorder="1" applyAlignment="1">
      <alignment horizontal="center" vertical="center"/>
    </xf>
    <xf numFmtId="0" fontId="11" fillId="14" borderId="0" xfId="0" applyFont="1" applyFill="1" applyBorder="1"/>
    <xf numFmtId="3" fontId="11" fillId="14" borderId="0" xfId="0" applyNumberFormat="1" applyFont="1" applyFill="1" applyBorder="1"/>
    <xf numFmtId="0" fontId="20" fillId="14" borderId="24" xfId="0" applyFont="1" applyFill="1" applyBorder="1"/>
    <xf numFmtId="168" fontId="16" fillId="0" borderId="0" xfId="0" applyNumberFormat="1" applyFont="1" applyAlignment="1">
      <alignment vertical="center"/>
    </xf>
    <xf numFmtId="3" fontId="10" fillId="15" borderId="26" xfId="0" applyNumberFormat="1" applyFont="1" applyFill="1" applyBorder="1" applyAlignment="1">
      <alignment horizontal="center" vertical="center"/>
    </xf>
    <xf numFmtId="0" fontId="10" fillId="14" borderId="0" xfId="0" applyFont="1" applyFill="1" applyBorder="1" applyAlignment="1">
      <alignment horizontal="left" vertical="center" indent="1"/>
    </xf>
    <xf numFmtId="0" fontId="21" fillId="14" borderId="0" xfId="0" applyFont="1" applyFill="1" applyBorder="1" applyAlignment="1">
      <alignment vertical="center"/>
    </xf>
    <xf numFmtId="0" fontId="6" fillId="0" borderId="23" xfId="0" applyFont="1" applyBorder="1" applyAlignment="1">
      <alignment vertical="center"/>
    </xf>
    <xf numFmtId="0" fontId="2" fillId="14" borderId="0" xfId="0" applyFont="1" applyFill="1" applyBorder="1" applyAlignment="1">
      <alignment horizontal="left" indent="1"/>
    </xf>
    <xf numFmtId="0" fontId="10" fillId="14" borderId="23" xfId="0" applyFont="1" applyFill="1" applyBorder="1" applyAlignment="1">
      <alignment horizontal="left" vertical="center" indent="1"/>
    </xf>
    <xf numFmtId="0" fontId="11" fillId="14" borderId="0" xfId="0" applyFont="1" applyFill="1" applyBorder="1" applyAlignment="1">
      <alignment vertical="center"/>
    </xf>
    <xf numFmtId="0" fontId="21" fillId="14" borderId="0" xfId="0" applyFont="1" applyFill="1" applyBorder="1" applyAlignment="1">
      <alignment vertical="center" wrapText="1"/>
    </xf>
    <xf numFmtId="0" fontId="6" fillId="0" borderId="20" xfId="0" applyFont="1" applyBorder="1" applyAlignment="1">
      <alignment vertical="center"/>
    </xf>
    <xf numFmtId="0" fontId="20" fillId="14" borderId="21" xfId="0" applyFont="1" applyFill="1" applyBorder="1"/>
    <xf numFmtId="0" fontId="20" fillId="14" borderId="22" xfId="0" applyFont="1" applyFill="1" applyBorder="1"/>
    <xf numFmtId="49" fontId="2" fillId="12" borderId="1" xfId="5" applyNumberFormat="1" applyFont="1" applyFill="1" applyBorder="1" applyAlignment="1" applyProtection="1">
      <alignment horizontal="left" vertical="center"/>
    </xf>
    <xf numFmtId="165" fontId="2" fillId="12" borderId="2" xfId="5" applyNumberFormat="1" applyFont="1" applyFill="1" applyBorder="1" applyAlignment="1" applyProtection="1">
      <alignment horizontal="left" vertical="center"/>
    </xf>
    <xf numFmtId="49" fontId="3" fillId="12" borderId="2" xfId="5" applyNumberFormat="1" applyFont="1" applyFill="1" applyBorder="1" applyAlignment="1" applyProtection="1">
      <alignment vertical="center" wrapText="1"/>
      <protection locked="0"/>
    </xf>
    <xf numFmtId="49" fontId="3" fillId="12" borderId="3" xfId="5" applyNumberFormat="1" applyFont="1" applyFill="1" applyBorder="1" applyAlignment="1" applyProtection="1">
      <alignment vertical="center" wrapText="1"/>
      <protection locked="0"/>
    </xf>
    <xf numFmtId="0" fontId="23" fillId="13" borderId="3" xfId="0" applyFont="1" applyFill="1" applyBorder="1" applyAlignment="1">
      <alignment vertical="center"/>
    </xf>
    <xf numFmtId="49" fontId="2" fillId="12" borderId="4" xfId="5" applyNumberFormat="1" applyFont="1" applyFill="1" applyBorder="1" applyAlignment="1" applyProtection="1">
      <alignment horizontal="left" vertical="center"/>
    </xf>
    <xf numFmtId="165" fontId="2" fillId="12" borderId="0" xfId="5" applyNumberFormat="1" applyFont="1" applyFill="1" applyBorder="1" applyAlignment="1" applyProtection="1">
      <alignment horizontal="left" vertical="center"/>
    </xf>
    <xf numFmtId="49" fontId="9" fillId="12" borderId="5" xfId="5" applyNumberFormat="1" applyFont="1" applyFill="1" applyBorder="1" applyAlignment="1" applyProtection="1">
      <alignment vertical="center" wrapText="1"/>
      <protection locked="0"/>
    </xf>
    <xf numFmtId="0" fontId="6" fillId="16" borderId="4" xfId="0" applyFont="1" applyFill="1" applyBorder="1" applyAlignment="1">
      <alignment vertical="center"/>
    </xf>
    <xf numFmtId="0" fontId="6" fillId="16" borderId="0" xfId="0" applyFont="1" applyFill="1" applyBorder="1" applyAlignment="1">
      <alignment vertical="center"/>
    </xf>
    <xf numFmtId="164" fontId="8" fillId="16" borderId="0" xfId="0" applyNumberFormat="1" applyFont="1" applyFill="1" applyBorder="1" applyAlignment="1">
      <alignment horizontal="left" vertical="center"/>
    </xf>
    <xf numFmtId="0" fontId="5" fillId="16" borderId="5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0" fontId="6" fillId="16" borderId="5" xfId="0" applyFont="1" applyFill="1" applyBorder="1" applyAlignment="1">
      <alignment vertical="center"/>
    </xf>
    <xf numFmtId="49" fontId="2" fillId="12" borderId="6" xfId="5" applyNumberFormat="1" applyFont="1" applyFill="1" applyBorder="1" applyAlignment="1" applyProtection="1">
      <alignment horizontal="left" vertical="center"/>
    </xf>
    <xf numFmtId="165" fontId="2" fillId="12" borderId="7" xfId="5" applyNumberFormat="1" applyFont="1" applyFill="1" applyBorder="1" applyAlignment="1" applyProtection="1">
      <alignment horizontal="left" vertical="center"/>
    </xf>
    <xf numFmtId="49" fontId="3" fillId="12" borderId="7" xfId="5" applyNumberFormat="1" applyFont="1" applyFill="1" applyBorder="1" applyAlignment="1" applyProtection="1">
      <alignment vertical="center" wrapText="1"/>
      <protection locked="0"/>
    </xf>
    <xf numFmtId="49" fontId="3" fillId="12" borderId="8" xfId="5" applyNumberFormat="1" applyFont="1" applyFill="1" applyBorder="1" applyAlignment="1" applyProtection="1">
      <alignment vertical="center" wrapText="1"/>
      <protection locked="0"/>
    </xf>
    <xf numFmtId="0" fontId="6" fillId="16" borderId="6" xfId="0" applyFont="1" applyFill="1" applyBorder="1" applyAlignment="1">
      <alignment vertical="center"/>
    </xf>
    <xf numFmtId="0" fontId="6" fillId="16" borderId="7" xfId="0" applyFont="1" applyFill="1" applyBorder="1" applyAlignment="1">
      <alignment vertical="center"/>
    </xf>
    <xf numFmtId="9" fontId="8" fillId="16" borderId="7" xfId="6" applyNumberFormat="1" applyFont="1" applyFill="1" applyBorder="1" applyAlignment="1">
      <alignment horizontal="left" vertical="center"/>
    </xf>
    <xf numFmtId="0" fontId="6" fillId="16" borderId="8" xfId="0" applyFont="1" applyFill="1" applyBorder="1" applyAlignment="1">
      <alignment vertical="center"/>
    </xf>
    <xf numFmtId="0" fontId="6" fillId="13" borderId="6" xfId="0" quotePrefix="1" applyFont="1" applyFill="1" applyBorder="1" applyAlignment="1">
      <alignment vertical="center"/>
    </xf>
    <xf numFmtId="4" fontId="6" fillId="0" borderId="0" xfId="0" applyNumberFormat="1" applyFont="1" applyAlignment="1">
      <alignment horizontal="right" vertical="center"/>
    </xf>
    <xf numFmtId="0" fontId="12" fillId="17" borderId="11" xfId="0" applyFont="1" applyFill="1" applyBorder="1" applyAlignment="1">
      <alignment horizontal="center" vertical="center"/>
    </xf>
    <xf numFmtId="0" fontId="12" fillId="17" borderId="11" xfId="0" applyFont="1" applyFill="1" applyBorder="1" applyAlignment="1">
      <alignment horizontal="center" vertical="center" wrapText="1"/>
    </xf>
    <xf numFmtId="4" fontId="11" fillId="0" borderId="11" xfId="7" applyNumberFormat="1" applyFont="1" applyBorder="1" applyAlignment="1">
      <alignment horizontal="center" vertical="center" wrapText="1"/>
    </xf>
    <xf numFmtId="0" fontId="16" fillId="18" borderId="12" xfId="0" applyFont="1" applyFill="1" applyBorder="1" applyAlignment="1">
      <alignment horizontal="center" vertical="center"/>
    </xf>
    <xf numFmtId="14" fontId="16" fillId="18" borderId="12" xfId="0" applyNumberFormat="1" applyFont="1" applyFill="1" applyBorder="1" applyAlignment="1">
      <alignment horizontal="center" vertical="center"/>
    </xf>
    <xf numFmtId="168" fontId="16" fillId="18" borderId="12" xfId="0" applyNumberFormat="1" applyFont="1" applyFill="1" applyBorder="1" applyAlignment="1">
      <alignment vertical="center"/>
    </xf>
    <xf numFmtId="169" fontId="16" fillId="18" borderId="12" xfId="0" applyNumberFormat="1" applyFont="1" applyFill="1" applyBorder="1" applyAlignment="1">
      <alignment horizontal="center" vertical="center"/>
    </xf>
    <xf numFmtId="4" fontId="16" fillId="18" borderId="12" xfId="0" applyNumberFormat="1" applyFont="1" applyFill="1" applyBorder="1" applyAlignment="1">
      <alignment vertical="center"/>
    </xf>
    <xf numFmtId="0" fontId="16" fillId="18" borderId="12" xfId="0" applyNumberFormat="1" applyFont="1" applyFill="1" applyBorder="1" applyAlignment="1">
      <alignment horizontal="center" vertical="center"/>
    </xf>
    <xf numFmtId="170" fontId="16" fillId="18" borderId="12" xfId="0" applyNumberFormat="1" applyFont="1" applyFill="1" applyBorder="1" applyAlignment="1">
      <alignment vertical="center"/>
    </xf>
    <xf numFmtId="0" fontId="16" fillId="18" borderId="12" xfId="0" applyFont="1" applyFill="1" applyBorder="1" applyAlignment="1">
      <alignment vertical="center"/>
    </xf>
    <xf numFmtId="4" fontId="16" fillId="0" borderId="12" xfId="0" applyNumberFormat="1" applyFont="1" applyFill="1" applyBorder="1" applyAlignment="1">
      <alignment vertical="center"/>
    </xf>
    <xf numFmtId="168" fontId="16" fillId="18" borderId="12" xfId="0" applyNumberFormat="1" applyFont="1" applyFill="1" applyBorder="1" applyAlignment="1">
      <alignment horizontal="center" vertical="center"/>
    </xf>
    <xf numFmtId="1" fontId="16" fillId="3" borderId="12" xfId="0" applyNumberFormat="1" applyFont="1" applyFill="1" applyBorder="1" applyAlignment="1">
      <alignment horizontal="center" vertical="center"/>
    </xf>
    <xf numFmtId="3" fontId="17" fillId="0" borderId="0" xfId="8" applyNumberFormat="1" applyFont="1" applyAlignment="1">
      <alignment vertical="center"/>
    </xf>
    <xf numFmtId="14" fontId="16" fillId="0" borderId="12" xfId="0" applyNumberFormat="1" applyFont="1" applyBorder="1" applyAlignment="1">
      <alignment horizontal="center" vertical="center"/>
    </xf>
    <xf numFmtId="0" fontId="16" fillId="0" borderId="12" xfId="0" applyNumberFormat="1" applyFont="1" applyBorder="1" applyAlignment="1">
      <alignment horizontal="center" vertical="center"/>
    </xf>
    <xf numFmtId="170" fontId="16" fillId="0" borderId="12" xfId="0" applyNumberFormat="1" applyFont="1" applyBorder="1" applyAlignment="1">
      <alignment vertical="center"/>
    </xf>
    <xf numFmtId="168" fontId="22" fillId="0" borderId="12" xfId="0" applyNumberFormat="1" applyFont="1" applyFill="1" applyBorder="1" applyAlignment="1">
      <alignment horizontal="center" vertical="center"/>
    </xf>
    <xf numFmtId="3" fontId="17" fillId="0" borderId="0" xfId="7" applyNumberFormat="1" applyFont="1" applyAlignment="1">
      <alignment vertical="center"/>
    </xf>
    <xf numFmtId="0" fontId="16" fillId="17" borderId="13" xfId="0" applyFont="1" applyFill="1" applyBorder="1" applyAlignment="1">
      <alignment vertical="center"/>
    </xf>
    <xf numFmtId="0" fontId="16" fillId="17" borderId="14" xfId="0" applyFont="1" applyFill="1" applyBorder="1" applyAlignment="1">
      <alignment vertical="center"/>
    </xf>
    <xf numFmtId="4" fontId="16" fillId="17" borderId="15" xfId="0" applyNumberFormat="1" applyFont="1" applyFill="1" applyBorder="1" applyAlignment="1">
      <alignment vertical="center"/>
    </xf>
    <xf numFmtId="0" fontId="16" fillId="17" borderId="15" xfId="0" applyNumberFormat="1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vertical="center"/>
    </xf>
    <xf numFmtId="4" fontId="16" fillId="17" borderId="16" xfId="0" applyNumberFormat="1" applyFont="1" applyFill="1" applyBorder="1" applyAlignment="1">
      <alignment vertical="center"/>
    </xf>
    <xf numFmtId="10" fontId="6" fillId="0" borderId="0" xfId="2" applyNumberFormat="1" applyFont="1" applyAlignment="1">
      <alignment vertical="center"/>
    </xf>
    <xf numFmtId="3" fontId="6" fillId="0" borderId="0" xfId="0" applyNumberFormat="1" applyFont="1" applyAlignment="1">
      <alignment vertical="center"/>
    </xf>
    <xf numFmtId="4" fontId="6" fillId="0" borderId="0" xfId="0" applyNumberFormat="1" applyFont="1" applyAlignment="1">
      <alignment vertical="center"/>
    </xf>
    <xf numFmtId="4" fontId="6" fillId="11" borderId="0" xfId="0" applyNumberFormat="1" applyFont="1" applyFill="1" applyBorder="1" applyAlignment="1">
      <alignment horizontal="center" vertical="center"/>
    </xf>
    <xf numFmtId="49" fontId="2" fillId="10" borderId="1" xfId="1" applyNumberFormat="1" applyFont="1" applyFill="1" applyBorder="1" applyAlignment="1" applyProtection="1">
      <alignment horizontal="left" vertical="center"/>
    </xf>
    <xf numFmtId="49" fontId="2" fillId="10" borderId="2" xfId="1" applyNumberFormat="1" applyFont="1" applyFill="1" applyBorder="1" applyAlignment="1" applyProtection="1">
      <alignment horizontal="left" vertical="center"/>
    </xf>
    <xf numFmtId="49" fontId="2" fillId="10" borderId="4" xfId="1" applyNumberFormat="1" applyFont="1" applyFill="1" applyBorder="1" applyAlignment="1" applyProtection="1">
      <alignment horizontal="left" vertical="center"/>
    </xf>
    <xf numFmtId="49" fontId="2" fillId="10" borderId="0" xfId="1" applyNumberFormat="1" applyFont="1" applyFill="1" applyBorder="1" applyAlignment="1" applyProtection="1">
      <alignment horizontal="left" vertical="center"/>
    </xf>
    <xf numFmtId="49" fontId="3" fillId="10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10" borderId="0" xfId="1" applyNumberFormat="1" applyFont="1" applyFill="1" applyBorder="1" applyAlignment="1" applyProtection="1">
      <alignment horizontal="center" vertical="center" wrapText="1"/>
      <protection locked="0"/>
    </xf>
    <xf numFmtId="49" fontId="4" fillId="10" borderId="3" xfId="1" applyNumberFormat="1" applyFont="1" applyFill="1" applyBorder="1" applyAlignment="1" applyProtection="1">
      <alignment horizontal="center" vertical="center" wrapText="1"/>
      <protection locked="0"/>
    </xf>
    <xf numFmtId="49" fontId="4" fillId="10" borderId="5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4" fontId="6" fillId="11" borderId="2" xfId="0" applyNumberFormat="1" applyFont="1" applyFill="1" applyBorder="1" applyAlignment="1">
      <alignment horizontal="center" vertical="center"/>
    </xf>
    <xf numFmtId="3" fontId="10" fillId="0" borderId="13" xfId="0" applyNumberFormat="1" applyFont="1" applyFill="1" applyBorder="1" applyAlignment="1">
      <alignment horizontal="center" vertical="center"/>
    </xf>
    <xf numFmtId="3" fontId="10" fillId="0" borderId="14" xfId="0" applyNumberFormat="1" applyFont="1" applyFill="1" applyBorder="1" applyAlignment="1">
      <alignment horizontal="center" vertical="center"/>
    </xf>
    <xf numFmtId="3" fontId="10" fillId="0" borderId="25" xfId="0" applyNumberFormat="1" applyFont="1" applyFill="1" applyBorder="1" applyAlignment="1">
      <alignment horizontal="center" vertical="center"/>
    </xf>
    <xf numFmtId="4" fontId="12" fillId="11" borderId="0" xfId="0" applyNumberFormat="1" applyFont="1" applyFill="1" applyBorder="1" applyAlignment="1">
      <alignment horizontal="center" vertical="center"/>
    </xf>
    <xf numFmtId="4" fontId="12" fillId="11" borderId="7" xfId="0" applyNumberFormat="1" applyFont="1" applyFill="1" applyBorder="1" applyAlignment="1">
      <alignment horizontal="center" vertical="center"/>
    </xf>
    <xf numFmtId="0" fontId="12" fillId="9" borderId="9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2" fontId="10" fillId="0" borderId="13" xfId="0" applyNumberFormat="1" applyFont="1" applyFill="1" applyBorder="1" applyAlignment="1">
      <alignment horizontal="center" vertical="center"/>
    </xf>
    <xf numFmtId="2" fontId="10" fillId="0" borderId="14" xfId="0" applyNumberFormat="1" applyFont="1" applyFill="1" applyBorder="1" applyAlignment="1">
      <alignment horizontal="center" vertical="center"/>
    </xf>
    <xf numFmtId="2" fontId="10" fillId="0" borderId="25" xfId="0" applyNumberFormat="1" applyFont="1" applyFill="1" applyBorder="1" applyAlignment="1">
      <alignment horizontal="center" vertical="center"/>
    </xf>
    <xf numFmtId="3" fontId="10" fillId="14" borderId="13" xfId="0" applyNumberFormat="1" applyFont="1" applyFill="1" applyBorder="1" applyAlignment="1">
      <alignment horizontal="center" vertical="center"/>
    </xf>
    <xf numFmtId="3" fontId="10" fillId="14" borderId="14" xfId="0" applyNumberFormat="1" applyFont="1" applyFill="1" applyBorder="1" applyAlignment="1">
      <alignment horizontal="center" vertical="center"/>
    </xf>
    <xf numFmtId="3" fontId="10" fillId="14" borderId="25" xfId="0" applyNumberFormat="1" applyFont="1" applyFill="1" applyBorder="1" applyAlignment="1">
      <alignment horizontal="center" vertical="center"/>
    </xf>
    <xf numFmtId="0" fontId="10" fillId="14" borderId="13" xfId="0" applyFont="1" applyFill="1" applyBorder="1" applyAlignment="1">
      <alignment horizontal="center" vertical="center"/>
    </xf>
    <xf numFmtId="0" fontId="10" fillId="14" borderId="14" xfId="0" applyFont="1" applyFill="1" applyBorder="1" applyAlignment="1">
      <alignment horizontal="center" vertical="center"/>
    </xf>
    <xf numFmtId="0" fontId="10" fillId="14" borderId="25" xfId="0" applyFont="1" applyFill="1" applyBorder="1" applyAlignment="1">
      <alignment horizontal="center" vertical="center"/>
    </xf>
    <xf numFmtId="2" fontId="10" fillId="14" borderId="13" xfId="0" applyNumberFormat="1" applyFont="1" applyFill="1" applyBorder="1" applyAlignment="1">
      <alignment horizontal="center" vertical="center"/>
    </xf>
    <xf numFmtId="2" fontId="10" fillId="14" borderId="14" xfId="0" applyNumberFormat="1" applyFont="1" applyFill="1" applyBorder="1" applyAlignment="1">
      <alignment horizontal="center" vertical="center"/>
    </xf>
    <xf numFmtId="2" fontId="10" fillId="14" borderId="25" xfId="0" applyNumberFormat="1" applyFont="1" applyFill="1" applyBorder="1" applyAlignment="1">
      <alignment horizontal="center" vertical="center"/>
    </xf>
    <xf numFmtId="4" fontId="6" fillId="13" borderId="7" xfId="0" applyNumberFormat="1" applyFont="1" applyFill="1" applyBorder="1" applyAlignment="1">
      <alignment horizontal="center" vertical="center"/>
    </xf>
    <xf numFmtId="0" fontId="12" fillId="17" borderId="9" xfId="0" applyFont="1" applyFill="1" applyBorder="1" applyAlignment="1">
      <alignment horizontal="center" vertical="center"/>
    </xf>
    <xf numFmtId="0" fontId="12" fillId="17" borderId="10" xfId="0" applyFont="1" applyFill="1" applyBorder="1" applyAlignment="1">
      <alignment horizontal="center" vertical="center"/>
    </xf>
    <xf numFmtId="0" fontId="5" fillId="16" borderId="4" xfId="0" applyFont="1" applyFill="1" applyBorder="1" applyAlignment="1">
      <alignment horizontal="center" vertical="center"/>
    </xf>
    <xf numFmtId="0" fontId="5" fillId="16" borderId="0" xfId="0" applyFont="1" applyFill="1" applyBorder="1" applyAlignment="1">
      <alignment horizontal="center" vertical="center"/>
    </xf>
    <xf numFmtId="0" fontId="5" fillId="16" borderId="5" xfId="0" applyFont="1" applyFill="1" applyBorder="1" applyAlignment="1">
      <alignment horizontal="center" vertical="center"/>
    </xf>
    <xf numFmtId="4" fontId="6" fillId="13" borderId="2" xfId="0" applyNumberFormat="1" applyFont="1" applyFill="1" applyBorder="1" applyAlignment="1">
      <alignment horizontal="center" vertical="center"/>
    </xf>
    <xf numFmtId="49" fontId="3" fillId="12" borderId="0" xfId="5" applyNumberFormat="1" applyFont="1" applyFill="1" applyBorder="1" applyAlignment="1" applyProtection="1">
      <alignment horizontal="left" vertical="center" wrapText="1"/>
      <protection locked="0"/>
    </xf>
    <xf numFmtId="4" fontId="6" fillId="13" borderId="0" xfId="0" applyNumberFormat="1" applyFont="1" applyFill="1" applyBorder="1" applyAlignment="1">
      <alignment horizontal="center" vertical="center"/>
    </xf>
  </cellXfs>
  <cellStyles count="9">
    <cellStyle name="Milliers" xfId="1" builtinId="3"/>
    <cellStyle name="Milliers 2 3" xfId="5"/>
    <cellStyle name="Normal" xfId="0" builtinId="0"/>
    <cellStyle name="Normal_Compte client AL ALIA" xfId="3"/>
    <cellStyle name="Normal_Compte client AL ALIA 2" xfId="4"/>
    <cellStyle name="Normal_Compte client AL ALIA 2 2" xfId="8"/>
    <cellStyle name="Normal_Compte client AL ALIA 5" xfId="7"/>
    <cellStyle name="Pourcentage" xfId="2" builtinId="5"/>
    <cellStyle name="Pourcentage 2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7"/>
  <sheetViews>
    <sheetView tabSelected="1" zoomScaleNormal="100" workbookViewId="0">
      <selection activeCell="R28" sqref="R28"/>
    </sheetView>
  </sheetViews>
  <sheetFormatPr baseColWidth="10" defaultColWidth="11.42578125" defaultRowHeight="16.5"/>
  <cols>
    <col min="1" max="4" width="11.7109375" style="1" customWidth="1"/>
    <col min="5" max="5" width="13.28515625" style="1" bestFit="1" customWidth="1"/>
    <col min="6" max="6" width="12.42578125" style="1" customWidth="1"/>
    <col min="7" max="8" width="11.7109375" style="1" customWidth="1"/>
    <col min="9" max="9" width="13.28515625" style="1" bestFit="1" customWidth="1"/>
    <col min="10" max="10" width="13.5703125" style="1" customWidth="1"/>
    <col min="11" max="11" width="13" style="1" customWidth="1"/>
    <col min="12" max="14" width="11.7109375" style="1" customWidth="1"/>
    <col min="15" max="15" width="12.85546875" style="1" bestFit="1" customWidth="1"/>
    <col min="16" max="16" width="12.7109375" style="1" customWidth="1"/>
    <col min="17" max="22" width="11.7109375" style="1" customWidth="1"/>
    <col min="23" max="23" width="11.42578125" style="1"/>
    <col min="24" max="24" width="12.7109375" style="1" bestFit="1" customWidth="1"/>
    <col min="25" max="16384" width="11.42578125" style="1"/>
  </cols>
  <sheetData>
    <row r="1" spans="1:24" ht="21" customHeight="1">
      <c r="A1" s="206" t="s">
        <v>0</v>
      </c>
      <c r="B1" s="207"/>
      <c r="C1" s="210" t="s">
        <v>61</v>
      </c>
      <c r="D1" s="210"/>
      <c r="E1" s="210"/>
      <c r="F1" s="212" t="s">
        <v>98</v>
      </c>
      <c r="G1" s="214" t="s">
        <v>1</v>
      </c>
      <c r="H1" s="215"/>
      <c r="I1" s="215"/>
      <c r="J1" s="216"/>
      <c r="K1" s="99" t="s">
        <v>2</v>
      </c>
      <c r="L1" s="100"/>
      <c r="M1" s="217">
        <v>259394877.09959999</v>
      </c>
      <c r="N1" s="217"/>
      <c r="O1" s="101" t="s">
        <v>3</v>
      </c>
      <c r="P1" s="102">
        <v>33364</v>
      </c>
    </row>
    <row r="2" spans="1:24" ht="21">
      <c r="A2" s="208"/>
      <c r="B2" s="209"/>
      <c r="C2" s="211"/>
      <c r="D2" s="211"/>
      <c r="E2" s="211"/>
      <c r="F2" s="213"/>
      <c r="G2" s="2" t="s">
        <v>4</v>
      </c>
      <c r="H2" s="3"/>
      <c r="I2" s="4">
        <v>45</v>
      </c>
      <c r="J2" s="5"/>
      <c r="K2" s="103" t="s">
        <v>5</v>
      </c>
      <c r="L2" s="104"/>
      <c r="M2" s="205"/>
      <c r="N2" s="205"/>
      <c r="O2" s="104"/>
      <c r="P2" s="105"/>
    </row>
    <row r="3" spans="1:24" ht="16.5" customHeight="1">
      <c r="A3" s="208" t="s">
        <v>6</v>
      </c>
      <c r="B3" s="209"/>
      <c r="C3" s="211" t="s">
        <v>7</v>
      </c>
      <c r="D3" s="211"/>
      <c r="E3" s="211"/>
      <c r="F3" s="84"/>
      <c r="G3" s="2" t="s">
        <v>8</v>
      </c>
      <c r="H3" s="3"/>
      <c r="I3" s="6" t="s">
        <v>9</v>
      </c>
      <c r="J3" s="7"/>
      <c r="K3" s="103" t="s">
        <v>10</v>
      </c>
      <c r="L3" s="104"/>
      <c r="M3" s="205">
        <v>3167960.99</v>
      </c>
      <c r="N3" s="205"/>
      <c r="O3" s="104"/>
      <c r="P3" s="105"/>
    </row>
    <row r="4" spans="1:24">
      <c r="A4" s="208"/>
      <c r="B4" s="209"/>
      <c r="C4" s="211"/>
      <c r="D4" s="211"/>
      <c r="E4" s="211"/>
      <c r="F4" s="85"/>
      <c r="G4" s="2" t="s">
        <v>11</v>
      </c>
      <c r="H4" s="3"/>
      <c r="I4" s="8">
        <v>0.2</v>
      </c>
      <c r="J4" s="7"/>
      <c r="K4" s="103" t="s">
        <v>12</v>
      </c>
      <c r="L4" s="104"/>
      <c r="M4" s="205">
        <v>2313866.92</v>
      </c>
      <c r="N4" s="205"/>
      <c r="O4" s="104"/>
      <c r="P4" s="105"/>
    </row>
    <row r="5" spans="1:24">
      <c r="A5" s="86" t="s">
        <v>13</v>
      </c>
      <c r="B5" s="87"/>
      <c r="C5" s="87"/>
      <c r="D5" s="88" t="s">
        <v>62</v>
      </c>
      <c r="E5" s="89"/>
      <c r="F5" s="90"/>
      <c r="G5" s="2" t="s">
        <v>14</v>
      </c>
      <c r="H5" s="3"/>
      <c r="I5" s="6"/>
      <c r="J5" s="7" t="s">
        <v>15</v>
      </c>
      <c r="K5" s="103" t="s">
        <v>16</v>
      </c>
      <c r="L5" s="104"/>
      <c r="M5" s="205"/>
      <c r="N5" s="205"/>
      <c r="O5" s="104"/>
      <c r="P5" s="105"/>
    </row>
    <row r="6" spans="1:24">
      <c r="A6" s="86" t="s">
        <v>63</v>
      </c>
      <c r="B6" s="87"/>
      <c r="C6" s="87"/>
      <c r="D6" s="91" t="s">
        <v>64</v>
      </c>
      <c r="E6" s="92"/>
      <c r="F6" s="93"/>
      <c r="G6" s="2"/>
      <c r="H6" s="6" t="s">
        <v>17</v>
      </c>
      <c r="I6" s="9">
        <v>0.125</v>
      </c>
      <c r="J6" s="7" t="s">
        <v>18</v>
      </c>
      <c r="K6" s="106"/>
      <c r="L6" s="104"/>
      <c r="M6" s="205"/>
      <c r="N6" s="205"/>
      <c r="O6" s="104"/>
      <c r="P6" s="105"/>
    </row>
    <row r="7" spans="1:24">
      <c r="A7" s="86" t="s">
        <v>65</v>
      </c>
      <c r="B7" s="87"/>
      <c r="C7" s="87"/>
      <c r="D7" s="91" t="s">
        <v>66</v>
      </c>
      <c r="E7" s="92"/>
      <c r="F7" s="93"/>
      <c r="G7" s="2"/>
      <c r="H7" s="6" t="s">
        <v>19</v>
      </c>
      <c r="I7" s="10">
        <v>7.0000000000000007E-2</v>
      </c>
      <c r="J7" s="7" t="s">
        <v>18</v>
      </c>
      <c r="K7" s="107" t="s">
        <v>20</v>
      </c>
      <c r="L7" s="108"/>
      <c r="M7" s="221">
        <f>SUM(M1:M6)</f>
        <v>264876705.00959998</v>
      </c>
      <c r="N7" s="221"/>
      <c r="O7" s="104"/>
      <c r="P7" s="105"/>
    </row>
    <row r="8" spans="1:24">
      <c r="A8" s="94" t="s">
        <v>67</v>
      </c>
      <c r="B8" s="95"/>
      <c r="C8" s="95"/>
      <c r="D8" s="96" t="s">
        <v>68</v>
      </c>
      <c r="E8" s="97"/>
      <c r="F8" s="98"/>
      <c r="G8" s="11"/>
      <c r="H8" s="12" t="s">
        <v>21</v>
      </c>
      <c r="I8" s="13">
        <v>0.03</v>
      </c>
      <c r="J8" s="14" t="s">
        <v>18</v>
      </c>
      <c r="K8" s="109" t="s">
        <v>22</v>
      </c>
      <c r="L8" s="110"/>
      <c r="M8" s="222">
        <f>+M7*(1+$I$4)</f>
        <v>317852046.01151997</v>
      </c>
      <c r="N8" s="222"/>
      <c r="O8" s="111"/>
      <c r="P8" s="112"/>
    </row>
    <row r="10" spans="1:24">
      <c r="B10" s="1" t="s">
        <v>23</v>
      </c>
      <c r="C10" s="15">
        <v>43069</v>
      </c>
      <c r="E10" s="16"/>
      <c r="F10" s="17"/>
      <c r="G10" s="18">
        <v>0.1</v>
      </c>
      <c r="H10" s="19">
        <v>0.02</v>
      </c>
      <c r="O10" s="223" t="s">
        <v>24</v>
      </c>
      <c r="P10" s="224"/>
    </row>
    <row r="11" spans="1:24" ht="60">
      <c r="A11" s="82" t="s">
        <v>25</v>
      </c>
      <c r="B11" s="83" t="s">
        <v>26</v>
      </c>
      <c r="C11" s="83" t="s">
        <v>27</v>
      </c>
      <c r="D11" s="82" t="s">
        <v>28</v>
      </c>
      <c r="E11" s="83" t="s">
        <v>29</v>
      </c>
      <c r="F11" s="83" t="s">
        <v>30</v>
      </c>
      <c r="G11" s="83" t="s">
        <v>31</v>
      </c>
      <c r="H11" s="83" t="s">
        <v>32</v>
      </c>
      <c r="I11" s="83" t="s">
        <v>33</v>
      </c>
      <c r="J11" s="83" t="s">
        <v>34</v>
      </c>
      <c r="K11" s="83" t="s">
        <v>35</v>
      </c>
      <c r="L11" s="83" t="s">
        <v>36</v>
      </c>
      <c r="M11" s="83" t="s">
        <v>37</v>
      </c>
      <c r="N11" s="83" t="s">
        <v>38</v>
      </c>
      <c r="O11" s="83" t="s">
        <v>39</v>
      </c>
      <c r="P11" s="83" t="s">
        <v>40</v>
      </c>
      <c r="R11" s="20" t="s">
        <v>41</v>
      </c>
      <c r="S11" s="20" t="s">
        <v>42</v>
      </c>
      <c r="T11" s="20" t="s">
        <v>43</v>
      </c>
      <c r="U11" s="20" t="s">
        <v>44</v>
      </c>
      <c r="V11" s="20" t="s">
        <v>45</v>
      </c>
      <c r="X11" s="20" t="s">
        <v>46</v>
      </c>
    </row>
    <row r="12" spans="1:24">
      <c r="A12" s="26">
        <v>1</v>
      </c>
      <c r="B12" s="26">
        <v>1133000010</v>
      </c>
      <c r="C12" s="28">
        <v>42674</v>
      </c>
      <c r="D12" s="29">
        <v>42644</v>
      </c>
      <c r="E12" s="21">
        <v>3730304.77</v>
      </c>
      <c r="F12" s="21">
        <v>-1016288.09</v>
      </c>
      <c r="G12" s="21">
        <v>0</v>
      </c>
      <c r="H12" s="21">
        <f t="shared" ref="H12:H22" si="0">+E12*$H$10</f>
        <v>74606.095400000006</v>
      </c>
      <c r="I12" s="21">
        <f t="shared" ref="I12:I18" si="1">+E12+F12-G12-H12</f>
        <v>2639410.5846000002</v>
      </c>
      <c r="J12" s="21">
        <f t="shared" ref="J12:J22" si="2">+I12+(I12*$I$4)</f>
        <v>3167292.7015200001</v>
      </c>
      <c r="K12" s="21">
        <f>+J12</f>
        <v>3167292.7015200001</v>
      </c>
      <c r="L12" s="22">
        <v>42735</v>
      </c>
      <c r="M12" s="22">
        <v>42741</v>
      </c>
      <c r="N12" s="23">
        <f t="shared" ref="N12:N22" si="3">-IF(L12=0,,IF(M12=0,($C$10-L12),M12-L12))</f>
        <v>-6</v>
      </c>
      <c r="O12" s="21">
        <f t="shared" ref="O12:O22" si="4">+J12-K12</f>
        <v>0</v>
      </c>
      <c r="P12" s="21">
        <f t="shared" ref="P12:P22" si="5">+IF($C$10&lt;L12,0,O12)</f>
        <v>0</v>
      </c>
      <c r="Q12" s="24"/>
      <c r="R12" s="25">
        <f t="shared" ref="R12:R22" si="6">IF(N12&gt;=0,0,(IF(-N12&lt;=60,O12,0)))</f>
        <v>0</v>
      </c>
      <c r="S12" s="25">
        <f t="shared" ref="S12:S22" si="7">IF(N12&gt;=0,0,(IF(N12&gt;=-60,0,IF(-60&gt;=N12,IF(N12&gt;=-120,O12,0)))))</f>
        <v>0</v>
      </c>
      <c r="T12" s="25">
        <f t="shared" ref="T12:T22" si="8">IF(N12&gt;=0,0,(IF(N12&gt;-60,0,IF(-60&gt;=N12,IF(N12&gt;=-120,0,IF(N12&gt;=-180,O12,0))))))</f>
        <v>0</v>
      </c>
      <c r="U12" s="25">
        <f t="shared" ref="U12:U22" si="9">IF(N12&gt;=0,0,(IF(N12&gt;-60,0,IF(-60&gt;=N12,IF(N12&gt;-120,0,IF(N12&gt;=-180,0,IF(N12&gt;=-365,O12,0)))))))</f>
        <v>0</v>
      </c>
      <c r="V12" s="25">
        <f t="shared" ref="V12:V22" si="10">IF(N12&gt;=0,0,IF(365&lt;-N12,O12,0))</f>
        <v>0</v>
      </c>
      <c r="X12" s="30">
        <f t="shared" ref="X12:X16" si="11">+(J12*N12*(2.25+3)/100)/(365)</f>
        <v>-2733.4169889830141</v>
      </c>
    </row>
    <row r="13" spans="1:24">
      <c r="A13" s="26">
        <v>2</v>
      </c>
      <c r="B13" s="26">
        <v>1133000011</v>
      </c>
      <c r="C13" s="28">
        <v>42704</v>
      </c>
      <c r="D13" s="29">
        <v>42675</v>
      </c>
      <c r="E13" s="21">
        <v>4590101</v>
      </c>
      <c r="F13" s="21">
        <v>-923762.62454242073</v>
      </c>
      <c r="G13" s="21">
        <v>0</v>
      </c>
      <c r="H13" s="21">
        <f t="shared" si="0"/>
        <v>91802.02</v>
      </c>
      <c r="I13" s="21">
        <f t="shared" si="1"/>
        <v>3574536.3554575793</v>
      </c>
      <c r="J13" s="21">
        <f t="shared" si="2"/>
        <v>4289443.6265490949</v>
      </c>
      <c r="K13" s="21">
        <f>+J13</f>
        <v>4289443.6265490949</v>
      </c>
      <c r="L13" s="22">
        <v>42768</v>
      </c>
      <c r="M13" s="22">
        <v>42769</v>
      </c>
      <c r="N13" s="23">
        <f t="shared" si="3"/>
        <v>-1</v>
      </c>
      <c r="O13" s="21">
        <f t="shared" si="4"/>
        <v>0</v>
      </c>
      <c r="P13" s="21">
        <f t="shared" si="5"/>
        <v>0</v>
      </c>
      <c r="Q13" s="24"/>
      <c r="R13" s="25">
        <f t="shared" si="6"/>
        <v>0</v>
      </c>
      <c r="S13" s="25">
        <f t="shared" si="7"/>
        <v>0</v>
      </c>
      <c r="T13" s="25">
        <f t="shared" si="8"/>
        <v>0</v>
      </c>
      <c r="U13" s="25">
        <f t="shared" si="9"/>
        <v>0</v>
      </c>
      <c r="V13" s="25">
        <f t="shared" si="10"/>
        <v>0</v>
      </c>
      <c r="X13" s="30">
        <f t="shared" si="11"/>
        <v>-616.97476820226711</v>
      </c>
    </row>
    <row r="14" spans="1:24">
      <c r="A14" s="26">
        <v>3</v>
      </c>
      <c r="B14" s="26">
        <v>1133000012</v>
      </c>
      <c r="C14" s="28">
        <v>42735</v>
      </c>
      <c r="D14" s="29">
        <v>42705</v>
      </c>
      <c r="E14" s="21">
        <v>8626044.8608809095</v>
      </c>
      <c r="F14" s="21">
        <v>-665755.60761011392</v>
      </c>
      <c r="G14" s="21">
        <v>0</v>
      </c>
      <c r="H14" s="21">
        <f t="shared" si="0"/>
        <v>172520.89721761819</v>
      </c>
      <c r="I14" s="21">
        <f t="shared" si="1"/>
        <v>7787768.3560531773</v>
      </c>
      <c r="J14" s="21">
        <f t="shared" si="2"/>
        <v>9345322.0272638127</v>
      </c>
      <c r="K14" s="21">
        <f>+J14</f>
        <v>9345322.0272638127</v>
      </c>
      <c r="L14" s="22">
        <v>42797</v>
      </c>
      <c r="M14" s="22">
        <v>42811</v>
      </c>
      <c r="N14" s="23">
        <f t="shared" si="3"/>
        <v>-14</v>
      </c>
      <c r="O14" s="21">
        <f t="shared" si="4"/>
        <v>0</v>
      </c>
      <c r="P14" s="21">
        <f t="shared" si="5"/>
        <v>0</v>
      </c>
      <c r="Q14" s="24"/>
      <c r="R14" s="25">
        <f t="shared" si="6"/>
        <v>0</v>
      </c>
      <c r="S14" s="25">
        <f t="shared" si="7"/>
        <v>0</v>
      </c>
      <c r="T14" s="25">
        <f t="shared" si="8"/>
        <v>0</v>
      </c>
      <c r="U14" s="25">
        <f t="shared" si="9"/>
        <v>0</v>
      </c>
      <c r="V14" s="25">
        <f t="shared" si="10"/>
        <v>0</v>
      </c>
      <c r="X14" s="30">
        <f t="shared" si="11"/>
        <v>-18818.662164490146</v>
      </c>
    </row>
    <row r="15" spans="1:24">
      <c r="A15" s="26">
        <v>4</v>
      </c>
      <c r="B15" s="26">
        <v>1133000013</v>
      </c>
      <c r="C15" s="28">
        <v>42766</v>
      </c>
      <c r="D15" s="29">
        <v>42736</v>
      </c>
      <c r="E15" s="21">
        <v>6280153.9800000004</v>
      </c>
      <c r="F15" s="21">
        <f>-0.125*E15</f>
        <v>-785019.24750000006</v>
      </c>
      <c r="G15" s="21">
        <v>0</v>
      </c>
      <c r="H15" s="21">
        <f t="shared" si="0"/>
        <v>125603.07960000001</v>
      </c>
      <c r="I15" s="21">
        <f t="shared" si="1"/>
        <v>5369531.6529000001</v>
      </c>
      <c r="J15" s="21">
        <f t="shared" si="2"/>
        <v>6443437.9834799999</v>
      </c>
      <c r="K15" s="21">
        <f t="shared" ref="K15:K16" si="12">+J15</f>
        <v>6443437.9834799999</v>
      </c>
      <c r="L15" s="22">
        <v>42818</v>
      </c>
      <c r="M15" s="22">
        <v>42829</v>
      </c>
      <c r="N15" s="23">
        <f t="shared" si="3"/>
        <v>-11</v>
      </c>
      <c r="O15" s="21">
        <f t="shared" si="4"/>
        <v>0</v>
      </c>
      <c r="P15" s="21">
        <f t="shared" si="5"/>
        <v>0</v>
      </c>
      <c r="Q15" s="24"/>
      <c r="R15" s="25">
        <f t="shared" si="6"/>
        <v>0</v>
      </c>
      <c r="S15" s="25">
        <f t="shared" si="7"/>
        <v>0</v>
      </c>
      <c r="T15" s="25">
        <f t="shared" si="8"/>
        <v>0</v>
      </c>
      <c r="U15" s="25">
        <f t="shared" si="9"/>
        <v>0</v>
      </c>
      <c r="V15" s="25">
        <f t="shared" si="10"/>
        <v>0</v>
      </c>
      <c r="X15" s="30">
        <f t="shared" si="11"/>
        <v>-10194.754617697807</v>
      </c>
    </row>
    <row r="16" spans="1:24">
      <c r="A16" s="26">
        <v>5</v>
      </c>
      <c r="B16" s="26">
        <v>1133000014</v>
      </c>
      <c r="C16" s="28">
        <v>42794</v>
      </c>
      <c r="D16" s="29">
        <v>42767</v>
      </c>
      <c r="E16" s="21">
        <v>7532934.4500000002</v>
      </c>
      <c r="F16" s="21">
        <f>-0.125*E16</f>
        <v>-941616.80625000002</v>
      </c>
      <c r="G16" s="21">
        <v>0</v>
      </c>
      <c r="H16" s="21">
        <f t="shared" si="0"/>
        <v>150658.68900000001</v>
      </c>
      <c r="I16" s="21">
        <f t="shared" si="1"/>
        <v>6440658.9547499996</v>
      </c>
      <c r="J16" s="21">
        <f t="shared" si="2"/>
        <v>7728790.7456999999</v>
      </c>
      <c r="K16" s="21">
        <f t="shared" si="12"/>
        <v>7728790.7456999999</v>
      </c>
      <c r="L16" s="22">
        <v>42849</v>
      </c>
      <c r="M16" s="22">
        <v>42849</v>
      </c>
      <c r="N16" s="23">
        <f t="shared" si="3"/>
        <v>0</v>
      </c>
      <c r="O16" s="21">
        <f t="shared" si="4"/>
        <v>0</v>
      </c>
      <c r="P16" s="21">
        <f t="shared" si="5"/>
        <v>0</v>
      </c>
      <c r="Q16" s="24"/>
      <c r="R16" s="25">
        <f t="shared" si="6"/>
        <v>0</v>
      </c>
      <c r="S16" s="25">
        <f t="shared" si="7"/>
        <v>0</v>
      </c>
      <c r="T16" s="25">
        <f t="shared" si="8"/>
        <v>0</v>
      </c>
      <c r="U16" s="25">
        <f t="shared" si="9"/>
        <v>0</v>
      </c>
      <c r="V16" s="25">
        <f t="shared" si="10"/>
        <v>0</v>
      </c>
      <c r="X16" s="30">
        <f t="shared" si="11"/>
        <v>0</v>
      </c>
    </row>
    <row r="17" spans="1:24">
      <c r="A17" s="26">
        <v>6</v>
      </c>
      <c r="B17" s="26">
        <v>1133000015</v>
      </c>
      <c r="C17" s="28">
        <v>42825</v>
      </c>
      <c r="D17" s="29">
        <v>42795</v>
      </c>
      <c r="E17" s="21">
        <v>11074683.960000001</v>
      </c>
      <c r="F17" s="21">
        <f>-0.125*E17</f>
        <v>-1384335.4950000001</v>
      </c>
      <c r="G17" s="21">
        <v>0</v>
      </c>
      <c r="H17" s="21">
        <f t="shared" si="0"/>
        <v>221493.67920000001</v>
      </c>
      <c r="I17" s="21">
        <f t="shared" si="1"/>
        <v>9468854.7858000007</v>
      </c>
      <c r="J17" s="21">
        <f t="shared" si="2"/>
        <v>11362625.74296</v>
      </c>
      <c r="K17" s="21"/>
      <c r="L17" s="22">
        <v>42888</v>
      </c>
      <c r="M17" s="22"/>
      <c r="N17" s="23">
        <f t="shared" si="3"/>
        <v>-181</v>
      </c>
      <c r="O17" s="21">
        <f t="shared" si="4"/>
        <v>11362625.74296</v>
      </c>
      <c r="P17" s="21">
        <f t="shared" si="5"/>
        <v>11362625.74296</v>
      </c>
      <c r="Q17" s="24"/>
      <c r="R17" s="25">
        <f t="shared" si="6"/>
        <v>0</v>
      </c>
      <c r="S17" s="25">
        <f t="shared" si="7"/>
        <v>0</v>
      </c>
      <c r="T17" s="25">
        <f t="shared" si="8"/>
        <v>0</v>
      </c>
      <c r="U17" s="25">
        <f t="shared" si="9"/>
        <v>11362625.74296</v>
      </c>
      <c r="V17" s="25">
        <f t="shared" si="10"/>
        <v>0</v>
      </c>
      <c r="X17" s="30"/>
    </row>
    <row r="18" spans="1:24">
      <c r="A18" s="26">
        <v>7</v>
      </c>
      <c r="B18" s="26">
        <v>1133000016</v>
      </c>
      <c r="C18" s="31">
        <v>42855</v>
      </c>
      <c r="D18" s="29">
        <v>42826</v>
      </c>
      <c r="E18" s="21">
        <v>11895116.57</v>
      </c>
      <c r="F18" s="21">
        <f>-0.125*E18</f>
        <v>-1486889.57125</v>
      </c>
      <c r="G18" s="21">
        <v>0</v>
      </c>
      <c r="H18" s="21">
        <f t="shared" si="0"/>
        <v>237902.33140000002</v>
      </c>
      <c r="I18" s="21">
        <f t="shared" si="1"/>
        <v>10170324.667350002</v>
      </c>
      <c r="J18" s="21">
        <f t="shared" si="2"/>
        <v>12204389.600820001</v>
      </c>
      <c r="K18" s="21"/>
      <c r="L18" s="22">
        <v>42912</v>
      </c>
      <c r="M18" s="22"/>
      <c r="N18" s="23">
        <f t="shared" si="3"/>
        <v>-157</v>
      </c>
      <c r="O18" s="21">
        <f t="shared" si="4"/>
        <v>12204389.600820001</v>
      </c>
      <c r="P18" s="21">
        <f t="shared" si="5"/>
        <v>12204389.600820001</v>
      </c>
      <c r="Q18" s="24"/>
      <c r="R18" s="25">
        <f t="shared" si="6"/>
        <v>0</v>
      </c>
      <c r="S18" s="25">
        <f t="shared" si="7"/>
        <v>0</v>
      </c>
      <c r="T18" s="25">
        <f t="shared" si="8"/>
        <v>12204389.600820001</v>
      </c>
      <c r="U18" s="25">
        <f t="shared" si="9"/>
        <v>0</v>
      </c>
      <c r="V18" s="25">
        <f t="shared" si="10"/>
        <v>0</v>
      </c>
      <c r="X18" s="30"/>
    </row>
    <row r="19" spans="1:24">
      <c r="A19" s="26">
        <v>8</v>
      </c>
      <c r="B19" s="26">
        <v>1133000017</v>
      </c>
      <c r="C19" s="22">
        <v>42886</v>
      </c>
      <c r="D19" s="29">
        <v>42856</v>
      </c>
      <c r="E19" s="21">
        <v>11358269.310000001</v>
      </c>
      <c r="F19" s="21">
        <f>-0.125*E19</f>
        <v>-1419783.6637500001</v>
      </c>
      <c r="G19" s="21">
        <v>0</v>
      </c>
      <c r="H19" s="21">
        <f t="shared" si="0"/>
        <v>227165.38620000001</v>
      </c>
      <c r="I19" s="21">
        <f>+E19+F19-G19-H19</f>
        <v>9711320.2600500006</v>
      </c>
      <c r="J19" s="21">
        <f t="shared" si="2"/>
        <v>11653584.31206</v>
      </c>
      <c r="K19" s="21"/>
      <c r="L19" s="22">
        <v>42931</v>
      </c>
      <c r="M19" s="22"/>
      <c r="N19" s="23">
        <f t="shared" si="3"/>
        <v>-138</v>
      </c>
      <c r="O19" s="21">
        <f t="shared" si="4"/>
        <v>11653584.31206</v>
      </c>
      <c r="P19" s="21">
        <f t="shared" si="5"/>
        <v>11653584.31206</v>
      </c>
      <c r="Q19" s="24"/>
      <c r="R19" s="25">
        <f t="shared" si="6"/>
        <v>0</v>
      </c>
      <c r="S19" s="25">
        <f t="shared" si="7"/>
        <v>0</v>
      </c>
      <c r="T19" s="25">
        <f t="shared" si="8"/>
        <v>11653584.31206</v>
      </c>
      <c r="U19" s="25">
        <f t="shared" si="9"/>
        <v>0</v>
      </c>
      <c r="V19" s="25">
        <f t="shared" si="10"/>
        <v>0</v>
      </c>
      <c r="X19" s="30"/>
    </row>
    <row r="20" spans="1:24">
      <c r="A20" s="26">
        <v>9</v>
      </c>
      <c r="B20" s="26">
        <v>1133000018</v>
      </c>
      <c r="C20" s="22">
        <v>42916</v>
      </c>
      <c r="D20" s="29">
        <v>42795</v>
      </c>
      <c r="E20" s="21">
        <f t="shared" ref="E20:F22" si="13">-E17</f>
        <v>-11074683.960000001</v>
      </c>
      <c r="F20" s="21">
        <f t="shared" si="13"/>
        <v>1384335.4950000001</v>
      </c>
      <c r="G20" s="21">
        <v>0</v>
      </c>
      <c r="H20" s="21">
        <f t="shared" si="0"/>
        <v>-221493.67920000001</v>
      </c>
      <c r="I20" s="21">
        <f>+E20+F20-G20-H20</f>
        <v>-9468854.7858000007</v>
      </c>
      <c r="J20" s="21">
        <f t="shared" si="2"/>
        <v>-11362625.74296</v>
      </c>
      <c r="K20" s="21"/>
      <c r="L20" s="22">
        <v>42888</v>
      </c>
      <c r="M20" s="22"/>
      <c r="N20" s="23">
        <f t="shared" si="3"/>
        <v>-181</v>
      </c>
      <c r="O20" s="21">
        <f t="shared" si="4"/>
        <v>-11362625.74296</v>
      </c>
      <c r="P20" s="21">
        <f t="shared" si="5"/>
        <v>-11362625.74296</v>
      </c>
      <c r="Q20" s="24"/>
      <c r="R20" s="25">
        <f t="shared" si="6"/>
        <v>0</v>
      </c>
      <c r="S20" s="25">
        <f t="shared" si="7"/>
        <v>0</v>
      </c>
      <c r="T20" s="25">
        <f t="shared" si="8"/>
        <v>0</v>
      </c>
      <c r="U20" s="25">
        <f t="shared" si="9"/>
        <v>-11362625.74296</v>
      </c>
      <c r="V20" s="25">
        <f t="shared" si="10"/>
        <v>0</v>
      </c>
      <c r="X20" s="30"/>
    </row>
    <row r="21" spans="1:24">
      <c r="A21" s="26">
        <v>10</v>
      </c>
      <c r="B21" s="26">
        <v>1133000019</v>
      </c>
      <c r="C21" s="22">
        <v>42916</v>
      </c>
      <c r="D21" s="29">
        <v>42826</v>
      </c>
      <c r="E21" s="21">
        <f t="shared" si="13"/>
        <v>-11895116.57</v>
      </c>
      <c r="F21" s="21">
        <f t="shared" si="13"/>
        <v>1486889.57125</v>
      </c>
      <c r="G21" s="21">
        <v>0</v>
      </c>
      <c r="H21" s="21">
        <f t="shared" si="0"/>
        <v>-237902.33140000002</v>
      </c>
      <c r="I21" s="21">
        <f t="shared" ref="I21:I22" si="14">+E21+F21-G21-H21</f>
        <v>-10170324.667350002</v>
      </c>
      <c r="J21" s="21">
        <f t="shared" si="2"/>
        <v>-12204389.600820001</v>
      </c>
      <c r="K21" s="21"/>
      <c r="L21" s="22">
        <v>42912</v>
      </c>
      <c r="M21" s="22"/>
      <c r="N21" s="23">
        <f t="shared" si="3"/>
        <v>-157</v>
      </c>
      <c r="O21" s="21">
        <f t="shared" si="4"/>
        <v>-12204389.600820001</v>
      </c>
      <c r="P21" s="21">
        <f t="shared" si="5"/>
        <v>-12204389.600820001</v>
      </c>
      <c r="Q21" s="24"/>
      <c r="R21" s="25">
        <f t="shared" si="6"/>
        <v>0</v>
      </c>
      <c r="S21" s="25">
        <f t="shared" si="7"/>
        <v>0</v>
      </c>
      <c r="T21" s="25">
        <f t="shared" si="8"/>
        <v>-12204389.600820001</v>
      </c>
      <c r="U21" s="25">
        <f t="shared" si="9"/>
        <v>0</v>
      </c>
      <c r="V21" s="25">
        <f t="shared" si="10"/>
        <v>0</v>
      </c>
      <c r="X21" s="30"/>
    </row>
    <row r="22" spans="1:24">
      <c r="A22" s="26">
        <v>11</v>
      </c>
      <c r="B22" s="26">
        <v>1133000020</v>
      </c>
      <c r="C22" s="22">
        <v>42916</v>
      </c>
      <c r="D22" s="29">
        <v>42856</v>
      </c>
      <c r="E22" s="21">
        <f t="shared" si="13"/>
        <v>-11358269.310000001</v>
      </c>
      <c r="F22" s="21">
        <f t="shared" si="13"/>
        <v>1419783.6637500001</v>
      </c>
      <c r="G22" s="21">
        <v>0</v>
      </c>
      <c r="H22" s="21">
        <f t="shared" si="0"/>
        <v>-227165.38620000001</v>
      </c>
      <c r="I22" s="21">
        <f t="shared" si="14"/>
        <v>-9711320.2600500006</v>
      </c>
      <c r="J22" s="21">
        <f t="shared" si="2"/>
        <v>-11653584.31206</v>
      </c>
      <c r="K22" s="21"/>
      <c r="L22" s="22">
        <v>43084</v>
      </c>
      <c r="M22" s="22"/>
      <c r="N22" s="23">
        <f t="shared" si="3"/>
        <v>15</v>
      </c>
      <c r="O22" s="21">
        <f t="shared" si="4"/>
        <v>-11653584.31206</v>
      </c>
      <c r="P22" s="21">
        <f t="shared" si="5"/>
        <v>0</v>
      </c>
      <c r="Q22" s="24"/>
      <c r="R22" s="25">
        <f t="shared" si="6"/>
        <v>0</v>
      </c>
      <c r="S22" s="25">
        <f t="shared" si="7"/>
        <v>0</v>
      </c>
      <c r="T22" s="25">
        <f t="shared" si="8"/>
        <v>0</v>
      </c>
      <c r="U22" s="25">
        <f t="shared" si="9"/>
        <v>0</v>
      </c>
      <c r="V22" s="25">
        <f t="shared" si="10"/>
        <v>0</v>
      </c>
      <c r="X22" s="30"/>
    </row>
    <row r="23" spans="1:24" ht="17.25" thickBot="1">
      <c r="A23" s="26"/>
      <c r="B23" s="27"/>
      <c r="C23" s="28"/>
      <c r="D23" s="29"/>
      <c r="E23" s="21"/>
      <c r="F23" s="21"/>
      <c r="G23" s="21"/>
      <c r="H23" s="21"/>
      <c r="I23" s="21"/>
      <c r="J23" s="21"/>
      <c r="K23" s="21"/>
      <c r="L23" s="22"/>
      <c r="M23" s="22"/>
      <c r="N23" s="32"/>
      <c r="O23" s="21"/>
      <c r="P23" s="27"/>
      <c r="Q23" s="24"/>
      <c r="R23" s="25"/>
      <c r="S23" s="25"/>
      <c r="T23" s="25"/>
      <c r="U23" s="25"/>
      <c r="V23" s="25"/>
      <c r="X23" s="30"/>
    </row>
    <row r="24" spans="1:24" s="24" customFormat="1" ht="20.100000000000001" customHeight="1" thickBot="1">
      <c r="A24" s="113"/>
      <c r="B24" s="114" t="s">
        <v>47</v>
      </c>
      <c r="C24" s="114"/>
      <c r="D24" s="114"/>
      <c r="E24" s="115">
        <f t="shared" ref="E24:K24" si="15">SUM(E12:E23)</f>
        <v>30759539.060880907</v>
      </c>
      <c r="F24" s="115">
        <f t="shared" si="15"/>
        <v>-4332442.3759025335</v>
      </c>
      <c r="G24" s="115">
        <f t="shared" si="15"/>
        <v>0</v>
      </c>
      <c r="H24" s="115">
        <f t="shared" si="15"/>
        <v>615190.78121761791</v>
      </c>
      <c r="I24" s="115">
        <f t="shared" si="15"/>
        <v>25811905.903760754</v>
      </c>
      <c r="J24" s="115">
        <f t="shared" si="15"/>
        <v>30974287.084512904</v>
      </c>
      <c r="K24" s="115">
        <f t="shared" si="15"/>
        <v>30974287.084512904</v>
      </c>
      <c r="L24" s="116"/>
      <c r="M24" s="116"/>
      <c r="N24" s="116"/>
      <c r="O24" s="115">
        <f>SUM(O12:O23)</f>
        <v>0</v>
      </c>
      <c r="P24" s="117">
        <f>SUM(P12:P23)</f>
        <v>11653584.312060002</v>
      </c>
      <c r="R24" s="33">
        <f>SUM(R12:R23)</f>
        <v>0</v>
      </c>
      <c r="S24" s="33">
        <f>SUM(S12:S23)</f>
        <v>0</v>
      </c>
      <c r="T24" s="33">
        <f>SUM(T12:T23)</f>
        <v>11653584.312060002</v>
      </c>
      <c r="U24" s="33">
        <f>SUM(U12:U23)</f>
        <v>0</v>
      </c>
      <c r="V24" s="33">
        <f>SUM(V12:V23)</f>
        <v>0</v>
      </c>
      <c r="X24" s="33">
        <f>+SUM(X12:X23)</f>
        <v>-32363.808539373233</v>
      </c>
    </row>
    <row r="25" spans="1:24">
      <c r="A25" s="34"/>
      <c r="B25" s="35"/>
      <c r="C25" s="35"/>
      <c r="D25" s="36" t="s">
        <v>48</v>
      </c>
      <c r="E25" s="37">
        <f>+E24/$M$7</f>
        <v>0.11612776238577145</v>
      </c>
      <c r="F25" s="35"/>
      <c r="G25" s="35"/>
      <c r="H25" s="35">
        <f>+H24*1.2</f>
        <v>738228.9374611415</v>
      </c>
      <c r="I25" s="35"/>
      <c r="J25" s="36" t="s">
        <v>49</v>
      </c>
      <c r="K25" s="37">
        <f>+K24/J24</f>
        <v>1</v>
      </c>
      <c r="L25" s="35"/>
      <c r="M25" s="35"/>
      <c r="N25" s="35"/>
      <c r="O25" s="35"/>
      <c r="P25" s="38"/>
      <c r="Q25" s="24"/>
      <c r="R25" s="24"/>
      <c r="S25" s="24"/>
      <c r="T25" s="24"/>
      <c r="U25" s="24"/>
      <c r="V25" s="24"/>
    </row>
    <row r="26" spans="1:24" ht="17.25" thickBot="1">
      <c r="A26" s="39"/>
      <c r="B26" s="40"/>
      <c r="C26" s="40"/>
      <c r="D26" s="41" t="s">
        <v>50</v>
      </c>
      <c r="E26" s="42">
        <f>+$M$7-$E$24</f>
        <v>234117165.94871908</v>
      </c>
      <c r="F26" s="43">
        <f>+E26/M7</f>
        <v>0.88387223761422862</v>
      </c>
      <c r="G26" s="40"/>
      <c r="H26" s="40"/>
      <c r="I26" s="40"/>
      <c r="J26" s="40"/>
      <c r="K26" s="40"/>
      <c r="L26" s="40"/>
      <c r="M26" s="40"/>
      <c r="N26" s="40"/>
      <c r="O26" s="40"/>
      <c r="P26" s="44"/>
      <c r="Q26" s="24"/>
      <c r="R26" s="24"/>
      <c r="S26" s="24"/>
      <c r="T26" s="24"/>
      <c r="U26" s="24"/>
      <c r="V26" s="24"/>
    </row>
    <row r="27" spans="1:24">
      <c r="A27" s="24"/>
      <c r="B27" s="45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7"/>
      <c r="O27" s="24"/>
      <c r="P27" s="24"/>
      <c r="Q27" s="24"/>
      <c r="R27" s="24"/>
      <c r="S27" s="24"/>
      <c r="T27" s="24"/>
      <c r="U27" s="24"/>
      <c r="V27" s="24"/>
    </row>
    <row r="28" spans="1:24" ht="21">
      <c r="A28" s="24"/>
      <c r="B28" s="48"/>
      <c r="C28" s="49" t="s">
        <v>51</v>
      </c>
      <c r="D28" s="49"/>
      <c r="E28" s="49"/>
      <c r="F28" s="49"/>
      <c r="G28" s="49"/>
      <c r="H28" s="49"/>
      <c r="I28" s="50"/>
      <c r="J28" s="50"/>
      <c r="K28" s="50"/>
      <c r="L28" s="50"/>
      <c r="M28" s="50"/>
      <c r="N28" s="51"/>
      <c r="O28" s="24"/>
      <c r="P28" s="52"/>
      <c r="Q28" s="24"/>
      <c r="R28" s="24"/>
      <c r="S28" s="24"/>
      <c r="T28" s="24"/>
      <c r="U28" s="24"/>
      <c r="V28" s="24"/>
    </row>
    <row r="29" spans="1:24" ht="17.25" thickBot="1">
      <c r="A29" s="24"/>
      <c r="B29" s="48"/>
      <c r="C29" s="50"/>
      <c r="D29" s="50"/>
      <c r="E29" s="50"/>
      <c r="F29" s="50"/>
      <c r="G29" s="53"/>
      <c r="H29" s="50"/>
      <c r="I29" s="50"/>
      <c r="J29" s="50"/>
      <c r="K29" s="50"/>
      <c r="L29" s="50"/>
      <c r="M29" s="50"/>
      <c r="N29" s="51"/>
      <c r="O29" s="24"/>
      <c r="P29" s="52"/>
      <c r="Q29" s="24"/>
      <c r="R29" s="24"/>
      <c r="S29" s="24"/>
      <c r="T29" s="24"/>
      <c r="U29" s="24"/>
      <c r="V29" s="24"/>
    </row>
    <row r="30" spans="1:24" ht="17.25" thickBot="1">
      <c r="A30" s="24"/>
      <c r="B30" s="48"/>
      <c r="C30" s="225" t="s">
        <v>52</v>
      </c>
      <c r="D30" s="226"/>
      <c r="E30" s="227"/>
      <c r="F30" s="54" t="s">
        <v>53</v>
      </c>
      <c r="G30" s="55">
        <f>+M7</f>
        <v>264876705.00959998</v>
      </c>
      <c r="H30" s="54"/>
      <c r="I30" s="56"/>
      <c r="J30" s="54"/>
      <c r="K30" s="54"/>
      <c r="L30" s="54"/>
      <c r="M30" s="57"/>
      <c r="N30" s="58"/>
      <c r="O30" s="24"/>
      <c r="P30" s="24"/>
      <c r="Q30" s="24"/>
      <c r="R30" s="24"/>
      <c r="S30" s="24"/>
      <c r="T30" s="24"/>
      <c r="U30" s="24"/>
      <c r="V30" s="24"/>
    </row>
    <row r="31" spans="1:24" ht="17.25" thickBot="1">
      <c r="A31" s="24"/>
      <c r="B31" s="48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7"/>
      <c r="N31" s="58"/>
      <c r="O31" s="24"/>
      <c r="P31" s="24"/>
      <c r="Q31" s="24"/>
      <c r="R31" s="24"/>
      <c r="S31" s="24"/>
      <c r="T31" s="24"/>
      <c r="U31" s="24"/>
      <c r="V31" s="24"/>
    </row>
    <row r="32" spans="1:24" ht="17.25" thickBot="1">
      <c r="A32" s="24"/>
      <c r="B32" s="48"/>
      <c r="C32" s="228" t="s">
        <v>54</v>
      </c>
      <c r="D32" s="229"/>
      <c r="E32" s="230"/>
      <c r="F32" s="54" t="s">
        <v>53</v>
      </c>
      <c r="G32" s="59">
        <f>+E24</f>
        <v>30759539.060880907</v>
      </c>
      <c r="H32" s="54"/>
      <c r="I32" s="54"/>
      <c r="J32" s="60">
        <f>G32/G30</f>
        <v>0.11612776238577145</v>
      </c>
      <c r="K32" s="61" t="s">
        <v>55</v>
      </c>
      <c r="L32" s="62"/>
      <c r="M32" s="63"/>
      <c r="N32" s="58"/>
      <c r="O32" s="24"/>
      <c r="P32" s="24"/>
      <c r="Q32" s="24"/>
      <c r="R32" s="24"/>
      <c r="S32" s="24"/>
      <c r="T32" s="24"/>
      <c r="U32" s="24"/>
      <c r="V32" s="24"/>
    </row>
    <row r="33" spans="2:14" ht="17.25" thickBot="1">
      <c r="B33" s="64"/>
      <c r="C33" s="54"/>
      <c r="D33" s="54"/>
      <c r="E33" s="54"/>
      <c r="F33" s="54"/>
      <c r="G33" s="54"/>
      <c r="H33" s="54"/>
      <c r="I33" s="54"/>
      <c r="J33" s="54"/>
      <c r="K33" s="65"/>
      <c r="L33" s="54"/>
      <c r="M33" s="57"/>
      <c r="N33" s="58"/>
    </row>
    <row r="34" spans="2:14" ht="17.25" thickBot="1">
      <c r="B34" s="64"/>
      <c r="C34" s="218" t="s">
        <v>56</v>
      </c>
      <c r="D34" s="219"/>
      <c r="E34" s="220"/>
      <c r="F34" s="54" t="s">
        <v>57</v>
      </c>
      <c r="G34" s="66">
        <f>+K24</f>
        <v>30974287.084512904</v>
      </c>
      <c r="H34" s="54"/>
      <c r="I34" s="54"/>
      <c r="J34" s="67">
        <f>+G34/J24</f>
        <v>1</v>
      </c>
      <c r="K34" s="68" t="s">
        <v>58</v>
      </c>
      <c r="L34" s="69"/>
      <c r="M34" s="70"/>
      <c r="N34" s="58"/>
    </row>
    <row r="35" spans="2:14" ht="17.25" thickBot="1">
      <c r="B35" s="64"/>
      <c r="C35" s="54"/>
      <c r="D35" s="54"/>
      <c r="E35" s="54"/>
      <c r="F35" s="54"/>
      <c r="G35" s="54"/>
      <c r="H35" s="54"/>
      <c r="I35" s="54"/>
      <c r="J35" s="54"/>
      <c r="K35" s="65"/>
      <c r="L35" s="54"/>
      <c r="M35" s="57"/>
      <c r="N35" s="58"/>
    </row>
    <row r="36" spans="2:14" ht="17.25" thickBot="1">
      <c r="B36" s="64"/>
      <c r="C36" s="218" t="s">
        <v>59</v>
      </c>
      <c r="D36" s="219"/>
      <c r="E36" s="220"/>
      <c r="F36" s="54" t="s">
        <v>57</v>
      </c>
      <c r="G36" s="71">
        <f>+O24</f>
        <v>0</v>
      </c>
      <c r="H36" s="54"/>
      <c r="I36" s="54"/>
      <c r="J36" s="72">
        <f>+G36/J24</f>
        <v>0</v>
      </c>
      <c r="K36" s="68" t="s">
        <v>58</v>
      </c>
      <c r="L36" s="73"/>
      <c r="M36" s="74"/>
      <c r="N36" s="58"/>
    </row>
    <row r="37" spans="2:14" ht="17.25" thickBot="1">
      <c r="B37" s="64"/>
      <c r="C37" s="54"/>
      <c r="D37" s="54"/>
      <c r="E37" s="54"/>
      <c r="F37" s="54"/>
      <c r="G37" s="54"/>
      <c r="H37" s="54"/>
      <c r="I37" s="54"/>
      <c r="J37" s="54"/>
      <c r="K37" s="65"/>
      <c r="L37" s="54"/>
      <c r="M37" s="57"/>
      <c r="N37" s="58"/>
    </row>
    <row r="38" spans="2:14" ht="17.25" thickBot="1">
      <c r="B38" s="64"/>
      <c r="C38" s="218" t="s">
        <v>60</v>
      </c>
      <c r="D38" s="219"/>
      <c r="E38" s="220"/>
      <c r="F38" s="54" t="s">
        <v>57</v>
      </c>
      <c r="G38" s="75">
        <f>+P24</f>
        <v>11653584.312060002</v>
      </c>
      <c r="H38" s="54"/>
      <c r="I38" s="54"/>
      <c r="J38" s="76">
        <f>+G38/I24</f>
        <v>0.45148096988692699</v>
      </c>
      <c r="K38" s="68" t="s">
        <v>58</v>
      </c>
      <c r="L38" s="69"/>
      <c r="M38" s="70"/>
      <c r="N38" s="58"/>
    </row>
    <row r="39" spans="2:14" ht="17.25" thickBot="1">
      <c r="B39" s="77"/>
      <c r="C39" s="78"/>
      <c r="D39" s="78"/>
      <c r="E39" s="78"/>
      <c r="F39" s="78"/>
      <c r="G39" s="78"/>
      <c r="H39" s="78"/>
      <c r="I39" s="78"/>
      <c r="J39" s="78"/>
      <c r="K39" s="78"/>
      <c r="L39" s="78"/>
      <c r="M39" s="78"/>
      <c r="N39" s="79"/>
    </row>
    <row r="41" spans="2:14">
      <c r="H41" s="80"/>
    </row>
    <row r="42" spans="2:14">
      <c r="G42" s="81"/>
      <c r="H42" s="81"/>
    </row>
    <row r="43" spans="2:14">
      <c r="G43" s="81"/>
      <c r="H43" s="81"/>
    </row>
    <row r="44" spans="2:14">
      <c r="G44" s="81"/>
      <c r="H44" s="81"/>
    </row>
    <row r="45" spans="2:14">
      <c r="H45" s="80"/>
    </row>
    <row r="46" spans="2:14">
      <c r="H46" s="81"/>
    </row>
    <row r="47" spans="2:14">
      <c r="H47" s="80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rintOptions horizontalCentered="1"/>
  <pageMargins left="0.11811023622047245" right="0.11811023622047245" top="0.74803149606299213" bottom="0.74803149606299213" header="0.31496062992125984" footer="0.31496062992125984"/>
  <pageSetup paperSize="9" scale="75" orientation="landscape" r:id="rId1"/>
  <rowBreaks count="1" manualBreakCount="1">
    <brk id="26" max="1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"/>
  <sheetViews>
    <sheetView zoomScale="90" zoomScaleNormal="90" workbookViewId="0">
      <selection activeCell="F3" sqref="F3"/>
    </sheetView>
  </sheetViews>
  <sheetFormatPr baseColWidth="10" defaultRowHeight="16.5"/>
  <cols>
    <col min="1" max="1" width="5" style="1" customWidth="1"/>
    <col min="2" max="2" width="11.140625" style="1" customWidth="1"/>
    <col min="3" max="3" width="10.42578125" style="1" customWidth="1"/>
    <col min="4" max="4" width="9.42578125" style="1" customWidth="1"/>
    <col min="5" max="5" width="14.28515625" style="1" customWidth="1"/>
    <col min="6" max="6" width="13.5703125" style="1" customWidth="1"/>
    <col min="7" max="7" width="12.28515625" style="1" customWidth="1"/>
    <col min="8" max="8" width="12.28515625" style="1" bestFit="1" customWidth="1"/>
    <col min="9" max="9" width="13.28515625" style="1" customWidth="1"/>
    <col min="10" max="10" width="13.5703125" style="1" customWidth="1"/>
    <col min="11" max="12" width="13.7109375" style="1" customWidth="1"/>
    <col min="13" max="13" width="11.42578125" style="1"/>
    <col min="14" max="14" width="7" style="1" customWidth="1"/>
    <col min="15" max="15" width="13.42578125" style="1" customWidth="1"/>
    <col min="16" max="16" width="13.5703125" style="1" customWidth="1"/>
    <col min="17" max="17" width="6.140625" style="1" customWidth="1"/>
    <col min="18" max="18" width="9.7109375" style="1" customWidth="1"/>
    <col min="19" max="19" width="9.7109375" style="1" bestFit="1" customWidth="1"/>
    <col min="20" max="20" width="9.7109375" style="1" customWidth="1"/>
    <col min="21" max="22" width="9.5703125" style="1" customWidth="1"/>
    <col min="23" max="16384" width="11.42578125" style="1"/>
  </cols>
  <sheetData>
    <row r="1" spans="1:22" ht="21" customHeight="1">
      <c r="A1" s="206" t="s">
        <v>0</v>
      </c>
      <c r="B1" s="207"/>
      <c r="C1" s="210" t="s">
        <v>69</v>
      </c>
      <c r="D1" s="210" t="s">
        <v>70</v>
      </c>
      <c r="E1" s="210" t="s">
        <v>70</v>
      </c>
      <c r="F1" s="212" t="s">
        <v>99</v>
      </c>
      <c r="G1" s="214" t="s">
        <v>1</v>
      </c>
      <c r="H1" s="215"/>
      <c r="I1" s="215"/>
      <c r="J1" s="216"/>
      <c r="K1" s="99" t="s">
        <v>2</v>
      </c>
      <c r="L1" s="100"/>
      <c r="M1" s="217">
        <v>345000000</v>
      </c>
      <c r="N1" s="217"/>
      <c r="O1" s="101" t="s">
        <v>3</v>
      </c>
      <c r="P1" s="102">
        <v>34726</v>
      </c>
    </row>
    <row r="2" spans="1:22" ht="21" customHeight="1">
      <c r="A2" s="208"/>
      <c r="B2" s="209"/>
      <c r="C2" s="211" t="s">
        <v>70</v>
      </c>
      <c r="D2" s="211" t="s">
        <v>70</v>
      </c>
      <c r="E2" s="211" t="s">
        <v>70</v>
      </c>
      <c r="F2" s="213"/>
      <c r="G2" s="2" t="s">
        <v>4</v>
      </c>
      <c r="H2" s="3"/>
      <c r="I2" s="4">
        <v>90</v>
      </c>
      <c r="J2" s="5"/>
      <c r="K2" s="103" t="s">
        <v>5</v>
      </c>
      <c r="L2" s="104"/>
      <c r="M2" s="205">
        <v>0</v>
      </c>
      <c r="N2" s="205"/>
      <c r="O2" s="104"/>
      <c r="P2" s="105"/>
    </row>
    <row r="3" spans="1:22" ht="16.5" customHeight="1">
      <c r="A3" s="208" t="s">
        <v>6</v>
      </c>
      <c r="B3" s="209"/>
      <c r="C3" s="211" t="s">
        <v>71</v>
      </c>
      <c r="D3" s="211"/>
      <c r="E3" s="211"/>
      <c r="F3" s="84"/>
      <c r="G3" s="2" t="s">
        <v>8</v>
      </c>
      <c r="H3" s="3"/>
      <c r="I3" s="6" t="s">
        <v>9</v>
      </c>
      <c r="J3" s="7"/>
      <c r="K3" s="103" t="s">
        <v>10</v>
      </c>
      <c r="L3" s="104"/>
      <c r="M3" s="205">
        <v>0</v>
      </c>
      <c r="N3" s="205"/>
      <c r="O3" s="104"/>
      <c r="P3" s="105"/>
    </row>
    <row r="4" spans="1:22">
      <c r="A4" s="208"/>
      <c r="B4" s="209"/>
      <c r="C4" s="211"/>
      <c r="D4" s="211"/>
      <c r="E4" s="211"/>
      <c r="F4" s="85"/>
      <c r="G4" s="2" t="s">
        <v>11</v>
      </c>
      <c r="H4" s="3"/>
      <c r="I4" s="8">
        <v>0.2</v>
      </c>
      <c r="J4" s="7"/>
      <c r="K4" s="103" t="s">
        <v>12</v>
      </c>
      <c r="L4" s="104"/>
      <c r="M4" s="205">
        <v>0</v>
      </c>
      <c r="N4" s="205"/>
      <c r="O4" s="104"/>
      <c r="P4" s="105"/>
    </row>
    <row r="5" spans="1:22">
      <c r="A5" s="118" t="s">
        <v>13</v>
      </c>
      <c r="B5" s="87"/>
      <c r="C5" s="87"/>
      <c r="D5" s="88"/>
      <c r="E5" s="89"/>
      <c r="F5" s="90"/>
      <c r="G5" s="2" t="s">
        <v>14</v>
      </c>
      <c r="H5" s="3"/>
      <c r="I5" s="6"/>
      <c r="J5" s="7" t="s">
        <v>15</v>
      </c>
      <c r="K5" s="103" t="s">
        <v>16</v>
      </c>
      <c r="L5" s="104"/>
      <c r="M5" s="205">
        <v>0</v>
      </c>
      <c r="N5" s="205"/>
      <c r="O5" s="104"/>
      <c r="P5" s="105"/>
    </row>
    <row r="6" spans="1:22">
      <c r="A6" s="118" t="s">
        <v>72</v>
      </c>
      <c r="B6" s="87"/>
      <c r="C6" s="87"/>
      <c r="D6" s="91">
        <v>42571</v>
      </c>
      <c r="E6" s="92"/>
      <c r="F6" s="93"/>
      <c r="G6" s="2"/>
      <c r="H6" s="6" t="s">
        <v>17</v>
      </c>
      <c r="I6" s="9">
        <v>0.05</v>
      </c>
      <c r="J6" s="7" t="s">
        <v>18</v>
      </c>
      <c r="K6" s="106"/>
      <c r="L6" s="104"/>
      <c r="M6" s="205"/>
      <c r="N6" s="205"/>
      <c r="O6" s="104"/>
      <c r="P6" s="105"/>
    </row>
    <row r="7" spans="1:22">
      <c r="A7" s="118" t="s">
        <v>73</v>
      </c>
      <c r="B7" s="87"/>
      <c r="C7" s="87"/>
      <c r="D7" s="91">
        <v>43364</v>
      </c>
      <c r="E7" s="92"/>
      <c r="F7" s="93"/>
      <c r="G7" s="2"/>
      <c r="H7" s="6" t="s">
        <v>19</v>
      </c>
      <c r="I7" s="10">
        <v>0.05</v>
      </c>
      <c r="J7" s="7" t="s">
        <v>18</v>
      </c>
      <c r="K7" s="107" t="s">
        <v>20</v>
      </c>
      <c r="L7" s="108"/>
      <c r="M7" s="221">
        <f>SUM(M1:M6)</f>
        <v>345000000</v>
      </c>
      <c r="N7" s="221"/>
      <c r="O7" s="104"/>
      <c r="P7" s="105"/>
    </row>
    <row r="8" spans="1:22">
      <c r="A8" s="94" t="s">
        <v>74</v>
      </c>
      <c r="B8" s="95"/>
      <c r="C8" s="95"/>
      <c r="D8" s="96">
        <v>43371</v>
      </c>
      <c r="E8" s="97"/>
      <c r="F8" s="98"/>
      <c r="G8" s="11"/>
      <c r="H8" s="12" t="s">
        <v>21</v>
      </c>
      <c r="I8" s="13">
        <v>0</v>
      </c>
      <c r="J8" s="14" t="s">
        <v>75</v>
      </c>
      <c r="K8" s="109" t="s">
        <v>22</v>
      </c>
      <c r="L8" s="110"/>
      <c r="M8" s="222">
        <f>M7*(1+$I$4)</f>
        <v>414000000</v>
      </c>
      <c r="N8" s="222"/>
      <c r="O8" s="111"/>
      <c r="P8" s="112"/>
    </row>
    <row r="10" spans="1:22" ht="21" customHeight="1">
      <c r="B10" s="1" t="s">
        <v>23</v>
      </c>
      <c r="C10" s="15">
        <v>43069</v>
      </c>
      <c r="E10" s="16"/>
      <c r="F10" s="17">
        <v>0.05</v>
      </c>
      <c r="G10" s="18"/>
      <c r="H10" s="19"/>
      <c r="O10" s="223" t="s">
        <v>24</v>
      </c>
      <c r="P10" s="224"/>
    </row>
    <row r="11" spans="1:22" ht="60">
      <c r="A11" s="82" t="s">
        <v>25</v>
      </c>
      <c r="B11" s="83" t="s">
        <v>26</v>
      </c>
      <c r="C11" s="83" t="s">
        <v>27</v>
      </c>
      <c r="D11" s="82" t="s">
        <v>28</v>
      </c>
      <c r="E11" s="83" t="s">
        <v>29</v>
      </c>
      <c r="F11" s="83" t="s">
        <v>30</v>
      </c>
      <c r="G11" s="83" t="s">
        <v>31</v>
      </c>
      <c r="H11" s="83" t="s">
        <v>32</v>
      </c>
      <c r="I11" s="83" t="s">
        <v>33</v>
      </c>
      <c r="J11" s="83" t="s">
        <v>34</v>
      </c>
      <c r="K11" s="83" t="s">
        <v>35</v>
      </c>
      <c r="L11" s="83" t="s">
        <v>36</v>
      </c>
      <c r="M11" s="83" t="s">
        <v>37</v>
      </c>
      <c r="N11" s="83" t="s">
        <v>76</v>
      </c>
      <c r="O11" s="83" t="s">
        <v>39</v>
      </c>
      <c r="P11" s="83" t="s">
        <v>40</v>
      </c>
      <c r="R11" s="128" t="s">
        <v>41</v>
      </c>
      <c r="S11" s="128" t="s">
        <v>42</v>
      </c>
      <c r="T11" s="128" t="s">
        <v>43</v>
      </c>
      <c r="U11" s="128" t="s">
        <v>44</v>
      </c>
      <c r="V11" s="128" t="s">
        <v>45</v>
      </c>
    </row>
    <row r="12" spans="1:22" ht="19.5" customHeight="1">
      <c r="A12" s="26">
        <v>1</v>
      </c>
      <c r="B12" s="26">
        <v>1100000050</v>
      </c>
      <c r="C12" s="28">
        <v>42655</v>
      </c>
      <c r="D12" s="29">
        <v>42643</v>
      </c>
      <c r="E12" s="21">
        <v>13000000</v>
      </c>
      <c r="F12" s="21">
        <f t="shared" ref="F12:F23" si="0">IF(-E12*$F$10=0,"",-E12*$F$10)</f>
        <v>-650000</v>
      </c>
      <c r="G12" s="21" t="str">
        <f t="shared" ref="G12:G23" si="1">IF(E12*$G$10=0,"",E12*$G$10)</f>
        <v/>
      </c>
      <c r="H12" s="21"/>
      <c r="I12" s="21">
        <f t="shared" ref="I12:I23" si="2">IFERROR(IF(G12="",E12+F12-H12,E12+F12-G12-H12),"")</f>
        <v>12350000</v>
      </c>
      <c r="J12" s="21">
        <f t="shared" ref="J12:J23" si="3">IFERROR(I12+(I12*$I$4),"")</f>
        <v>14820000</v>
      </c>
      <c r="K12" s="21">
        <f>SUM(K13:K15)</f>
        <v>11280000</v>
      </c>
      <c r="L12" s="22">
        <f t="shared" ref="L12:L23" si="4">IFERROR(IF(C12="","",C12+$I$2),"")</f>
        <v>42745</v>
      </c>
      <c r="M12" s="22"/>
      <c r="N12" s="23"/>
      <c r="O12" s="21">
        <f>IFERROR(IF(J12=K12,"",J12-K12),"")</f>
        <v>3540000</v>
      </c>
      <c r="P12" s="21">
        <f t="shared" ref="P12:P23" si="5">IFERROR(IF($C$10&lt;L12,"",O12),"")</f>
        <v>3540000</v>
      </c>
      <c r="Q12" s="24"/>
      <c r="R12" s="129" t="str">
        <f t="shared" ref="R12:R24" si="6">IF(N12&gt;=0,"",(IF(-N12&lt;=60,O12,"")))</f>
        <v/>
      </c>
      <c r="S12" s="129" t="str">
        <f t="shared" ref="S12:S24" si="7">IF(N12&gt;=0,"",(IF(N12&gt;=-60,"",IF(-60&gt;=N12,IF(N12&gt;=-120,O12,"")))))</f>
        <v/>
      </c>
      <c r="T12" s="129" t="str">
        <f t="shared" ref="T12:T24" si="8">IF(N12&gt;=0,"",(IF(N12&gt;-60,"",IF(-60&gt;=N12,IF(N12&gt;=-120,"",IF(N12&gt;=-180,O12,""))))))</f>
        <v/>
      </c>
      <c r="U12" s="129" t="str">
        <f t="shared" ref="U12:U24" si="9">IF(N12&gt;=0,"",(IF(N12&gt;-60,"",IF(-60&gt;=N12,IF(N12&gt;-120,"",IF(N12&gt;=-180,"",IF(N12&gt;=-365,O12,"")))))))</f>
        <v/>
      </c>
      <c r="V12" s="129" t="str">
        <f t="shared" ref="V12:V24" si="10">IF(N12&gt;=0,"",IF(365&lt;-N12,O12,""))</f>
        <v/>
      </c>
    </row>
    <row r="13" spans="1:22" ht="19.5" customHeight="1">
      <c r="A13" s="26"/>
      <c r="B13" s="26"/>
      <c r="C13" s="28"/>
      <c r="D13" s="29"/>
      <c r="E13" s="21"/>
      <c r="F13" s="21" t="str">
        <f t="shared" si="0"/>
        <v/>
      </c>
      <c r="G13" s="21" t="str">
        <f t="shared" si="1"/>
        <v/>
      </c>
      <c r="H13" s="21"/>
      <c r="I13" s="21" t="str">
        <f t="shared" si="2"/>
        <v/>
      </c>
      <c r="J13" s="21" t="str">
        <f t="shared" si="3"/>
        <v/>
      </c>
      <c r="K13" s="21">
        <v>3000000</v>
      </c>
      <c r="L13" s="22">
        <v>42745</v>
      </c>
      <c r="M13" s="22">
        <v>42824</v>
      </c>
      <c r="N13" s="23">
        <f t="shared" ref="N13:N23" si="11">IFERROR(-IF(L13=0,,IF(M13=0,($C$10-L13),M13-L13)),"")</f>
        <v>-79</v>
      </c>
      <c r="O13" s="21"/>
      <c r="P13" s="21"/>
      <c r="Q13" s="24"/>
      <c r="R13" s="129" t="str">
        <f t="shared" si="6"/>
        <v/>
      </c>
      <c r="S13" s="129">
        <f t="shared" si="7"/>
        <v>0</v>
      </c>
      <c r="T13" s="129" t="str">
        <f t="shared" si="8"/>
        <v/>
      </c>
      <c r="U13" s="129" t="str">
        <f t="shared" si="9"/>
        <v/>
      </c>
      <c r="V13" s="129" t="str">
        <f t="shared" si="10"/>
        <v/>
      </c>
    </row>
    <row r="14" spans="1:22" ht="19.5" customHeight="1">
      <c r="A14" s="26"/>
      <c r="B14" s="26"/>
      <c r="C14" s="28"/>
      <c r="D14" s="29"/>
      <c r="E14" s="21"/>
      <c r="F14" s="21" t="str">
        <f t="shared" si="0"/>
        <v/>
      </c>
      <c r="G14" s="21" t="str">
        <f t="shared" si="1"/>
        <v/>
      </c>
      <c r="H14" s="21"/>
      <c r="I14" s="21" t="str">
        <f t="shared" si="2"/>
        <v/>
      </c>
      <c r="J14" s="21" t="str">
        <f t="shared" si="3"/>
        <v/>
      </c>
      <c r="K14" s="21">
        <v>5280000</v>
      </c>
      <c r="L14" s="22">
        <v>42745</v>
      </c>
      <c r="M14" s="22">
        <v>42830</v>
      </c>
      <c r="N14" s="23">
        <f t="shared" si="11"/>
        <v>-85</v>
      </c>
      <c r="O14" s="21"/>
      <c r="P14" s="21"/>
      <c r="Q14" s="24"/>
      <c r="R14" s="129" t="str">
        <f t="shared" si="6"/>
        <v/>
      </c>
      <c r="S14" s="129">
        <f t="shared" si="7"/>
        <v>0</v>
      </c>
      <c r="T14" s="129" t="str">
        <f t="shared" si="8"/>
        <v/>
      </c>
      <c r="U14" s="129" t="str">
        <f t="shared" si="9"/>
        <v/>
      </c>
      <c r="V14" s="129" t="str">
        <f t="shared" si="10"/>
        <v/>
      </c>
    </row>
    <row r="15" spans="1:22" ht="19.5" customHeight="1">
      <c r="A15" s="26"/>
      <c r="B15" s="26"/>
      <c r="C15" s="28"/>
      <c r="D15" s="29"/>
      <c r="E15" s="21"/>
      <c r="F15" s="21" t="str">
        <f t="shared" si="0"/>
        <v/>
      </c>
      <c r="G15" s="21" t="str">
        <f t="shared" si="1"/>
        <v/>
      </c>
      <c r="H15" s="21"/>
      <c r="I15" s="21" t="str">
        <f t="shared" si="2"/>
        <v/>
      </c>
      <c r="J15" s="21" t="str">
        <f t="shared" si="3"/>
        <v/>
      </c>
      <c r="K15" s="21">
        <v>3000000</v>
      </c>
      <c r="L15" s="22">
        <v>42745</v>
      </c>
      <c r="M15" s="22">
        <v>42840</v>
      </c>
      <c r="N15" s="23">
        <f t="shared" si="11"/>
        <v>-95</v>
      </c>
      <c r="O15" s="21"/>
      <c r="P15" s="21"/>
      <c r="Q15" s="24"/>
      <c r="R15" s="129" t="str">
        <f t="shared" si="6"/>
        <v/>
      </c>
      <c r="S15" s="129">
        <f t="shared" si="7"/>
        <v>0</v>
      </c>
      <c r="T15" s="129" t="str">
        <f t="shared" si="8"/>
        <v/>
      </c>
      <c r="U15" s="129" t="str">
        <f t="shared" si="9"/>
        <v/>
      </c>
      <c r="V15" s="129" t="str">
        <f t="shared" si="10"/>
        <v/>
      </c>
    </row>
    <row r="16" spans="1:22" ht="19.5" customHeight="1">
      <c r="A16" s="26"/>
      <c r="B16" s="26"/>
      <c r="C16" s="28"/>
      <c r="D16" s="29"/>
      <c r="E16" s="21"/>
      <c r="F16" s="21" t="str">
        <f t="shared" si="0"/>
        <v/>
      </c>
      <c r="G16" s="21" t="str">
        <f t="shared" si="1"/>
        <v/>
      </c>
      <c r="H16" s="21"/>
      <c r="I16" s="21" t="str">
        <f t="shared" si="2"/>
        <v/>
      </c>
      <c r="J16" s="21" t="str">
        <f t="shared" si="3"/>
        <v/>
      </c>
      <c r="K16" s="21">
        <v>3540000</v>
      </c>
      <c r="L16" s="22">
        <v>42745</v>
      </c>
      <c r="M16" s="22">
        <v>42855</v>
      </c>
      <c r="N16" s="23">
        <f t="shared" si="11"/>
        <v>-110</v>
      </c>
      <c r="O16" s="21"/>
      <c r="P16" s="21"/>
      <c r="Q16" s="24"/>
      <c r="R16" s="129" t="str">
        <f t="shared" si="6"/>
        <v/>
      </c>
      <c r="S16" s="129">
        <f t="shared" si="7"/>
        <v>0</v>
      </c>
      <c r="T16" s="129" t="str">
        <f t="shared" si="8"/>
        <v/>
      </c>
      <c r="U16" s="129" t="str">
        <f t="shared" si="9"/>
        <v/>
      </c>
      <c r="V16" s="129" t="str">
        <f t="shared" si="10"/>
        <v/>
      </c>
    </row>
    <row r="17" spans="1:24" ht="19.5" customHeight="1">
      <c r="A17" s="26">
        <v>2</v>
      </c>
      <c r="B17" s="26">
        <v>1100000051</v>
      </c>
      <c r="C17" s="28">
        <v>42759</v>
      </c>
      <c r="D17" s="29">
        <v>42736</v>
      </c>
      <c r="E17" s="21">
        <v>11500000</v>
      </c>
      <c r="F17" s="21">
        <f t="shared" si="0"/>
        <v>-575000</v>
      </c>
      <c r="G17" s="21" t="str">
        <f t="shared" si="1"/>
        <v/>
      </c>
      <c r="H17" s="21"/>
      <c r="I17" s="21">
        <f t="shared" si="2"/>
        <v>10925000</v>
      </c>
      <c r="J17" s="21">
        <f t="shared" si="3"/>
        <v>13110000</v>
      </c>
      <c r="K17" s="21">
        <v>13110000</v>
      </c>
      <c r="L17" s="22">
        <f t="shared" si="4"/>
        <v>42849</v>
      </c>
      <c r="M17" s="22">
        <v>42926</v>
      </c>
      <c r="N17" s="23">
        <f t="shared" si="11"/>
        <v>-77</v>
      </c>
      <c r="O17" s="21" t="str">
        <f t="shared" ref="O17:O23" si="12">IFERROR(IF(J17=K17,"",J17-K17),"")</f>
        <v/>
      </c>
      <c r="P17" s="21" t="str">
        <f t="shared" si="5"/>
        <v/>
      </c>
      <c r="Q17" s="24"/>
      <c r="R17" s="129" t="str">
        <f t="shared" si="6"/>
        <v/>
      </c>
      <c r="S17" s="129" t="str">
        <f t="shared" si="7"/>
        <v/>
      </c>
      <c r="T17" s="129" t="str">
        <f t="shared" si="8"/>
        <v/>
      </c>
      <c r="U17" s="129" t="str">
        <f t="shared" si="9"/>
        <v/>
      </c>
      <c r="V17" s="129" t="str">
        <f t="shared" si="10"/>
        <v/>
      </c>
    </row>
    <row r="18" spans="1:24" ht="19.5" customHeight="1">
      <c r="A18" s="26">
        <v>3</v>
      </c>
      <c r="B18" s="26">
        <v>1100000052</v>
      </c>
      <c r="C18" s="31">
        <v>42817</v>
      </c>
      <c r="D18" s="29">
        <v>42767</v>
      </c>
      <c r="E18" s="21">
        <v>6730000</v>
      </c>
      <c r="F18" s="21">
        <f t="shared" si="0"/>
        <v>-336500</v>
      </c>
      <c r="G18" s="21" t="str">
        <f t="shared" si="1"/>
        <v/>
      </c>
      <c r="H18" s="21"/>
      <c r="I18" s="21">
        <f t="shared" si="2"/>
        <v>6393500</v>
      </c>
      <c r="J18" s="21">
        <f t="shared" si="3"/>
        <v>7672200</v>
      </c>
      <c r="K18" s="21"/>
      <c r="L18" s="22">
        <f t="shared" si="4"/>
        <v>42907</v>
      </c>
      <c r="M18" s="22">
        <v>43044</v>
      </c>
      <c r="N18" s="23">
        <f t="shared" si="11"/>
        <v>-137</v>
      </c>
      <c r="O18" s="21">
        <f t="shared" si="12"/>
        <v>7672200</v>
      </c>
      <c r="P18" s="21">
        <f t="shared" si="5"/>
        <v>7672200</v>
      </c>
      <c r="Q18" s="24"/>
      <c r="R18" s="129" t="str">
        <f t="shared" si="6"/>
        <v/>
      </c>
      <c r="S18" s="129" t="str">
        <f t="shared" si="7"/>
        <v/>
      </c>
      <c r="T18" s="129">
        <f t="shared" si="8"/>
        <v>7672200</v>
      </c>
      <c r="U18" s="129" t="str">
        <f t="shared" si="9"/>
        <v/>
      </c>
      <c r="V18" s="129" t="str">
        <f t="shared" si="10"/>
        <v/>
      </c>
    </row>
    <row r="19" spans="1:24" ht="19.5" customHeight="1">
      <c r="A19" s="26">
        <v>4</v>
      </c>
      <c r="B19" s="26">
        <v>1100000053</v>
      </c>
      <c r="C19" s="22">
        <v>42836</v>
      </c>
      <c r="D19" s="29">
        <v>42795</v>
      </c>
      <c r="E19" s="21">
        <v>7250000</v>
      </c>
      <c r="F19" s="21">
        <f t="shared" si="0"/>
        <v>-362500</v>
      </c>
      <c r="G19" s="21" t="str">
        <f t="shared" si="1"/>
        <v/>
      </c>
      <c r="H19" s="21"/>
      <c r="I19" s="21">
        <f t="shared" si="2"/>
        <v>6887500</v>
      </c>
      <c r="J19" s="21">
        <f t="shared" si="3"/>
        <v>8265000</v>
      </c>
      <c r="K19" s="21">
        <v>8265000</v>
      </c>
      <c r="L19" s="22">
        <f t="shared" si="4"/>
        <v>42926</v>
      </c>
      <c r="M19" s="22">
        <v>43044</v>
      </c>
      <c r="N19" s="23">
        <f t="shared" si="11"/>
        <v>-118</v>
      </c>
      <c r="O19" s="21" t="str">
        <f t="shared" si="12"/>
        <v/>
      </c>
      <c r="P19" s="21" t="str">
        <f t="shared" si="5"/>
        <v/>
      </c>
      <c r="Q19" s="24"/>
      <c r="R19" s="129" t="str">
        <f t="shared" si="6"/>
        <v/>
      </c>
      <c r="S19" s="129" t="str">
        <f t="shared" si="7"/>
        <v/>
      </c>
      <c r="T19" s="129" t="str">
        <f t="shared" si="8"/>
        <v/>
      </c>
      <c r="U19" s="129" t="str">
        <f t="shared" si="9"/>
        <v/>
      </c>
      <c r="V19" s="129" t="str">
        <f t="shared" si="10"/>
        <v/>
      </c>
    </row>
    <row r="20" spans="1:24" ht="19.5" customHeight="1">
      <c r="A20" s="26">
        <v>5</v>
      </c>
      <c r="B20" s="26">
        <v>1100000054</v>
      </c>
      <c r="C20" s="22">
        <v>42853</v>
      </c>
      <c r="D20" s="29">
        <v>42826</v>
      </c>
      <c r="E20" s="21">
        <v>13200000</v>
      </c>
      <c r="F20" s="21">
        <f t="shared" si="0"/>
        <v>-660000</v>
      </c>
      <c r="G20" s="21" t="str">
        <f t="shared" si="1"/>
        <v/>
      </c>
      <c r="H20" s="21"/>
      <c r="I20" s="21">
        <f t="shared" si="2"/>
        <v>12540000</v>
      </c>
      <c r="J20" s="21">
        <f t="shared" si="3"/>
        <v>15048000</v>
      </c>
      <c r="K20" s="21">
        <f>K21</f>
        <v>7000000</v>
      </c>
      <c r="L20" s="22">
        <f t="shared" si="4"/>
        <v>42943</v>
      </c>
      <c r="M20" s="22"/>
      <c r="N20" s="23"/>
      <c r="O20" s="21">
        <f t="shared" si="12"/>
        <v>8048000</v>
      </c>
      <c r="P20" s="21">
        <f t="shared" si="5"/>
        <v>8048000</v>
      </c>
      <c r="Q20" s="24"/>
      <c r="R20" s="129" t="str">
        <f t="shared" si="6"/>
        <v/>
      </c>
      <c r="S20" s="129" t="str">
        <f t="shared" si="7"/>
        <v/>
      </c>
      <c r="T20" s="129" t="str">
        <f t="shared" si="8"/>
        <v/>
      </c>
      <c r="U20" s="129" t="str">
        <f t="shared" si="9"/>
        <v/>
      </c>
      <c r="V20" s="129" t="str">
        <f t="shared" si="10"/>
        <v/>
      </c>
    </row>
    <row r="21" spans="1:24" ht="19.5" customHeight="1">
      <c r="A21" s="26"/>
      <c r="B21" s="26"/>
      <c r="C21" s="22"/>
      <c r="D21" s="29"/>
      <c r="E21" s="21"/>
      <c r="F21" s="21"/>
      <c r="G21" s="21"/>
      <c r="H21" s="21"/>
      <c r="I21" s="21"/>
      <c r="J21" s="21"/>
      <c r="K21" s="21">
        <v>7000000</v>
      </c>
      <c r="L21" s="22">
        <v>42943</v>
      </c>
      <c r="M21" s="22">
        <v>43008</v>
      </c>
      <c r="N21" s="23">
        <f t="shared" si="11"/>
        <v>-65</v>
      </c>
      <c r="O21" s="21"/>
      <c r="P21" s="21"/>
      <c r="Q21" s="24"/>
      <c r="R21" s="129" t="str">
        <f t="shared" si="6"/>
        <v/>
      </c>
      <c r="S21" s="129">
        <f t="shared" si="7"/>
        <v>0</v>
      </c>
      <c r="T21" s="129" t="str">
        <f t="shared" si="8"/>
        <v/>
      </c>
      <c r="U21" s="129" t="str">
        <f t="shared" si="9"/>
        <v/>
      </c>
      <c r="V21" s="129" t="str">
        <f t="shared" si="10"/>
        <v/>
      </c>
    </row>
    <row r="22" spans="1:24" ht="19.5" customHeight="1">
      <c r="A22" s="26"/>
      <c r="B22" s="26"/>
      <c r="C22" s="22"/>
      <c r="D22" s="29"/>
      <c r="E22" s="21"/>
      <c r="F22" s="21"/>
      <c r="G22" s="21"/>
      <c r="H22" s="21"/>
      <c r="I22" s="21"/>
      <c r="J22" s="21"/>
      <c r="K22" s="21">
        <v>8048000</v>
      </c>
      <c r="L22" s="22">
        <v>42943</v>
      </c>
      <c r="M22" s="22">
        <v>43023</v>
      </c>
      <c r="N22" s="23">
        <f t="shared" si="11"/>
        <v>-80</v>
      </c>
      <c r="O22" s="21"/>
      <c r="P22" s="21"/>
      <c r="Q22" s="24"/>
      <c r="R22" s="129" t="str">
        <f t="shared" si="6"/>
        <v/>
      </c>
      <c r="S22" s="129">
        <f t="shared" si="7"/>
        <v>0</v>
      </c>
      <c r="T22" s="129" t="str">
        <f t="shared" si="8"/>
        <v/>
      </c>
      <c r="U22" s="129" t="str">
        <f t="shared" si="9"/>
        <v/>
      </c>
      <c r="V22" s="129" t="str">
        <f t="shared" si="10"/>
        <v/>
      </c>
    </row>
    <row r="23" spans="1:24" ht="19.5" customHeight="1">
      <c r="A23" s="26"/>
      <c r="B23" s="26"/>
      <c r="C23" s="22"/>
      <c r="D23" s="29"/>
      <c r="E23" s="21"/>
      <c r="F23" s="21" t="str">
        <f t="shared" si="0"/>
        <v/>
      </c>
      <c r="G23" s="21" t="str">
        <f t="shared" si="1"/>
        <v/>
      </c>
      <c r="H23" s="21"/>
      <c r="I23" s="21" t="str">
        <f t="shared" si="2"/>
        <v/>
      </c>
      <c r="J23" s="21" t="str">
        <f t="shared" si="3"/>
        <v/>
      </c>
      <c r="K23" s="21"/>
      <c r="L23" s="22" t="str">
        <f t="shared" si="4"/>
        <v/>
      </c>
      <c r="M23" s="22"/>
      <c r="N23" s="23" t="str">
        <f t="shared" si="11"/>
        <v/>
      </c>
      <c r="O23" s="21" t="str">
        <f t="shared" si="12"/>
        <v/>
      </c>
      <c r="P23" s="21" t="str">
        <f t="shared" si="5"/>
        <v/>
      </c>
      <c r="Q23" s="24"/>
      <c r="R23" s="129" t="str">
        <f t="shared" si="6"/>
        <v/>
      </c>
      <c r="S23" s="129" t="str">
        <f t="shared" si="7"/>
        <v/>
      </c>
      <c r="T23" s="129" t="str">
        <f t="shared" si="8"/>
        <v/>
      </c>
      <c r="U23" s="129" t="str">
        <f t="shared" si="9"/>
        <v/>
      </c>
      <c r="V23" s="129" t="str">
        <f t="shared" si="10"/>
        <v/>
      </c>
    </row>
    <row r="24" spans="1:24" ht="19.5" customHeight="1" thickBot="1">
      <c r="A24" s="26"/>
      <c r="B24" s="27"/>
      <c r="C24" s="28"/>
      <c r="D24" s="29"/>
      <c r="E24" s="21"/>
      <c r="F24" s="21"/>
      <c r="G24" s="21"/>
      <c r="H24" s="21"/>
      <c r="I24" s="21"/>
      <c r="J24" s="21"/>
      <c r="K24" s="21"/>
      <c r="L24" s="22"/>
      <c r="M24" s="22"/>
      <c r="N24" s="32"/>
      <c r="O24" s="21"/>
      <c r="P24" s="27"/>
      <c r="Q24" s="24"/>
      <c r="R24" s="129" t="str">
        <f t="shared" si="6"/>
        <v/>
      </c>
      <c r="S24" s="129" t="str">
        <f t="shared" si="7"/>
        <v/>
      </c>
      <c r="T24" s="129" t="str">
        <f t="shared" si="8"/>
        <v/>
      </c>
      <c r="U24" s="129" t="str">
        <f t="shared" si="9"/>
        <v/>
      </c>
      <c r="V24" s="129" t="str">
        <f t="shared" si="10"/>
        <v/>
      </c>
    </row>
    <row r="25" spans="1:24" s="24" customFormat="1" ht="20.100000000000001" customHeight="1" thickBot="1">
      <c r="A25" s="113"/>
      <c r="B25" s="114" t="s">
        <v>47</v>
      </c>
      <c r="C25" s="114"/>
      <c r="D25" s="114"/>
      <c r="E25" s="115">
        <f t="shared" ref="E25:J25" si="13">SUM(E12:E24)</f>
        <v>51680000</v>
      </c>
      <c r="F25" s="115">
        <f t="shared" si="13"/>
        <v>-2584000</v>
      </c>
      <c r="G25" s="115">
        <f t="shared" si="13"/>
        <v>0</v>
      </c>
      <c r="H25" s="115">
        <f t="shared" si="13"/>
        <v>0</v>
      </c>
      <c r="I25" s="115">
        <f t="shared" si="13"/>
        <v>49096000</v>
      </c>
      <c r="J25" s="115">
        <f t="shared" si="13"/>
        <v>58915200</v>
      </c>
      <c r="K25" s="115">
        <f>K12+K17+K18+K19+K20</f>
        <v>39655000</v>
      </c>
      <c r="L25" s="116"/>
      <c r="M25" s="116"/>
      <c r="N25" s="116"/>
      <c r="O25" s="115">
        <f>SUM(O12:O24)</f>
        <v>19260200</v>
      </c>
      <c r="P25" s="117">
        <f>SUM(P12:P24)</f>
        <v>19260200</v>
      </c>
      <c r="R25" s="33">
        <f>SUM(R12:R24)</f>
        <v>0</v>
      </c>
      <c r="S25" s="33">
        <f>SUM(S12:S24)</f>
        <v>0</v>
      </c>
      <c r="T25" s="33">
        <f>SUM(T12:T24)</f>
        <v>7672200</v>
      </c>
      <c r="U25" s="33">
        <f>SUM(U12:U24)</f>
        <v>0</v>
      </c>
      <c r="V25" s="33">
        <f>SUM(V12:V24)</f>
        <v>0</v>
      </c>
      <c r="X25" s="33"/>
    </row>
    <row r="26" spans="1:24" ht="21" customHeight="1">
      <c r="A26" s="34"/>
      <c r="B26" s="35"/>
      <c r="C26" s="35"/>
      <c r="D26" s="36" t="s">
        <v>48</v>
      </c>
      <c r="E26" s="37">
        <f>+E25/$M$7</f>
        <v>0.14979710144927535</v>
      </c>
      <c r="F26" s="35"/>
      <c r="G26" s="35"/>
      <c r="H26" s="35"/>
      <c r="I26" s="35"/>
      <c r="J26" s="36" t="s">
        <v>49</v>
      </c>
      <c r="K26" s="37">
        <f>+K25/J25</f>
        <v>0.67308606267991966</v>
      </c>
      <c r="L26" s="35"/>
      <c r="M26" s="35"/>
      <c r="N26" s="35"/>
      <c r="O26" s="35"/>
      <c r="P26" s="38"/>
      <c r="Q26" s="24"/>
      <c r="R26" s="24"/>
      <c r="S26" s="24"/>
      <c r="T26" s="24"/>
      <c r="U26" s="24"/>
      <c r="V26" s="24"/>
    </row>
    <row r="27" spans="1:24" ht="21" customHeight="1" thickBot="1">
      <c r="A27" s="39"/>
      <c r="B27" s="40"/>
      <c r="C27" s="40"/>
      <c r="D27" s="41" t="s">
        <v>50</v>
      </c>
      <c r="E27" s="42">
        <f>+$M$7-$E$25</f>
        <v>293320000</v>
      </c>
      <c r="F27" s="43">
        <f>+E27/M7</f>
        <v>0.85020289855072462</v>
      </c>
      <c r="G27" s="40"/>
      <c r="H27" s="40"/>
      <c r="I27" s="40"/>
      <c r="J27" s="40"/>
      <c r="K27" s="40"/>
      <c r="L27" s="40"/>
      <c r="M27" s="40"/>
      <c r="N27" s="40"/>
      <c r="O27" s="40"/>
      <c r="P27" s="44"/>
      <c r="Q27" s="24"/>
      <c r="R27" s="24"/>
      <c r="S27" s="24"/>
      <c r="T27" s="24"/>
      <c r="U27" s="24"/>
      <c r="V27" s="24"/>
    </row>
    <row r="28" spans="1:24">
      <c r="A28" s="24"/>
      <c r="C28" s="34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8"/>
      <c r="P28" s="24"/>
      <c r="Q28" s="24"/>
      <c r="R28" s="24"/>
      <c r="S28" s="24"/>
      <c r="T28" s="24"/>
      <c r="U28" s="24"/>
      <c r="V28" s="24"/>
    </row>
    <row r="29" spans="1:24" ht="21">
      <c r="A29" s="24"/>
      <c r="C29" s="130"/>
      <c r="D29" s="131" t="s">
        <v>51</v>
      </c>
      <c r="E29" s="131"/>
      <c r="F29" s="131"/>
      <c r="G29" s="131"/>
      <c r="H29" s="131"/>
      <c r="I29" s="131"/>
      <c r="J29" s="132"/>
      <c r="K29" s="132"/>
      <c r="L29" s="132"/>
      <c r="M29" s="132"/>
      <c r="N29" s="132"/>
      <c r="O29" s="133"/>
      <c r="P29" s="24"/>
      <c r="Q29" s="24"/>
      <c r="R29" s="24"/>
      <c r="S29" s="24"/>
      <c r="T29" s="24"/>
      <c r="U29" s="24"/>
      <c r="V29" s="24"/>
    </row>
    <row r="30" spans="1:24" ht="17.25" thickBot="1">
      <c r="A30" s="24"/>
      <c r="C30" s="130"/>
      <c r="D30" s="132"/>
      <c r="E30" s="132"/>
      <c r="F30" s="132"/>
      <c r="G30" s="132"/>
      <c r="H30" s="134"/>
      <c r="I30" s="132"/>
      <c r="J30" s="132"/>
      <c r="K30" s="132"/>
      <c r="L30" s="132"/>
      <c r="M30" s="132"/>
      <c r="N30" s="132"/>
      <c r="O30" s="133"/>
      <c r="P30" s="24"/>
      <c r="Q30" s="24"/>
      <c r="R30" s="24"/>
      <c r="S30" s="24"/>
      <c r="T30" s="24"/>
      <c r="U30" s="24"/>
      <c r="V30" s="24"/>
    </row>
    <row r="31" spans="1:24" ht="18" customHeight="1" thickBot="1">
      <c r="A31" s="24"/>
      <c r="C31" s="130"/>
      <c r="D31" s="234" t="s">
        <v>52</v>
      </c>
      <c r="E31" s="235"/>
      <c r="F31" s="236"/>
      <c r="G31" s="135" t="s">
        <v>53</v>
      </c>
      <c r="H31" s="136">
        <f>M7</f>
        <v>345000000</v>
      </c>
      <c r="I31" s="137"/>
      <c r="J31" s="138"/>
      <c r="K31" s="137"/>
      <c r="L31" s="137"/>
      <c r="M31" s="137"/>
      <c r="N31" s="137"/>
      <c r="O31" s="139"/>
      <c r="P31" s="24"/>
      <c r="Q31" s="24"/>
      <c r="R31" s="24"/>
      <c r="S31" s="24"/>
      <c r="T31" s="140"/>
      <c r="U31" s="24"/>
      <c r="V31" s="24"/>
    </row>
    <row r="32" spans="1:24" ht="18" customHeight="1" thickBot="1">
      <c r="A32" s="24"/>
      <c r="C32" s="130"/>
      <c r="D32" s="135"/>
      <c r="E32" s="135"/>
      <c r="F32" s="135"/>
      <c r="G32" s="135"/>
      <c r="H32" s="137"/>
      <c r="I32" s="137"/>
      <c r="J32" s="137"/>
      <c r="K32" s="137"/>
      <c r="L32" s="137"/>
      <c r="M32" s="137"/>
      <c r="N32" s="137"/>
      <c r="O32" s="139"/>
      <c r="P32" s="24"/>
      <c r="Q32" s="24"/>
      <c r="R32" s="24"/>
      <c r="S32" s="24"/>
      <c r="T32" s="24"/>
      <c r="U32" s="24"/>
      <c r="V32" s="24"/>
    </row>
    <row r="33" spans="1:22" ht="18" customHeight="1" thickBot="1">
      <c r="A33" s="24"/>
      <c r="C33" s="130"/>
      <c r="D33" s="237" t="s">
        <v>54</v>
      </c>
      <c r="E33" s="238"/>
      <c r="F33" s="239"/>
      <c r="G33" s="135" t="s">
        <v>53</v>
      </c>
      <c r="H33" s="141">
        <f>E25</f>
        <v>51680000</v>
      </c>
      <c r="I33" s="137"/>
      <c r="J33" s="137"/>
      <c r="K33" s="60">
        <f>H33/H31</f>
        <v>0.14979710144927535</v>
      </c>
      <c r="L33" s="142" t="s">
        <v>55</v>
      </c>
      <c r="M33" s="143"/>
      <c r="N33" s="143"/>
      <c r="O33" s="139"/>
      <c r="P33" s="24"/>
      <c r="Q33" s="24"/>
      <c r="R33" s="24"/>
      <c r="S33" s="24"/>
      <c r="T33" s="24"/>
      <c r="U33" s="24"/>
      <c r="V33" s="24"/>
    </row>
    <row r="34" spans="1:22" ht="18" customHeight="1" thickBot="1">
      <c r="C34" s="144"/>
      <c r="D34" s="135"/>
      <c r="E34" s="135"/>
      <c r="F34" s="135"/>
      <c r="G34" s="135"/>
      <c r="H34" s="137"/>
      <c r="I34" s="137"/>
      <c r="J34" s="137"/>
      <c r="K34" s="137"/>
      <c r="L34" s="145"/>
      <c r="M34" s="137"/>
      <c r="N34" s="137"/>
      <c r="O34" s="139"/>
    </row>
    <row r="35" spans="1:22" ht="18" customHeight="1" thickBot="1">
      <c r="C35" s="144"/>
      <c r="D35" s="231" t="s">
        <v>77</v>
      </c>
      <c r="E35" s="232"/>
      <c r="F35" s="233"/>
      <c r="G35" s="135" t="s">
        <v>57</v>
      </c>
      <c r="H35" s="66">
        <f>K25</f>
        <v>39655000</v>
      </c>
      <c r="I35" s="137"/>
      <c r="J35" s="137"/>
      <c r="K35" s="67">
        <f>H35/J25</f>
        <v>0.67308606267991966</v>
      </c>
      <c r="L35" s="146" t="s">
        <v>58</v>
      </c>
      <c r="M35" s="147"/>
      <c r="N35" s="147"/>
      <c r="O35" s="139"/>
    </row>
    <row r="36" spans="1:22" ht="18" customHeight="1" thickBot="1">
      <c r="C36" s="144"/>
      <c r="D36" s="135"/>
      <c r="E36" s="135"/>
      <c r="F36" s="135"/>
      <c r="G36" s="135"/>
      <c r="H36" s="137"/>
      <c r="I36" s="137"/>
      <c r="J36" s="137"/>
      <c r="K36" s="137"/>
      <c r="L36" s="145"/>
      <c r="M36" s="137"/>
      <c r="N36" s="137"/>
      <c r="O36" s="139"/>
    </row>
    <row r="37" spans="1:22" ht="18" customHeight="1" thickBot="1">
      <c r="C37" s="144"/>
      <c r="D37" s="231" t="s">
        <v>59</v>
      </c>
      <c r="E37" s="232"/>
      <c r="F37" s="233"/>
      <c r="G37" s="135" t="s">
        <v>57</v>
      </c>
      <c r="H37" s="71">
        <f>O25</f>
        <v>19260200</v>
      </c>
      <c r="I37" s="137"/>
      <c r="J37" s="137"/>
      <c r="K37" s="72">
        <f>H37/J25</f>
        <v>0.32691393732008039</v>
      </c>
      <c r="L37" s="146" t="s">
        <v>58</v>
      </c>
      <c r="M37" s="148"/>
      <c r="N37" s="148"/>
      <c r="O37" s="139"/>
    </row>
    <row r="38" spans="1:22" ht="18" customHeight="1" thickBot="1">
      <c r="C38" s="144"/>
      <c r="D38" s="135"/>
      <c r="E38" s="135"/>
      <c r="F38" s="135"/>
      <c r="G38" s="135"/>
      <c r="H38" s="137"/>
      <c r="I38" s="137"/>
      <c r="J38" s="137"/>
      <c r="K38" s="137"/>
      <c r="L38" s="145"/>
      <c r="M38" s="137"/>
      <c r="N38" s="137"/>
      <c r="O38" s="139"/>
    </row>
    <row r="39" spans="1:22" ht="18" customHeight="1" thickBot="1">
      <c r="C39" s="144"/>
      <c r="D39" s="231" t="s">
        <v>78</v>
      </c>
      <c r="E39" s="232"/>
      <c r="F39" s="233"/>
      <c r="G39" s="135" t="s">
        <v>57</v>
      </c>
      <c r="H39" s="75">
        <f>P25</f>
        <v>19260200</v>
      </c>
      <c r="I39" s="137"/>
      <c r="J39" s="137"/>
      <c r="K39" s="76">
        <f>H39/J25</f>
        <v>0.32691393732008039</v>
      </c>
      <c r="L39" s="146" t="s">
        <v>58</v>
      </c>
      <c r="M39" s="147"/>
      <c r="N39" s="147"/>
      <c r="O39" s="139"/>
    </row>
    <row r="40" spans="1:22" ht="9.75" customHeight="1" thickBot="1">
      <c r="C40" s="149"/>
      <c r="D40" s="150"/>
      <c r="E40" s="150"/>
      <c r="F40" s="150"/>
      <c r="G40" s="150"/>
      <c r="H40" s="150"/>
      <c r="I40" s="150"/>
      <c r="J40" s="150"/>
      <c r="K40" s="150"/>
      <c r="L40" s="150"/>
      <c r="M40" s="150"/>
      <c r="N40" s="150"/>
      <c r="O40" s="151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rintOptions horizontalCentered="1"/>
  <pageMargins left="0" right="0" top="0.39370078740157483" bottom="0" header="0" footer="0"/>
  <pageSetup paperSize="9" scale="67" orientation="landscape" r:id="rId1"/>
  <rowBreaks count="1" manualBreakCount="1">
    <brk id="27" max="1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23"/>
  <sheetViews>
    <sheetView zoomScale="90" zoomScaleNormal="90" workbookViewId="0">
      <selection activeCell="Q13" sqref="Q13"/>
    </sheetView>
  </sheetViews>
  <sheetFormatPr baseColWidth="10" defaultRowHeight="16.5"/>
  <cols>
    <col min="1" max="1" width="4.42578125" style="1" customWidth="1"/>
    <col min="2" max="2" width="12.140625" style="1" customWidth="1"/>
    <col min="3" max="3" width="26.140625" style="1" customWidth="1"/>
    <col min="4" max="4" width="42.42578125" style="1" customWidth="1"/>
    <col min="5" max="5" width="15.85546875" style="1" customWidth="1"/>
    <col min="6" max="6" width="13.5703125" style="1" customWidth="1"/>
    <col min="7" max="7" width="5.85546875" style="1" customWidth="1"/>
    <col min="8" max="8" width="11.42578125" style="1" customWidth="1"/>
    <col min="9" max="9" width="12.85546875" style="1" customWidth="1"/>
    <col min="10" max="11" width="13.28515625" style="1" customWidth="1"/>
    <col min="12" max="13" width="13.5703125" style="1" customWidth="1"/>
    <col min="14" max="15" width="13.7109375" style="1" customWidth="1"/>
    <col min="16" max="16" width="11.42578125" style="1"/>
    <col min="17" max="17" width="7.42578125" style="1" customWidth="1"/>
    <col min="18" max="18" width="13.42578125" style="1" customWidth="1"/>
    <col min="19" max="19" width="13.5703125" style="1" customWidth="1"/>
    <col min="20" max="20" width="3.42578125" style="1" customWidth="1"/>
    <col min="21" max="21" width="9.5703125" style="1" customWidth="1"/>
    <col min="22" max="22" width="9" style="1" customWidth="1"/>
    <col min="23" max="25" width="9.5703125" style="1" customWidth="1"/>
    <col min="26" max="26" width="11.42578125" style="1" customWidth="1"/>
    <col min="27" max="16384" width="11.42578125" style="1"/>
  </cols>
  <sheetData>
    <row r="1" spans="1:25" ht="21" customHeight="1">
      <c r="A1" s="152"/>
      <c r="B1" s="153"/>
      <c r="C1" s="153"/>
      <c r="D1" s="154"/>
      <c r="E1" s="154"/>
      <c r="F1" s="155"/>
      <c r="G1" s="243" t="s">
        <v>1</v>
      </c>
      <c r="H1" s="244"/>
      <c r="I1" s="244"/>
      <c r="J1" s="244"/>
      <c r="K1" s="244"/>
      <c r="L1" s="244"/>
      <c r="M1" s="245"/>
      <c r="N1" s="119"/>
      <c r="O1" s="120"/>
      <c r="P1" s="246"/>
      <c r="Q1" s="246"/>
      <c r="R1" s="121"/>
      <c r="S1" s="156"/>
    </row>
    <row r="2" spans="1:25" ht="22.5" customHeight="1">
      <c r="A2" s="157"/>
      <c r="B2" s="158"/>
      <c r="C2" s="247"/>
      <c r="D2" s="247"/>
      <c r="E2" s="247"/>
      <c r="F2" s="159"/>
      <c r="G2" s="160" t="s">
        <v>4</v>
      </c>
      <c r="H2" s="161"/>
      <c r="I2" s="161"/>
      <c r="J2" s="162">
        <v>90</v>
      </c>
      <c r="K2" s="162"/>
      <c r="L2" s="163"/>
      <c r="M2" s="163"/>
      <c r="N2" s="122"/>
      <c r="O2" s="123"/>
      <c r="P2" s="248"/>
      <c r="Q2" s="248"/>
      <c r="R2" s="123"/>
      <c r="S2" s="124"/>
    </row>
    <row r="3" spans="1:25" ht="22.5" customHeight="1">
      <c r="A3" s="157"/>
      <c r="B3" s="158"/>
      <c r="C3" s="247"/>
      <c r="D3" s="247"/>
      <c r="E3" s="247"/>
      <c r="F3" s="159"/>
      <c r="G3" s="160" t="s">
        <v>8</v>
      </c>
      <c r="H3" s="161"/>
      <c r="I3" s="161"/>
      <c r="J3" s="164" t="s">
        <v>9</v>
      </c>
      <c r="K3" s="164"/>
      <c r="L3" s="165"/>
      <c r="M3" s="165"/>
      <c r="N3" s="122"/>
      <c r="O3" s="123"/>
      <c r="P3" s="248"/>
      <c r="Q3" s="248"/>
      <c r="R3" s="123"/>
      <c r="S3" s="124"/>
    </row>
    <row r="4" spans="1:25">
      <c r="A4" s="166"/>
      <c r="B4" s="167"/>
      <c r="C4" s="167"/>
      <c r="D4" s="168"/>
      <c r="E4" s="168"/>
      <c r="F4" s="169"/>
      <c r="G4" s="170" t="s">
        <v>11</v>
      </c>
      <c r="H4" s="171"/>
      <c r="I4" s="171"/>
      <c r="J4" s="172">
        <v>0.2</v>
      </c>
      <c r="K4" s="172"/>
      <c r="L4" s="173"/>
      <c r="M4" s="173"/>
      <c r="N4" s="174"/>
      <c r="O4" s="125"/>
      <c r="P4" s="240"/>
      <c r="Q4" s="240"/>
      <c r="R4" s="125"/>
      <c r="S4" s="126"/>
    </row>
    <row r="5" spans="1:25" ht="14.25" customHeight="1"/>
    <row r="7" spans="1:25" ht="21" customHeight="1">
      <c r="B7" s="127">
        <v>43082</v>
      </c>
      <c r="C7" s="127"/>
      <c r="E7" s="175"/>
      <c r="F7" s="17"/>
      <c r="G7" s="18"/>
      <c r="H7" s="127">
        <v>43082</v>
      </c>
      <c r="R7" s="241" t="s">
        <v>24</v>
      </c>
      <c r="S7" s="242"/>
    </row>
    <row r="8" spans="1:25" ht="60">
      <c r="A8" s="176" t="s">
        <v>25</v>
      </c>
      <c r="B8" s="177" t="s">
        <v>79</v>
      </c>
      <c r="C8" s="177" t="s">
        <v>80</v>
      </c>
      <c r="D8" s="176" t="s">
        <v>81</v>
      </c>
      <c r="E8" s="177" t="s">
        <v>82</v>
      </c>
      <c r="F8" s="177" t="s">
        <v>83</v>
      </c>
      <c r="G8" s="177" t="s">
        <v>84</v>
      </c>
      <c r="H8" s="177" t="s">
        <v>85</v>
      </c>
      <c r="I8" s="177" t="s">
        <v>26</v>
      </c>
      <c r="J8" s="177" t="s">
        <v>33</v>
      </c>
      <c r="K8" s="177" t="s">
        <v>31</v>
      </c>
      <c r="L8" s="177" t="s">
        <v>86</v>
      </c>
      <c r="M8" s="177" t="s">
        <v>34</v>
      </c>
      <c r="N8" s="177" t="s">
        <v>35</v>
      </c>
      <c r="O8" s="177" t="s">
        <v>36</v>
      </c>
      <c r="P8" s="177" t="s">
        <v>37</v>
      </c>
      <c r="Q8" s="177" t="s">
        <v>38</v>
      </c>
      <c r="R8" s="177" t="s">
        <v>39</v>
      </c>
      <c r="S8" s="177" t="s">
        <v>40</v>
      </c>
      <c r="U8" s="178" t="s">
        <v>41</v>
      </c>
      <c r="V8" s="178" t="s">
        <v>42</v>
      </c>
      <c r="W8" s="178" t="s">
        <v>43</v>
      </c>
      <c r="X8" s="178" t="s">
        <v>44</v>
      </c>
      <c r="Y8" s="178" t="s">
        <v>45</v>
      </c>
    </row>
    <row r="9" spans="1:25" ht="19.5" hidden="1" customHeight="1">
      <c r="A9" s="179" t="s">
        <v>87</v>
      </c>
      <c r="B9" s="180"/>
      <c r="C9" s="181" t="s">
        <v>88</v>
      </c>
      <c r="D9" s="182" t="s">
        <v>89</v>
      </c>
      <c r="E9" s="183">
        <f>1500000*0</f>
        <v>0</v>
      </c>
      <c r="F9" s="179">
        <v>10450221</v>
      </c>
      <c r="G9" s="184">
        <v>1</v>
      </c>
      <c r="H9" s="185">
        <v>42454</v>
      </c>
      <c r="I9" s="186">
        <v>1133002255</v>
      </c>
      <c r="J9" s="187">
        <v>1500000</v>
      </c>
      <c r="K9" s="187"/>
      <c r="L9" s="187">
        <f t="shared" ref="L9:L15" si="0">+J9-K9</f>
        <v>1500000</v>
      </c>
      <c r="M9" s="21">
        <f t="shared" ref="M9:M15" si="1">+L9+(L9*$J$4)</f>
        <v>1800000</v>
      </c>
      <c r="N9" s="183"/>
      <c r="O9" s="188"/>
      <c r="P9" s="188"/>
      <c r="Q9" s="189">
        <f t="shared" ref="Q9:Q15" si="2">-IF(O9=0, ,IF(P9=0,($H$7-O9),P9-O9))</f>
        <v>0</v>
      </c>
      <c r="R9" s="183"/>
      <c r="S9" s="183"/>
      <c r="T9" s="24"/>
      <c r="U9" s="190">
        <f t="shared" ref="U9:U15" si="3">IF(Q9&gt;=0,0,(IF(-Q9&lt;=60,R9,0)))</f>
        <v>0</v>
      </c>
      <c r="V9" s="190">
        <f t="shared" ref="V9:V15" si="4">IF(Q9&gt;=0,0,(IF(Q9&gt;=-60,0,IF(-60&gt;=Q9,IF(Q9&gt;=-120,R9,0)))))</f>
        <v>0</v>
      </c>
      <c r="W9" s="190">
        <f t="shared" ref="W9:W15" si="5">IF(Q9&gt;=0,0,(IF(Q9&gt;-60,0,IF(-60&gt;=Q9,IF(Q9&gt;=-120,0,IF(Q9&gt;=-180,R9,0))))))</f>
        <v>0</v>
      </c>
      <c r="X9" s="190">
        <f t="shared" ref="X9:X15" si="6">IF(Q9&gt;=0,0,(IF(Q9&gt;-60,0,IF(-60&gt;=Q9,IF(Q9&gt;-120,0,IF(Q9&gt;=-180,0,IF(Q9&gt;=-365,R9,0)))))))</f>
        <v>0</v>
      </c>
      <c r="Y9" s="190">
        <f t="shared" ref="Y9:Y15" si="7">IF(Q9&gt;=0,0,IF(365&lt;-Q9,R9,0))</f>
        <v>0</v>
      </c>
    </row>
    <row r="10" spans="1:25" ht="19.5" hidden="1" customHeight="1">
      <c r="A10" s="179" t="s">
        <v>87</v>
      </c>
      <c r="B10" s="180"/>
      <c r="C10" s="181"/>
      <c r="D10" s="182" t="s">
        <v>90</v>
      </c>
      <c r="E10" s="183"/>
      <c r="F10" s="179">
        <v>10450221</v>
      </c>
      <c r="G10" s="184"/>
      <c r="H10" s="185">
        <v>42674</v>
      </c>
      <c r="I10" s="186">
        <v>1133002563</v>
      </c>
      <c r="J10" s="187">
        <v>-1500000</v>
      </c>
      <c r="K10" s="187"/>
      <c r="L10" s="187">
        <f t="shared" si="0"/>
        <v>-1500000</v>
      </c>
      <c r="M10" s="21">
        <f t="shared" si="1"/>
        <v>-1800000</v>
      </c>
      <c r="N10" s="183"/>
      <c r="O10" s="188"/>
      <c r="P10" s="188"/>
      <c r="Q10" s="189">
        <f t="shared" si="2"/>
        <v>0</v>
      </c>
      <c r="R10" s="183"/>
      <c r="S10" s="183"/>
      <c r="T10" s="24"/>
      <c r="U10" s="190">
        <f t="shared" si="3"/>
        <v>0</v>
      </c>
      <c r="V10" s="190">
        <f t="shared" si="4"/>
        <v>0</v>
      </c>
      <c r="W10" s="190">
        <f t="shared" si="5"/>
        <v>0</v>
      </c>
      <c r="X10" s="190">
        <f t="shared" si="6"/>
        <v>0</v>
      </c>
      <c r="Y10" s="190">
        <f t="shared" si="7"/>
        <v>0</v>
      </c>
    </row>
    <row r="11" spans="1:25" ht="19.5" customHeight="1">
      <c r="A11" s="26" t="s">
        <v>91</v>
      </c>
      <c r="B11" s="191"/>
      <c r="C11" s="28" t="s">
        <v>88</v>
      </c>
      <c r="D11" s="29" t="s">
        <v>92</v>
      </c>
      <c r="E11" s="21">
        <v>346863.75</v>
      </c>
      <c r="F11" s="26">
        <v>37575</v>
      </c>
      <c r="G11" s="192">
        <v>2</v>
      </c>
      <c r="H11" s="193">
        <v>42865</v>
      </c>
      <c r="I11" s="27">
        <v>2658</v>
      </c>
      <c r="J11" s="187">
        <v>346863.75</v>
      </c>
      <c r="K11" s="187">
        <f t="shared" ref="K11" si="8">+J11*5%</f>
        <v>17343.1875</v>
      </c>
      <c r="L11" s="187">
        <f t="shared" si="0"/>
        <v>329520.5625</v>
      </c>
      <c r="M11" s="21">
        <f t="shared" si="1"/>
        <v>395424.67499999999</v>
      </c>
      <c r="N11" s="187"/>
      <c r="O11" s="22">
        <f t="shared" ref="O11:O15" si="9">+H11+90</f>
        <v>42955</v>
      </c>
      <c r="P11" s="194">
        <v>43225</v>
      </c>
      <c r="Q11" s="189">
        <f t="shared" si="2"/>
        <v>-270</v>
      </c>
      <c r="R11" s="21">
        <f t="shared" ref="R11:R15" si="10">+M11-N11</f>
        <v>395424.67499999999</v>
      </c>
      <c r="S11" s="21">
        <f t="shared" ref="S11:S15" si="11">+IF(B10&lt;O11,0,R11)</f>
        <v>0</v>
      </c>
      <c r="T11" s="24"/>
      <c r="U11" s="190">
        <f t="shared" si="3"/>
        <v>0</v>
      </c>
      <c r="V11" s="190">
        <f t="shared" si="4"/>
        <v>0</v>
      </c>
      <c r="W11" s="190">
        <f t="shared" si="5"/>
        <v>0</v>
      </c>
      <c r="X11" s="190">
        <f t="shared" si="6"/>
        <v>395424.67499999999</v>
      </c>
      <c r="Y11" s="190">
        <f t="shared" si="7"/>
        <v>0</v>
      </c>
    </row>
    <row r="12" spans="1:25" ht="19.5" customHeight="1">
      <c r="A12" s="26"/>
      <c r="B12" s="191"/>
      <c r="C12" s="28"/>
      <c r="D12" s="29" t="s">
        <v>95</v>
      </c>
      <c r="E12" s="21"/>
      <c r="F12" s="26">
        <v>37575</v>
      </c>
      <c r="G12" s="192">
        <v>3</v>
      </c>
      <c r="H12" s="193">
        <v>42942</v>
      </c>
      <c r="I12" s="27">
        <v>5269</v>
      </c>
      <c r="J12" s="21">
        <v>325074.40000000002</v>
      </c>
      <c r="K12" s="21">
        <v>16253.72</v>
      </c>
      <c r="L12" s="187">
        <f t="shared" si="0"/>
        <v>308820.68000000005</v>
      </c>
      <c r="M12" s="21">
        <f t="shared" si="1"/>
        <v>370584.81600000005</v>
      </c>
      <c r="N12" s="187"/>
      <c r="O12" s="22">
        <f t="shared" si="9"/>
        <v>43032</v>
      </c>
      <c r="P12" s="194">
        <v>43125</v>
      </c>
      <c r="Q12" s="189">
        <f t="shared" si="2"/>
        <v>-93</v>
      </c>
      <c r="R12" s="21">
        <f t="shared" si="10"/>
        <v>370584.81600000005</v>
      </c>
      <c r="S12" s="21">
        <f t="shared" si="11"/>
        <v>0</v>
      </c>
      <c r="T12" s="24"/>
      <c r="U12" s="190">
        <f t="shared" si="3"/>
        <v>0</v>
      </c>
      <c r="V12" s="190">
        <f t="shared" si="4"/>
        <v>370584.81600000005</v>
      </c>
      <c r="W12" s="190">
        <f t="shared" si="5"/>
        <v>0</v>
      </c>
      <c r="X12" s="190">
        <f t="shared" si="6"/>
        <v>0</v>
      </c>
      <c r="Y12" s="190">
        <f t="shared" si="7"/>
        <v>0</v>
      </c>
    </row>
    <row r="13" spans="1:25" ht="19.5" customHeight="1">
      <c r="A13" s="26"/>
      <c r="B13" s="191"/>
      <c r="C13" s="28"/>
      <c r="D13" s="29" t="s">
        <v>96</v>
      </c>
      <c r="E13" s="21"/>
      <c r="F13" s="26">
        <v>37575</v>
      </c>
      <c r="G13" s="192">
        <v>3</v>
      </c>
      <c r="H13" s="193">
        <v>42973</v>
      </c>
      <c r="I13" s="27">
        <v>5489</v>
      </c>
      <c r="J13" s="21">
        <v>994805.44</v>
      </c>
      <c r="K13" s="21">
        <v>49740.27</v>
      </c>
      <c r="L13" s="187">
        <f t="shared" si="0"/>
        <v>945065.16999999993</v>
      </c>
      <c r="M13" s="21">
        <f t="shared" si="1"/>
        <v>1134078.2039999999</v>
      </c>
      <c r="N13" s="187"/>
      <c r="O13" s="22">
        <f t="shared" si="9"/>
        <v>43063</v>
      </c>
      <c r="P13" s="194">
        <v>43179</v>
      </c>
      <c r="Q13" s="189">
        <f t="shared" si="2"/>
        <v>-116</v>
      </c>
      <c r="R13" s="21">
        <f t="shared" si="10"/>
        <v>1134078.2039999999</v>
      </c>
      <c r="S13" s="21">
        <f t="shared" si="11"/>
        <v>0</v>
      </c>
      <c r="T13" s="24"/>
      <c r="U13" s="190">
        <f t="shared" si="3"/>
        <v>0</v>
      </c>
      <c r="V13" s="190">
        <f t="shared" si="4"/>
        <v>1134078.2039999999</v>
      </c>
      <c r="W13" s="190">
        <f t="shared" si="5"/>
        <v>0</v>
      </c>
      <c r="X13" s="190">
        <f t="shared" si="6"/>
        <v>0</v>
      </c>
      <c r="Y13" s="190">
        <f t="shared" si="7"/>
        <v>0</v>
      </c>
    </row>
    <row r="14" spans="1:25" ht="19.5" customHeight="1">
      <c r="A14" s="26"/>
      <c r="B14" s="191"/>
      <c r="C14" s="28"/>
      <c r="D14" s="29" t="s">
        <v>97</v>
      </c>
      <c r="E14" s="21"/>
      <c r="F14" s="26">
        <v>37575</v>
      </c>
      <c r="G14" s="192">
        <v>3</v>
      </c>
      <c r="H14" s="193">
        <v>43004</v>
      </c>
      <c r="I14" s="27">
        <v>6452</v>
      </c>
      <c r="J14" s="21">
        <v>423211.36</v>
      </c>
      <c r="K14" s="21">
        <v>21160.57</v>
      </c>
      <c r="L14" s="187">
        <f t="shared" si="0"/>
        <v>402050.79</v>
      </c>
      <c r="M14" s="21">
        <f t="shared" si="1"/>
        <v>482460.94799999997</v>
      </c>
      <c r="N14" s="187"/>
      <c r="O14" s="22">
        <f t="shared" si="9"/>
        <v>43094</v>
      </c>
      <c r="P14" s="194">
        <v>43179</v>
      </c>
      <c r="Q14" s="189">
        <f t="shared" si="2"/>
        <v>-85</v>
      </c>
      <c r="R14" s="21">
        <f t="shared" si="10"/>
        <v>482460.94799999997</v>
      </c>
      <c r="S14" s="21">
        <f t="shared" si="11"/>
        <v>0</v>
      </c>
      <c r="T14" s="24"/>
      <c r="U14" s="190">
        <f t="shared" si="3"/>
        <v>0</v>
      </c>
      <c r="V14" s="190">
        <f t="shared" si="4"/>
        <v>482460.94799999997</v>
      </c>
      <c r="W14" s="190">
        <f t="shared" si="5"/>
        <v>0</v>
      </c>
      <c r="X14" s="190">
        <f t="shared" si="6"/>
        <v>0</v>
      </c>
      <c r="Y14" s="190">
        <f t="shared" si="7"/>
        <v>0</v>
      </c>
    </row>
    <row r="15" spans="1:25" ht="19.5" customHeight="1">
      <c r="A15" s="26"/>
      <c r="B15" s="191"/>
      <c r="C15" s="28"/>
      <c r="D15" s="29" t="s">
        <v>93</v>
      </c>
      <c r="E15" s="21"/>
      <c r="F15" s="26">
        <v>37575</v>
      </c>
      <c r="G15" s="192">
        <v>2</v>
      </c>
      <c r="H15" s="193">
        <v>43035</v>
      </c>
      <c r="I15" s="27">
        <v>1258</v>
      </c>
      <c r="J15" s="187">
        <v>850815.5</v>
      </c>
      <c r="K15" s="21">
        <v>42540.775000000001</v>
      </c>
      <c r="L15" s="187">
        <f t="shared" si="0"/>
        <v>808274.72499999998</v>
      </c>
      <c r="M15" s="21">
        <f t="shared" si="1"/>
        <v>969929.66999999993</v>
      </c>
      <c r="N15" s="187"/>
      <c r="O15" s="22">
        <f t="shared" si="9"/>
        <v>43125</v>
      </c>
      <c r="P15" s="194"/>
      <c r="Q15" s="189">
        <f t="shared" si="2"/>
        <v>43</v>
      </c>
      <c r="R15" s="21">
        <f t="shared" si="10"/>
        <v>969929.66999999993</v>
      </c>
      <c r="S15" s="21">
        <f t="shared" si="11"/>
        <v>0</v>
      </c>
      <c r="T15" s="24"/>
      <c r="U15" s="190">
        <f t="shared" si="3"/>
        <v>0</v>
      </c>
      <c r="V15" s="190">
        <f t="shared" si="4"/>
        <v>0</v>
      </c>
      <c r="W15" s="190">
        <f t="shared" si="5"/>
        <v>0</v>
      </c>
      <c r="X15" s="190">
        <f t="shared" si="6"/>
        <v>0</v>
      </c>
      <c r="Y15" s="190">
        <f t="shared" si="7"/>
        <v>0</v>
      </c>
    </row>
    <row r="16" spans="1:25" ht="19.5" customHeight="1" thickBot="1">
      <c r="A16" s="27"/>
      <c r="B16" s="27"/>
      <c r="C16" s="28"/>
      <c r="D16" s="29"/>
      <c r="E16" s="21"/>
      <c r="F16" s="27"/>
      <c r="G16" s="192"/>
      <c r="H16" s="21"/>
      <c r="I16" s="21"/>
      <c r="J16" s="21"/>
      <c r="K16" s="21"/>
      <c r="L16" s="21"/>
      <c r="M16" s="21"/>
      <c r="N16" s="21"/>
      <c r="O16" s="22"/>
      <c r="P16" s="22"/>
      <c r="Q16" s="32"/>
      <c r="R16" s="21"/>
      <c r="S16" s="27"/>
      <c r="T16" s="24"/>
      <c r="U16" s="195"/>
      <c r="V16" s="195"/>
      <c r="W16" s="195"/>
      <c r="X16" s="195"/>
      <c r="Y16" s="195"/>
    </row>
    <row r="17" spans="1:25" s="24" customFormat="1" ht="28.5" customHeight="1" thickBot="1">
      <c r="A17" s="196"/>
      <c r="B17" s="197" t="s">
        <v>47</v>
      </c>
      <c r="C17" s="197"/>
      <c r="D17" s="197" t="s">
        <v>94</v>
      </c>
      <c r="E17" s="198">
        <f>SUM(E9:E16)</f>
        <v>346863.75</v>
      </c>
      <c r="F17" s="198"/>
      <c r="G17" s="199">
        <f>SUM(G9:G16)</f>
        <v>14</v>
      </c>
      <c r="H17" s="198"/>
      <c r="I17" s="198"/>
      <c r="J17" s="198">
        <f>SUM(J9:J16)</f>
        <v>2940770.4499999997</v>
      </c>
      <c r="K17" s="198">
        <f>SUM(K9:K16)</f>
        <v>147038.52249999999</v>
      </c>
      <c r="L17" s="198">
        <f>SUM(L9:L16)</f>
        <v>2793731.9275000002</v>
      </c>
      <c r="M17" s="198">
        <f>SUM(M9:M16)</f>
        <v>3352478.3129999996</v>
      </c>
      <c r="N17" s="198">
        <f>SUM(N9:N16)</f>
        <v>0</v>
      </c>
      <c r="O17" s="200"/>
      <c r="P17" s="200"/>
      <c r="Q17" s="200"/>
      <c r="R17" s="198">
        <f>SUM(R9:R16)</f>
        <v>3352478.3129999996</v>
      </c>
      <c r="S17" s="201">
        <f>SUM(S9:S16)</f>
        <v>0</v>
      </c>
      <c r="U17" s="33">
        <f>SUM(U9:U16)</f>
        <v>0</v>
      </c>
      <c r="V17" s="33">
        <f>SUM(V9:V16)</f>
        <v>1987123.9679999999</v>
      </c>
      <c r="W17" s="33">
        <f>SUM(W9:W16)</f>
        <v>0</v>
      </c>
      <c r="X17" s="33">
        <f>SUM(X9:X16)</f>
        <v>395424.67499999999</v>
      </c>
      <c r="Y17" s="33">
        <f>SUM(Y9:Y16)</f>
        <v>0</v>
      </c>
    </row>
    <row r="18" spans="1:25">
      <c r="J18" s="202"/>
      <c r="N18" s="203"/>
    </row>
    <row r="19" spans="1:25" ht="22.5" customHeight="1">
      <c r="E19" s="204"/>
      <c r="L19" s="81"/>
      <c r="N19" s="203"/>
    </row>
    <row r="20" spans="1:25" ht="22.5" customHeight="1">
      <c r="E20" s="204"/>
    </row>
    <row r="21" spans="1:25">
      <c r="J21" s="204"/>
    </row>
    <row r="22" spans="1:25">
      <c r="E22" s="204"/>
    </row>
    <row r="23" spans="1:25">
      <c r="E23" s="204"/>
    </row>
  </sheetData>
  <mergeCells count="8">
    <mergeCell ref="P4:Q4"/>
    <mergeCell ref="R7:S7"/>
    <mergeCell ref="G1:M1"/>
    <mergeCell ref="P1:Q1"/>
    <mergeCell ref="C2:E2"/>
    <mergeCell ref="P2:Q2"/>
    <mergeCell ref="C3:E3"/>
    <mergeCell ref="P3:Q3"/>
  </mergeCells>
  <printOptions horizontalCentered="1"/>
  <pageMargins left="0.19685039370078741" right="0.19685039370078741" top="0.39370078740157483" bottom="0.19685039370078741" header="0.31496062992125984" footer="0.31496062992125984"/>
  <pageSetup paperSize="9" scale="39" fitToHeight="0" orientation="landscape" r:id="rId1"/>
  <colBreaks count="1" manualBreakCount="1">
    <brk id="8" max="11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230</vt:lpstr>
      <vt:lpstr>240</vt:lpstr>
      <vt:lpstr>TS CAUTION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dcterms:created xsi:type="dcterms:W3CDTF">2017-11-25T20:38:55Z</dcterms:created>
  <dcterms:modified xsi:type="dcterms:W3CDTF">2017-12-14T10:11:36Z</dcterms:modified>
</cp:coreProperties>
</file>