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sahir\Desktop\Compte client\"/>
    </mc:Choice>
  </mc:AlternateContent>
  <bookViews>
    <workbookView xWindow="0" yWindow="0" windowWidth="17715" windowHeight="7830" tabRatio="604"/>
  </bookViews>
  <sheets>
    <sheet name="SYNTHESE" sheetId="50" r:id="rId1"/>
    <sheet name="RECAP" sheetId="1" r:id="rId2"/>
    <sheet name="210" sheetId="42" r:id="rId3"/>
    <sheet name="210 bw" sheetId="46" r:id="rId4"/>
    <sheet name="210cw" sheetId="45" r:id="rId5"/>
    <sheet name="211" sheetId="43" r:id="rId6"/>
    <sheet name="212" sheetId="44" r:id="rId7"/>
    <sheet name="220-G" sheetId="49" r:id="rId8"/>
    <sheet name="221" sheetId="47" r:id="rId9"/>
    <sheet name="230A" sheetId="48" r:id="rId10"/>
  </sheets>
  <definedNames>
    <definedName name="_Key2" hidden="1">#REF!</definedName>
    <definedName name="_Order2" hidden="1">255</definedName>
    <definedName name="_Sort" hidden="1">#REF!</definedName>
    <definedName name="AC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hidden="1">{#N/A,#N/A,FALSE,"Etanchéité";#N/A,#N/A,FALSE,"Etanchéité2";#N/A,#N/A,FALSE,"MOI";#N/A,#N/A,FALSE,"Encadrement"}</definedName>
    <definedName name="de" hidden="1">{#N/A,#N/A,FALSE,"R.D. Maroc";#N/A,#N/A,FALSE,"Colle";#N/A,#N/A,FALSE,"Métaci"}</definedName>
    <definedName name="DFR" hidden="1">{#N/A,#N/A,FALSE,"Classe";#N/A,#N/A,FALSE,"Destination";#N/A,#N/A,FALSE,"Consolidation"}</definedName>
    <definedName name="ds" hidden="1">{#N/A,#N/A,FALSE,"Menuiserie extérieure";#N/A,#N/A,FALSE,"Menuiserie ext.";#N/A,#N/A,FALSE,"MOI";#N/A,#N/A,FALSE,"Encadrement";#N/A,#N/A,FALSE,"Fournitures"}</definedName>
    <definedName name="EA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hidden="1">{#N/A,#N/A,FALSE,"Classe";#N/A,#N/A,FALSE,"Destination";#N/A,#N/A,FALSE,"Consolidation"}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hidden="1">{#N/A,#N/A,FALSE,"Classe";#N/A,#N/A,FALSE,"Destination";#N/A,#N/A,FALSE,"Consolidation"}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hidden="1">{#N/A,#N/A,FALSE,"Classe";#N/A,#N/A,FALSE,"Destination";#N/A,#N/A,FALSE,"Consolidation"}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hidden="1">{#N/A,#N/A,FALSE,"Etanchéité";#N/A,#N/A,FALSE,"Etanchéité2";#N/A,#N/A,FALSE,"MOI";#N/A,#N/A,FALSE,"Encadrement"}</definedName>
    <definedName name="wrn.Investissement._.Matériel." hidden="1">{#N/A,#N/A,FALSE,"Classe";#N/A,#N/A,FALSE,"Destination";#N/A,#N/A,FALSE,"Consolidation"}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hidden="1">{#N/A,#N/A,FALSE,"R.D. Maroc";#N/A,#N/A,FALSE,"Colle";#N/A,#N/A,FALSE,"Métaci"}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9" i="50" l="1"/>
  <c r="F19" i="50"/>
  <c r="E19" i="50"/>
  <c r="I10" i="50"/>
  <c r="J10" i="50"/>
  <c r="K10" i="50"/>
  <c r="H10" i="50"/>
  <c r="E11" i="50"/>
  <c r="E12" i="50"/>
  <c r="E13" i="50"/>
  <c r="E14" i="50"/>
  <c r="E15" i="50"/>
  <c r="E16" i="50"/>
  <c r="G10" i="50"/>
  <c r="E10" i="50"/>
  <c r="C16" i="50"/>
  <c r="C15" i="50"/>
  <c r="C14" i="50"/>
  <c r="C13" i="50"/>
  <c r="C12" i="50"/>
  <c r="C11" i="50"/>
  <c r="C10" i="50"/>
  <c r="F10" i="50"/>
  <c r="E17" i="50"/>
  <c r="C6" i="50"/>
  <c r="M19" i="50"/>
  <c r="L19" i="50"/>
  <c r="K19" i="50"/>
  <c r="J19" i="50"/>
  <c r="I19" i="50"/>
  <c r="H19" i="50"/>
  <c r="G19" i="50"/>
  <c r="B104" i="1"/>
  <c r="E104" i="1"/>
  <c r="F104" i="1"/>
  <c r="G98" i="1"/>
  <c r="H98" i="1"/>
  <c r="G99" i="1"/>
  <c r="H99" i="1"/>
  <c r="G100" i="1"/>
  <c r="H100" i="1"/>
  <c r="G101" i="1"/>
  <c r="H101" i="1"/>
  <c r="G102" i="1"/>
  <c r="H102" i="1"/>
  <c r="G103" i="1"/>
  <c r="H103" i="1"/>
  <c r="H104" i="1"/>
  <c r="I98" i="1"/>
  <c r="I99" i="1"/>
  <c r="I100" i="1"/>
  <c r="I101" i="1"/>
  <c r="I102" i="1"/>
  <c r="I103" i="1"/>
  <c r="I104" i="1"/>
  <c r="J98" i="1"/>
  <c r="J99" i="1"/>
  <c r="J100" i="1"/>
  <c r="J101" i="1"/>
  <c r="J102" i="1"/>
  <c r="J103" i="1"/>
  <c r="J104" i="1"/>
  <c r="K98" i="1"/>
  <c r="K99" i="1"/>
  <c r="K100" i="1"/>
  <c r="K101" i="1"/>
  <c r="K102" i="1"/>
  <c r="K103" i="1"/>
  <c r="K104" i="1"/>
  <c r="B96" i="1"/>
  <c r="E96" i="1"/>
  <c r="F96" i="1"/>
  <c r="G91" i="1"/>
  <c r="H91" i="1"/>
  <c r="G92" i="1"/>
  <c r="H92" i="1"/>
  <c r="G93" i="1"/>
  <c r="H93" i="1"/>
  <c r="G94" i="1"/>
  <c r="H94" i="1"/>
  <c r="G95" i="1"/>
  <c r="H95" i="1"/>
  <c r="H96" i="1"/>
  <c r="I91" i="1"/>
  <c r="I92" i="1"/>
  <c r="I93" i="1"/>
  <c r="I94" i="1"/>
  <c r="I95" i="1"/>
  <c r="I96" i="1"/>
  <c r="J91" i="1"/>
  <c r="J92" i="1"/>
  <c r="J93" i="1"/>
  <c r="J94" i="1"/>
  <c r="J95" i="1"/>
  <c r="J96" i="1"/>
  <c r="K91" i="1"/>
  <c r="K92" i="1"/>
  <c r="K93" i="1"/>
  <c r="K94" i="1"/>
  <c r="K95" i="1"/>
  <c r="K96" i="1"/>
  <c r="B89" i="1"/>
  <c r="E89" i="1"/>
  <c r="F89" i="1"/>
  <c r="G86" i="1"/>
  <c r="H86" i="1"/>
  <c r="G87" i="1"/>
  <c r="H87" i="1"/>
  <c r="G88" i="1"/>
  <c r="H88" i="1"/>
  <c r="H89" i="1"/>
  <c r="I86" i="1"/>
  <c r="I87" i="1"/>
  <c r="I88" i="1"/>
  <c r="I89" i="1"/>
  <c r="J86" i="1"/>
  <c r="J87" i="1"/>
  <c r="J88" i="1"/>
  <c r="J89" i="1"/>
  <c r="K86" i="1"/>
  <c r="K87" i="1"/>
  <c r="K88" i="1"/>
  <c r="K89" i="1"/>
  <c r="B84" i="1"/>
  <c r="E84" i="1"/>
  <c r="F84" i="1"/>
  <c r="G81" i="1"/>
  <c r="H81" i="1"/>
  <c r="G82" i="1"/>
  <c r="H82" i="1"/>
  <c r="G83" i="1"/>
  <c r="H83" i="1"/>
  <c r="H84" i="1"/>
  <c r="I81" i="1"/>
  <c r="I82" i="1"/>
  <c r="I83" i="1"/>
  <c r="I84" i="1"/>
  <c r="J81" i="1"/>
  <c r="J82" i="1"/>
  <c r="J83" i="1"/>
  <c r="J84" i="1"/>
  <c r="K81" i="1"/>
  <c r="K82" i="1"/>
  <c r="K83" i="1"/>
  <c r="K84" i="1"/>
  <c r="B79" i="1"/>
  <c r="E79" i="1"/>
  <c r="F79" i="1"/>
  <c r="G77" i="1"/>
  <c r="H77" i="1"/>
  <c r="G78" i="1"/>
  <c r="H78" i="1"/>
  <c r="H79" i="1"/>
  <c r="I77" i="1"/>
  <c r="I78" i="1"/>
  <c r="I79" i="1"/>
  <c r="J77" i="1"/>
  <c r="J78" i="1"/>
  <c r="J79" i="1"/>
  <c r="K77" i="1"/>
  <c r="K78" i="1"/>
  <c r="K79" i="1"/>
  <c r="B75" i="1"/>
  <c r="E75" i="1"/>
  <c r="F75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H75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B45" i="1"/>
  <c r="E45" i="1"/>
  <c r="F45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H45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B19" i="1"/>
  <c r="E19" i="1"/>
  <c r="F19" i="1"/>
  <c r="G13" i="1"/>
  <c r="H13" i="1"/>
  <c r="G14" i="1"/>
  <c r="H14" i="1"/>
  <c r="G15" i="1"/>
  <c r="H15" i="1"/>
  <c r="G16" i="1"/>
  <c r="H16" i="1"/>
  <c r="G17" i="1"/>
  <c r="H17" i="1"/>
  <c r="G18" i="1"/>
  <c r="H18" i="1"/>
  <c r="H19" i="1"/>
  <c r="I13" i="1"/>
  <c r="I14" i="1"/>
  <c r="I15" i="1"/>
  <c r="I16" i="1"/>
  <c r="I17" i="1"/>
  <c r="I18" i="1"/>
  <c r="I19" i="1"/>
  <c r="J13" i="1"/>
  <c r="J14" i="1"/>
  <c r="J15" i="1"/>
  <c r="J16" i="1"/>
  <c r="J17" i="1"/>
  <c r="J18" i="1"/>
  <c r="J19" i="1"/>
  <c r="K13" i="1"/>
  <c r="K14" i="1"/>
  <c r="K15" i="1"/>
  <c r="K16" i="1"/>
  <c r="K17" i="1"/>
  <c r="K18" i="1"/>
  <c r="K19" i="1"/>
  <c r="L12" i="49"/>
  <c r="G12" i="49"/>
  <c r="F12" i="49"/>
  <c r="I12" i="49"/>
  <c r="J12" i="49"/>
  <c r="K12" i="49"/>
  <c r="O12" i="49"/>
  <c r="P12" i="49"/>
  <c r="L17" i="49"/>
  <c r="G17" i="49"/>
  <c r="F17" i="49"/>
  <c r="I17" i="49"/>
  <c r="J17" i="49"/>
  <c r="O17" i="49"/>
  <c r="P17" i="49"/>
  <c r="L18" i="49"/>
  <c r="G18" i="49"/>
  <c r="F18" i="49"/>
  <c r="I18" i="49"/>
  <c r="J18" i="49"/>
  <c r="O18" i="49"/>
  <c r="P18" i="49"/>
  <c r="L19" i="49"/>
  <c r="G19" i="49"/>
  <c r="F19" i="49"/>
  <c r="I19" i="49"/>
  <c r="J19" i="49"/>
  <c r="O19" i="49"/>
  <c r="P19" i="49"/>
  <c r="L20" i="49"/>
  <c r="G20" i="49"/>
  <c r="F20" i="49"/>
  <c r="I20" i="49"/>
  <c r="J20" i="49"/>
  <c r="K20" i="49"/>
  <c r="O20" i="49"/>
  <c r="P20" i="49"/>
  <c r="L23" i="49"/>
  <c r="P23" i="49"/>
  <c r="P25" i="49"/>
  <c r="H39" i="49"/>
  <c r="G13" i="49"/>
  <c r="F13" i="49"/>
  <c r="I13" i="49"/>
  <c r="J13" i="49"/>
  <c r="G14" i="49"/>
  <c r="F14" i="49"/>
  <c r="I14" i="49"/>
  <c r="J14" i="49"/>
  <c r="G15" i="49"/>
  <c r="F15" i="49"/>
  <c r="I15" i="49"/>
  <c r="J15" i="49"/>
  <c r="G16" i="49"/>
  <c r="F16" i="49"/>
  <c r="I16" i="49"/>
  <c r="J16" i="49"/>
  <c r="G23" i="49"/>
  <c r="F23" i="49"/>
  <c r="I23" i="49"/>
  <c r="J23" i="49"/>
  <c r="J25" i="49"/>
  <c r="K39" i="49"/>
  <c r="O23" i="49"/>
  <c r="O25" i="49"/>
  <c r="H37" i="49"/>
  <c r="K37" i="49"/>
  <c r="K25" i="49"/>
  <c r="H35" i="49"/>
  <c r="K35" i="49"/>
  <c r="E25" i="49"/>
  <c r="H33" i="49"/>
  <c r="M7" i="49"/>
  <c r="H31" i="49"/>
  <c r="K33" i="49"/>
  <c r="E27" i="49"/>
  <c r="F27" i="49"/>
  <c r="K26" i="49"/>
  <c r="E26" i="49"/>
  <c r="V12" i="49"/>
  <c r="N13" i="49"/>
  <c r="V13" i="49"/>
  <c r="N14" i="49"/>
  <c r="V14" i="49"/>
  <c r="N15" i="49"/>
  <c r="V15" i="49"/>
  <c r="N16" i="49"/>
  <c r="V16" i="49"/>
  <c r="N17" i="49"/>
  <c r="V17" i="49"/>
  <c r="N18" i="49"/>
  <c r="V18" i="49"/>
  <c r="N19" i="49"/>
  <c r="V19" i="49"/>
  <c r="V20" i="49"/>
  <c r="N21" i="49"/>
  <c r="V21" i="49"/>
  <c r="N22" i="49"/>
  <c r="V22" i="49"/>
  <c r="N23" i="49"/>
  <c r="V23" i="49"/>
  <c r="V24" i="49"/>
  <c r="V25" i="49"/>
  <c r="U12" i="49"/>
  <c r="U13" i="49"/>
  <c r="U14" i="49"/>
  <c r="U15" i="49"/>
  <c r="U16" i="49"/>
  <c r="U17" i="49"/>
  <c r="U18" i="49"/>
  <c r="U19" i="49"/>
  <c r="U20" i="49"/>
  <c r="U21" i="49"/>
  <c r="U22" i="49"/>
  <c r="U23" i="49"/>
  <c r="U24" i="49"/>
  <c r="U25" i="49"/>
  <c r="T12" i="49"/>
  <c r="T13" i="49"/>
  <c r="T14" i="49"/>
  <c r="T15" i="49"/>
  <c r="T16" i="49"/>
  <c r="T17" i="49"/>
  <c r="T18" i="49"/>
  <c r="T19" i="49"/>
  <c r="T20" i="49"/>
  <c r="T21" i="49"/>
  <c r="T22" i="49"/>
  <c r="T23" i="49"/>
  <c r="T24" i="49"/>
  <c r="T25" i="49"/>
  <c r="S12" i="49"/>
  <c r="S13" i="49"/>
  <c r="S14" i="49"/>
  <c r="S15" i="49"/>
  <c r="S16" i="49"/>
  <c r="S17" i="49"/>
  <c r="S18" i="49"/>
  <c r="S19" i="49"/>
  <c r="S20" i="49"/>
  <c r="S21" i="49"/>
  <c r="S22" i="49"/>
  <c r="S23" i="49"/>
  <c r="S24" i="49"/>
  <c r="S25" i="49"/>
  <c r="R12" i="49"/>
  <c r="R13" i="49"/>
  <c r="R14" i="49"/>
  <c r="R15" i="49"/>
  <c r="R16" i="49"/>
  <c r="R17" i="49"/>
  <c r="R18" i="49"/>
  <c r="R19" i="49"/>
  <c r="R20" i="49"/>
  <c r="R21" i="49"/>
  <c r="R22" i="49"/>
  <c r="R23" i="49"/>
  <c r="R24" i="49"/>
  <c r="R25" i="49"/>
  <c r="I25" i="49"/>
  <c r="H25" i="49"/>
  <c r="G25" i="49"/>
  <c r="F25" i="49"/>
  <c r="M8" i="49"/>
  <c r="H12" i="48"/>
  <c r="I12" i="48"/>
  <c r="J12" i="48"/>
  <c r="K12" i="48"/>
  <c r="O12" i="48"/>
  <c r="P12" i="48"/>
  <c r="H13" i="48"/>
  <c r="I13" i="48"/>
  <c r="J13" i="48"/>
  <c r="K13" i="48"/>
  <c r="O13" i="48"/>
  <c r="P13" i="48"/>
  <c r="H14" i="48"/>
  <c r="I14" i="48"/>
  <c r="J14" i="48"/>
  <c r="K14" i="48"/>
  <c r="O14" i="48"/>
  <c r="P14" i="48"/>
  <c r="F15" i="48"/>
  <c r="H15" i="48"/>
  <c r="I15" i="48"/>
  <c r="J15" i="48"/>
  <c r="K15" i="48"/>
  <c r="O15" i="48"/>
  <c r="P15" i="48"/>
  <c r="F16" i="48"/>
  <c r="H16" i="48"/>
  <c r="I16" i="48"/>
  <c r="J16" i="48"/>
  <c r="K16" i="48"/>
  <c r="O16" i="48"/>
  <c r="P16" i="48"/>
  <c r="F17" i="48"/>
  <c r="H17" i="48"/>
  <c r="I17" i="48"/>
  <c r="J17" i="48"/>
  <c r="O17" i="48"/>
  <c r="P17" i="48"/>
  <c r="F18" i="48"/>
  <c r="H18" i="48"/>
  <c r="I18" i="48"/>
  <c r="J18" i="48"/>
  <c r="O18" i="48"/>
  <c r="P18" i="48"/>
  <c r="F19" i="48"/>
  <c r="H19" i="48"/>
  <c r="I19" i="48"/>
  <c r="J19" i="48"/>
  <c r="O19" i="48"/>
  <c r="P19" i="48"/>
  <c r="E20" i="48"/>
  <c r="F20" i="48"/>
  <c r="H20" i="48"/>
  <c r="I20" i="48"/>
  <c r="J20" i="48"/>
  <c r="O20" i="48"/>
  <c r="P20" i="48"/>
  <c r="E21" i="48"/>
  <c r="F21" i="48"/>
  <c r="H21" i="48"/>
  <c r="I21" i="48"/>
  <c r="J21" i="48"/>
  <c r="O21" i="48"/>
  <c r="P21" i="48"/>
  <c r="P22" i="48"/>
  <c r="P24" i="48"/>
  <c r="G38" i="48"/>
  <c r="E22" i="48"/>
  <c r="F22" i="48"/>
  <c r="H22" i="48"/>
  <c r="I22" i="48"/>
  <c r="I24" i="48"/>
  <c r="J38" i="48"/>
  <c r="J22" i="48"/>
  <c r="O22" i="48"/>
  <c r="O24" i="48"/>
  <c r="G36" i="48"/>
  <c r="J24" i="48"/>
  <c r="J36" i="48"/>
  <c r="K24" i="48"/>
  <c r="G34" i="48"/>
  <c r="J34" i="48"/>
  <c r="E24" i="48"/>
  <c r="G32" i="48"/>
  <c r="M7" i="48"/>
  <c r="G30" i="48"/>
  <c r="J32" i="48"/>
  <c r="E26" i="48"/>
  <c r="F26" i="48"/>
  <c r="K25" i="48"/>
  <c r="H24" i="48"/>
  <c r="H25" i="48"/>
  <c r="E25" i="48"/>
  <c r="N12" i="48"/>
  <c r="X12" i="48"/>
  <c r="N13" i="48"/>
  <c r="X13" i="48"/>
  <c r="N14" i="48"/>
  <c r="X14" i="48"/>
  <c r="N15" i="48"/>
  <c r="X15" i="48"/>
  <c r="N16" i="48"/>
  <c r="X16" i="48"/>
  <c r="X24" i="48"/>
  <c r="V12" i="48"/>
  <c r="V13" i="48"/>
  <c r="V14" i="48"/>
  <c r="V15" i="48"/>
  <c r="V16" i="48"/>
  <c r="N17" i="48"/>
  <c r="V17" i="48"/>
  <c r="N18" i="48"/>
  <c r="V18" i="48"/>
  <c r="N19" i="48"/>
  <c r="V19" i="48"/>
  <c r="N20" i="48"/>
  <c r="V20" i="48"/>
  <c r="N21" i="48"/>
  <c r="V21" i="48"/>
  <c r="N22" i="48"/>
  <c r="V22" i="48"/>
  <c r="V24" i="48"/>
  <c r="U12" i="48"/>
  <c r="U13" i="48"/>
  <c r="U14" i="48"/>
  <c r="U15" i="48"/>
  <c r="U16" i="48"/>
  <c r="U17" i="48"/>
  <c r="U18" i="48"/>
  <c r="U19" i="48"/>
  <c r="U20" i="48"/>
  <c r="U21" i="48"/>
  <c r="U22" i="48"/>
  <c r="U24" i="48"/>
  <c r="T12" i="48"/>
  <c r="T13" i="48"/>
  <c r="T14" i="48"/>
  <c r="T15" i="48"/>
  <c r="T16" i="48"/>
  <c r="T17" i="48"/>
  <c r="T18" i="48"/>
  <c r="T19" i="48"/>
  <c r="T20" i="48"/>
  <c r="T21" i="48"/>
  <c r="T22" i="48"/>
  <c r="T24" i="48"/>
  <c r="S12" i="48"/>
  <c r="S13" i="48"/>
  <c r="S14" i="48"/>
  <c r="S15" i="48"/>
  <c r="S16" i="48"/>
  <c r="S17" i="48"/>
  <c r="S18" i="48"/>
  <c r="S19" i="48"/>
  <c r="S20" i="48"/>
  <c r="S21" i="48"/>
  <c r="S22" i="48"/>
  <c r="S24" i="48"/>
  <c r="R12" i="48"/>
  <c r="R13" i="48"/>
  <c r="R14" i="48"/>
  <c r="R15" i="48"/>
  <c r="R16" i="48"/>
  <c r="R17" i="48"/>
  <c r="R18" i="48"/>
  <c r="R19" i="48"/>
  <c r="R20" i="48"/>
  <c r="R21" i="48"/>
  <c r="R22" i="48"/>
  <c r="R24" i="48"/>
  <c r="G24" i="48"/>
  <c r="F24" i="48"/>
  <c r="M8" i="48"/>
  <c r="G12" i="47"/>
  <c r="H12" i="47"/>
  <c r="I12" i="47"/>
  <c r="J12" i="47"/>
  <c r="K12" i="47"/>
  <c r="O12" i="47"/>
  <c r="P12" i="47"/>
  <c r="I6" i="47"/>
  <c r="F13" i="47"/>
  <c r="G13" i="47"/>
  <c r="H13" i="47"/>
  <c r="I13" i="47"/>
  <c r="J13" i="47"/>
  <c r="K13" i="47"/>
  <c r="O13" i="47"/>
  <c r="P13" i="47"/>
  <c r="F14" i="47"/>
  <c r="G14" i="47"/>
  <c r="H14" i="47"/>
  <c r="I14" i="47"/>
  <c r="J14" i="47"/>
  <c r="K14" i="47"/>
  <c r="O14" i="47"/>
  <c r="P14" i="47"/>
  <c r="F15" i="47"/>
  <c r="G15" i="47"/>
  <c r="H15" i="47"/>
  <c r="I15" i="47"/>
  <c r="J15" i="47"/>
  <c r="K15" i="47"/>
  <c r="O15" i="47"/>
  <c r="P15" i="47"/>
  <c r="F16" i="47"/>
  <c r="G16" i="47"/>
  <c r="H16" i="47"/>
  <c r="I16" i="47"/>
  <c r="J16" i="47"/>
  <c r="K16" i="47"/>
  <c r="O16" i="47"/>
  <c r="P16" i="47"/>
  <c r="F17" i="47"/>
  <c r="G17" i="47"/>
  <c r="H17" i="47"/>
  <c r="I17" i="47"/>
  <c r="J17" i="47"/>
  <c r="K17" i="47"/>
  <c r="O17" i="47"/>
  <c r="P17" i="47"/>
  <c r="F18" i="47"/>
  <c r="G18" i="47"/>
  <c r="H18" i="47"/>
  <c r="I18" i="47"/>
  <c r="J18" i="47"/>
  <c r="K18" i="47"/>
  <c r="O18" i="47"/>
  <c r="P18" i="47"/>
  <c r="G19" i="47"/>
  <c r="H19" i="47"/>
  <c r="I19" i="47"/>
  <c r="J19" i="47"/>
  <c r="K19" i="47"/>
  <c r="O19" i="47"/>
  <c r="P19" i="47"/>
  <c r="G20" i="47"/>
  <c r="H20" i="47"/>
  <c r="I20" i="47"/>
  <c r="J20" i="47"/>
  <c r="K20" i="47"/>
  <c r="O20" i="47"/>
  <c r="P20" i="47"/>
  <c r="F21" i="47"/>
  <c r="G21" i="47"/>
  <c r="H21" i="47"/>
  <c r="I21" i="47"/>
  <c r="J21" i="47"/>
  <c r="K21" i="47"/>
  <c r="O21" i="47"/>
  <c r="P21" i="47"/>
  <c r="E22" i="47"/>
  <c r="G22" i="47"/>
  <c r="H22" i="47"/>
  <c r="I22" i="47"/>
  <c r="J22" i="47"/>
  <c r="K22" i="47"/>
  <c r="O22" i="47"/>
  <c r="P22" i="47"/>
  <c r="G23" i="47"/>
  <c r="H23" i="47"/>
  <c r="I23" i="47"/>
  <c r="J23" i="47"/>
  <c r="K23" i="47"/>
  <c r="O23" i="47"/>
  <c r="P23" i="47"/>
  <c r="G24" i="47"/>
  <c r="H24" i="47"/>
  <c r="I24" i="47"/>
  <c r="J24" i="47"/>
  <c r="K24" i="47"/>
  <c r="O24" i="47"/>
  <c r="P24" i="47"/>
  <c r="G25" i="47"/>
  <c r="H25" i="47"/>
  <c r="I25" i="47"/>
  <c r="J25" i="47"/>
  <c r="O25" i="47"/>
  <c r="P25" i="47"/>
  <c r="E26" i="47"/>
  <c r="G26" i="47"/>
  <c r="H26" i="47"/>
  <c r="I26" i="47"/>
  <c r="J26" i="47"/>
  <c r="O26" i="47"/>
  <c r="P26" i="47"/>
  <c r="G27" i="47"/>
  <c r="H27" i="47"/>
  <c r="I27" i="47"/>
  <c r="J27" i="47"/>
  <c r="K27" i="47"/>
  <c r="O27" i="47"/>
  <c r="P27" i="47"/>
  <c r="G28" i="47"/>
  <c r="H28" i="47"/>
  <c r="I28" i="47"/>
  <c r="J28" i="47"/>
  <c r="K28" i="47"/>
  <c r="O28" i="47"/>
  <c r="P28" i="47"/>
  <c r="G29" i="47"/>
  <c r="H29" i="47"/>
  <c r="I29" i="47"/>
  <c r="J29" i="47"/>
  <c r="O29" i="47"/>
  <c r="P29" i="47"/>
  <c r="P30" i="47"/>
  <c r="F31" i="47"/>
  <c r="G31" i="47"/>
  <c r="H31" i="47"/>
  <c r="I31" i="47"/>
  <c r="J31" i="47"/>
  <c r="O31" i="47"/>
  <c r="P31" i="47"/>
  <c r="G32" i="47"/>
  <c r="H32" i="47"/>
  <c r="I32" i="47"/>
  <c r="J32" i="47"/>
  <c r="O32" i="47"/>
  <c r="P32" i="47"/>
  <c r="G33" i="47"/>
  <c r="H33" i="47"/>
  <c r="I33" i="47"/>
  <c r="J33" i="47"/>
  <c r="O33" i="47"/>
  <c r="P33" i="47"/>
  <c r="F34" i="47"/>
  <c r="G34" i="47"/>
  <c r="H34" i="47"/>
  <c r="I34" i="47"/>
  <c r="J34" i="47"/>
  <c r="O34" i="47"/>
  <c r="P34" i="47"/>
  <c r="F35" i="47"/>
  <c r="G35" i="47"/>
  <c r="H35" i="47"/>
  <c r="I35" i="47"/>
  <c r="J35" i="47"/>
  <c r="O35" i="47"/>
  <c r="P35" i="47"/>
  <c r="F36" i="47"/>
  <c r="G36" i="47"/>
  <c r="H36" i="47"/>
  <c r="I36" i="47"/>
  <c r="J36" i="47"/>
  <c r="O36" i="47"/>
  <c r="P36" i="47"/>
  <c r="P38" i="47"/>
  <c r="G52" i="47"/>
  <c r="I30" i="47"/>
  <c r="I38" i="47"/>
  <c r="J52" i="47"/>
  <c r="J30" i="47"/>
  <c r="O30" i="47"/>
  <c r="O38" i="47"/>
  <c r="G50" i="47"/>
  <c r="J38" i="47"/>
  <c r="J50" i="47"/>
  <c r="K38" i="47"/>
  <c r="G48" i="47"/>
  <c r="J48" i="47"/>
  <c r="E38" i="47"/>
  <c r="G46" i="47"/>
  <c r="M2" i="47"/>
  <c r="P5" i="47"/>
  <c r="P6" i="47"/>
  <c r="M7" i="47"/>
  <c r="G44" i="47"/>
  <c r="J46" i="47"/>
  <c r="E40" i="47"/>
  <c r="F40" i="47"/>
  <c r="K39" i="47"/>
  <c r="E39" i="47"/>
  <c r="N12" i="47"/>
  <c r="V12" i="47"/>
  <c r="N13" i="47"/>
  <c r="V13" i="47"/>
  <c r="N14" i="47"/>
  <c r="V14" i="47"/>
  <c r="N15" i="47"/>
  <c r="V15" i="47"/>
  <c r="N16" i="47"/>
  <c r="V16" i="47"/>
  <c r="N17" i="47"/>
  <c r="V17" i="47"/>
  <c r="N18" i="47"/>
  <c r="V18" i="47"/>
  <c r="N19" i="47"/>
  <c r="V19" i="47"/>
  <c r="N20" i="47"/>
  <c r="V20" i="47"/>
  <c r="N21" i="47"/>
  <c r="V21" i="47"/>
  <c r="N22" i="47"/>
  <c r="V22" i="47"/>
  <c r="N23" i="47"/>
  <c r="V23" i="47"/>
  <c r="N24" i="47"/>
  <c r="V24" i="47"/>
  <c r="N25" i="47"/>
  <c r="V25" i="47"/>
  <c r="N26" i="47"/>
  <c r="V26" i="47"/>
  <c r="N27" i="47"/>
  <c r="V27" i="47"/>
  <c r="N28" i="47"/>
  <c r="V28" i="47"/>
  <c r="N29" i="47"/>
  <c r="V29" i="47"/>
  <c r="N30" i="47"/>
  <c r="V30" i="47"/>
  <c r="N31" i="47"/>
  <c r="V31" i="47"/>
  <c r="N32" i="47"/>
  <c r="V32" i="47"/>
  <c r="N33" i="47"/>
  <c r="V33" i="47"/>
  <c r="N34" i="47"/>
  <c r="V34" i="47"/>
  <c r="N35" i="47"/>
  <c r="V35" i="47"/>
  <c r="N36" i="47"/>
  <c r="V36" i="47"/>
  <c r="V38" i="47"/>
  <c r="U12" i="47"/>
  <c r="U13" i="47"/>
  <c r="U14" i="47"/>
  <c r="U15" i="47"/>
  <c r="U16" i="47"/>
  <c r="U17" i="47"/>
  <c r="U18" i="47"/>
  <c r="U19" i="47"/>
  <c r="U20" i="47"/>
  <c r="U21" i="47"/>
  <c r="U22" i="47"/>
  <c r="U23" i="47"/>
  <c r="U24" i="47"/>
  <c r="U25" i="47"/>
  <c r="U26" i="47"/>
  <c r="U27" i="47"/>
  <c r="U28" i="47"/>
  <c r="U29" i="47"/>
  <c r="U30" i="47"/>
  <c r="U31" i="47"/>
  <c r="U32" i="47"/>
  <c r="U33" i="47"/>
  <c r="U34" i="47"/>
  <c r="U35" i="47"/>
  <c r="U36" i="47"/>
  <c r="U38" i="47"/>
  <c r="T12" i="47"/>
  <c r="T13" i="47"/>
  <c r="T14" i="47"/>
  <c r="T15" i="47"/>
  <c r="T16" i="47"/>
  <c r="T17" i="47"/>
  <c r="T18" i="47"/>
  <c r="T19" i="47"/>
  <c r="T20" i="47"/>
  <c r="T21" i="47"/>
  <c r="T22" i="47"/>
  <c r="T23" i="47"/>
  <c r="T24" i="47"/>
  <c r="T25" i="47"/>
  <c r="T26" i="47"/>
  <c r="T27" i="47"/>
  <c r="T28" i="47"/>
  <c r="T29" i="47"/>
  <c r="T30" i="47"/>
  <c r="T31" i="47"/>
  <c r="T32" i="47"/>
  <c r="T33" i="47"/>
  <c r="T34" i="47"/>
  <c r="T35" i="47"/>
  <c r="T36" i="47"/>
  <c r="T38" i="47"/>
  <c r="S12" i="47"/>
  <c r="S13" i="47"/>
  <c r="S14" i="47"/>
  <c r="S15" i="47"/>
  <c r="S16" i="47"/>
  <c r="S17" i="47"/>
  <c r="S18" i="47"/>
  <c r="S19" i="47"/>
  <c r="S20" i="47"/>
  <c r="S21" i="47"/>
  <c r="S22" i="47"/>
  <c r="S23" i="47"/>
  <c r="S24" i="47"/>
  <c r="S25" i="47"/>
  <c r="S26" i="47"/>
  <c r="S27" i="47"/>
  <c r="S28" i="47"/>
  <c r="S29" i="47"/>
  <c r="S30" i="47"/>
  <c r="S31" i="47"/>
  <c r="S32" i="47"/>
  <c r="S33" i="47"/>
  <c r="S34" i="47"/>
  <c r="S35" i="47"/>
  <c r="S36" i="47"/>
  <c r="S38" i="47"/>
  <c r="R12" i="47"/>
  <c r="R13" i="47"/>
  <c r="R14" i="47"/>
  <c r="R15" i="47"/>
  <c r="R16" i="47"/>
  <c r="R17" i="47"/>
  <c r="R18" i="47"/>
  <c r="R19" i="47"/>
  <c r="R20" i="47"/>
  <c r="R21" i="47"/>
  <c r="R22" i="47"/>
  <c r="R23" i="47"/>
  <c r="R24" i="47"/>
  <c r="R25" i="47"/>
  <c r="R26" i="47"/>
  <c r="R27" i="47"/>
  <c r="R28" i="47"/>
  <c r="R29" i="47"/>
  <c r="R30" i="47"/>
  <c r="R31" i="47"/>
  <c r="R32" i="47"/>
  <c r="R33" i="47"/>
  <c r="R34" i="47"/>
  <c r="R35" i="47"/>
  <c r="R36" i="47"/>
  <c r="R38" i="47"/>
  <c r="H38" i="47"/>
  <c r="G38" i="47"/>
  <c r="F38" i="47"/>
  <c r="M8" i="47"/>
  <c r="G12" i="46"/>
  <c r="I12" i="46"/>
  <c r="J12" i="46"/>
  <c r="O12" i="46"/>
  <c r="P12" i="46"/>
  <c r="L13" i="46"/>
  <c r="F13" i="46"/>
  <c r="G13" i="46"/>
  <c r="I13" i="46"/>
  <c r="J13" i="46"/>
  <c r="O13" i="46"/>
  <c r="P13" i="46"/>
  <c r="L14" i="46"/>
  <c r="F14" i="46"/>
  <c r="G14" i="46"/>
  <c r="I14" i="46"/>
  <c r="J14" i="46"/>
  <c r="O14" i="46"/>
  <c r="P14" i="46"/>
  <c r="L15" i="46"/>
  <c r="F15" i="46"/>
  <c r="G15" i="46"/>
  <c r="I15" i="46"/>
  <c r="J15" i="46"/>
  <c r="O15" i="46"/>
  <c r="P15" i="46"/>
  <c r="L16" i="46"/>
  <c r="F16" i="46"/>
  <c r="G16" i="46"/>
  <c r="I16" i="46"/>
  <c r="J16" i="46"/>
  <c r="O16" i="46"/>
  <c r="P16" i="46"/>
  <c r="L17" i="46"/>
  <c r="F17" i="46"/>
  <c r="G17" i="46"/>
  <c r="I17" i="46"/>
  <c r="J17" i="46"/>
  <c r="O17" i="46"/>
  <c r="P17" i="46"/>
  <c r="L18" i="46"/>
  <c r="E18" i="46"/>
  <c r="F18" i="46"/>
  <c r="G18" i="46"/>
  <c r="I18" i="46"/>
  <c r="J18" i="46"/>
  <c r="K18" i="46"/>
  <c r="O18" i="46"/>
  <c r="P18" i="46"/>
  <c r="L19" i="46"/>
  <c r="E19" i="46"/>
  <c r="F19" i="46"/>
  <c r="G19" i="46"/>
  <c r="I19" i="46"/>
  <c r="J19" i="46"/>
  <c r="O19" i="46"/>
  <c r="P19" i="46"/>
  <c r="L20" i="46"/>
  <c r="E20" i="46"/>
  <c r="F20" i="46"/>
  <c r="G20" i="46"/>
  <c r="I20" i="46"/>
  <c r="J20" i="46"/>
  <c r="K20" i="46"/>
  <c r="O20" i="46"/>
  <c r="P20" i="46"/>
  <c r="L21" i="46"/>
  <c r="G21" i="46"/>
  <c r="I21" i="46"/>
  <c r="J21" i="46"/>
  <c r="O21" i="46"/>
  <c r="P21" i="46"/>
  <c r="L22" i="46"/>
  <c r="G22" i="46"/>
  <c r="I22" i="46"/>
  <c r="J22" i="46"/>
  <c r="O22" i="46"/>
  <c r="P22" i="46"/>
  <c r="L23" i="46"/>
  <c r="E23" i="46"/>
  <c r="F23" i="46"/>
  <c r="G23" i="46"/>
  <c r="I23" i="46"/>
  <c r="J23" i="46"/>
  <c r="O23" i="46"/>
  <c r="P23" i="46"/>
  <c r="L24" i="46"/>
  <c r="E24" i="46"/>
  <c r="F24" i="46"/>
  <c r="G24" i="46"/>
  <c r="I24" i="46"/>
  <c r="J24" i="46"/>
  <c r="O24" i="46"/>
  <c r="P24" i="46"/>
  <c r="L25" i="46"/>
  <c r="E25" i="46"/>
  <c r="F25" i="46"/>
  <c r="G25" i="46"/>
  <c r="I25" i="46"/>
  <c r="J25" i="46"/>
  <c r="O25" i="46"/>
  <c r="P25" i="46"/>
  <c r="L26" i="46"/>
  <c r="E26" i="46"/>
  <c r="F26" i="46"/>
  <c r="G26" i="46"/>
  <c r="I26" i="46"/>
  <c r="J26" i="46"/>
  <c r="O26" i="46"/>
  <c r="P26" i="46"/>
  <c r="L27" i="46"/>
  <c r="G27" i="46"/>
  <c r="I27" i="46"/>
  <c r="J27" i="46"/>
  <c r="O27" i="46"/>
  <c r="P27" i="46"/>
  <c r="L28" i="46"/>
  <c r="G28" i="46"/>
  <c r="I28" i="46"/>
  <c r="J28" i="46"/>
  <c r="O28" i="46"/>
  <c r="P28" i="46"/>
  <c r="L29" i="46"/>
  <c r="E29" i="46"/>
  <c r="F29" i="46"/>
  <c r="G29" i="46"/>
  <c r="I29" i="46"/>
  <c r="J29" i="46"/>
  <c r="O29" i="46"/>
  <c r="P29" i="46"/>
  <c r="L30" i="46"/>
  <c r="F30" i="46"/>
  <c r="G30" i="46"/>
  <c r="I30" i="46"/>
  <c r="J30" i="46"/>
  <c r="O30" i="46"/>
  <c r="P30" i="46"/>
  <c r="L31" i="46"/>
  <c r="E31" i="46"/>
  <c r="F31" i="46"/>
  <c r="G31" i="46"/>
  <c r="I31" i="46"/>
  <c r="J31" i="46"/>
  <c r="O31" i="46"/>
  <c r="P31" i="46"/>
  <c r="L32" i="46"/>
  <c r="E32" i="46"/>
  <c r="F32" i="46"/>
  <c r="G32" i="46"/>
  <c r="I32" i="46"/>
  <c r="J32" i="46"/>
  <c r="O32" i="46"/>
  <c r="P32" i="46"/>
  <c r="L33" i="46"/>
  <c r="E33" i="46"/>
  <c r="F33" i="46"/>
  <c r="G33" i="46"/>
  <c r="I33" i="46"/>
  <c r="J33" i="46"/>
  <c r="O33" i="46"/>
  <c r="P33" i="46"/>
  <c r="L34" i="46"/>
  <c r="F34" i="46"/>
  <c r="G34" i="46"/>
  <c r="I34" i="46"/>
  <c r="J34" i="46"/>
  <c r="O34" i="46"/>
  <c r="P34" i="46"/>
  <c r="L35" i="46"/>
  <c r="E35" i="46"/>
  <c r="G35" i="46"/>
  <c r="I35" i="46"/>
  <c r="J35" i="46"/>
  <c r="O35" i="46"/>
  <c r="P35" i="46"/>
  <c r="L36" i="46"/>
  <c r="E36" i="46"/>
  <c r="F36" i="46"/>
  <c r="G36" i="46"/>
  <c r="I36" i="46"/>
  <c r="J36" i="46"/>
  <c r="O36" i="46"/>
  <c r="P36" i="46"/>
  <c r="L37" i="46"/>
  <c r="E37" i="46"/>
  <c r="G37" i="46"/>
  <c r="I37" i="46"/>
  <c r="J37" i="46"/>
  <c r="O37" i="46"/>
  <c r="P37" i="46"/>
  <c r="L38" i="46"/>
  <c r="E38" i="46"/>
  <c r="G38" i="46"/>
  <c r="I38" i="46"/>
  <c r="J38" i="46"/>
  <c r="O38" i="46"/>
  <c r="P38" i="46"/>
  <c r="L39" i="46"/>
  <c r="E39" i="46"/>
  <c r="G39" i="46"/>
  <c r="I39" i="46"/>
  <c r="J39" i="46"/>
  <c r="O39" i="46"/>
  <c r="P39" i="46"/>
  <c r="L40" i="46"/>
  <c r="I40" i="46"/>
  <c r="J40" i="46"/>
  <c r="K40" i="46"/>
  <c r="O40" i="46"/>
  <c r="P40" i="46"/>
  <c r="F41" i="46"/>
  <c r="G41" i="46"/>
  <c r="I41" i="46"/>
  <c r="J41" i="46"/>
  <c r="O41" i="46"/>
  <c r="P41" i="46"/>
  <c r="F42" i="46"/>
  <c r="G42" i="46"/>
  <c r="I42" i="46"/>
  <c r="J42" i="46"/>
  <c r="O42" i="46"/>
  <c r="P42" i="46"/>
  <c r="P44" i="46"/>
  <c r="G58" i="46"/>
  <c r="J44" i="46"/>
  <c r="J58" i="46"/>
  <c r="O44" i="46"/>
  <c r="G56" i="46"/>
  <c r="J56" i="46"/>
  <c r="K44" i="46"/>
  <c r="G54" i="46"/>
  <c r="J54" i="46"/>
  <c r="E44" i="46"/>
  <c r="G52" i="46"/>
  <c r="M7" i="46"/>
  <c r="G50" i="46"/>
  <c r="J52" i="46"/>
  <c r="E46" i="46"/>
  <c r="F46" i="46"/>
  <c r="K45" i="46"/>
  <c r="E45" i="46"/>
  <c r="N12" i="46"/>
  <c r="V12" i="46"/>
  <c r="N13" i="46"/>
  <c r="V13" i="46"/>
  <c r="N14" i="46"/>
  <c r="V14" i="46"/>
  <c r="N15" i="46"/>
  <c r="V15" i="46"/>
  <c r="N16" i="46"/>
  <c r="V16" i="46"/>
  <c r="N17" i="46"/>
  <c r="V17" i="46"/>
  <c r="N18" i="46"/>
  <c r="V18" i="46"/>
  <c r="N19" i="46"/>
  <c r="V19" i="46"/>
  <c r="N20" i="46"/>
  <c r="V20" i="46"/>
  <c r="N21" i="46"/>
  <c r="V21" i="46"/>
  <c r="N22" i="46"/>
  <c r="V22" i="46"/>
  <c r="N23" i="46"/>
  <c r="V23" i="46"/>
  <c r="N24" i="46"/>
  <c r="V24" i="46"/>
  <c r="N25" i="46"/>
  <c r="V25" i="46"/>
  <c r="N26" i="46"/>
  <c r="V26" i="46"/>
  <c r="N27" i="46"/>
  <c r="V27" i="46"/>
  <c r="N28" i="46"/>
  <c r="V28" i="46"/>
  <c r="N29" i="46"/>
  <c r="V29" i="46"/>
  <c r="N30" i="46"/>
  <c r="V30" i="46"/>
  <c r="N31" i="46"/>
  <c r="V31" i="46"/>
  <c r="N32" i="46"/>
  <c r="V32" i="46"/>
  <c r="N33" i="46"/>
  <c r="V33" i="46"/>
  <c r="N34" i="46"/>
  <c r="V34" i="46"/>
  <c r="N35" i="46"/>
  <c r="V35" i="46"/>
  <c r="N36" i="46"/>
  <c r="V36" i="46"/>
  <c r="N37" i="46"/>
  <c r="V37" i="46"/>
  <c r="N38" i="46"/>
  <c r="V38" i="46"/>
  <c r="N39" i="46"/>
  <c r="V39" i="46"/>
  <c r="N40" i="46"/>
  <c r="V40" i="46"/>
  <c r="N41" i="46"/>
  <c r="V41" i="46"/>
  <c r="N42" i="46"/>
  <c r="V42" i="46"/>
  <c r="V44" i="46"/>
  <c r="U12" i="46"/>
  <c r="U13" i="46"/>
  <c r="U14" i="46"/>
  <c r="U15" i="46"/>
  <c r="U16" i="46"/>
  <c r="U17" i="46"/>
  <c r="U18" i="46"/>
  <c r="U19" i="46"/>
  <c r="U20" i="46"/>
  <c r="U21" i="46"/>
  <c r="U22" i="46"/>
  <c r="U23" i="46"/>
  <c r="U24" i="46"/>
  <c r="U25" i="46"/>
  <c r="U26" i="46"/>
  <c r="U27" i="46"/>
  <c r="U28" i="46"/>
  <c r="U29" i="46"/>
  <c r="U30" i="46"/>
  <c r="U31" i="46"/>
  <c r="U32" i="46"/>
  <c r="U33" i="46"/>
  <c r="U34" i="46"/>
  <c r="U35" i="46"/>
  <c r="U36" i="46"/>
  <c r="U37" i="46"/>
  <c r="U38" i="46"/>
  <c r="U39" i="46"/>
  <c r="U40" i="46"/>
  <c r="U41" i="46"/>
  <c r="U42" i="46"/>
  <c r="U44" i="46"/>
  <c r="T12" i="46"/>
  <c r="T13" i="46"/>
  <c r="T14" i="46"/>
  <c r="T15" i="46"/>
  <c r="T16" i="46"/>
  <c r="T17" i="46"/>
  <c r="T18" i="46"/>
  <c r="T19" i="46"/>
  <c r="T20" i="46"/>
  <c r="T21" i="46"/>
  <c r="T22" i="46"/>
  <c r="T23" i="46"/>
  <c r="T24" i="46"/>
  <c r="T25" i="46"/>
  <c r="T26" i="46"/>
  <c r="T27" i="46"/>
  <c r="T28" i="46"/>
  <c r="T29" i="46"/>
  <c r="T30" i="46"/>
  <c r="T31" i="46"/>
  <c r="T32" i="46"/>
  <c r="T33" i="46"/>
  <c r="T34" i="46"/>
  <c r="T35" i="46"/>
  <c r="T36" i="46"/>
  <c r="T37" i="46"/>
  <c r="T38" i="46"/>
  <c r="T39" i="46"/>
  <c r="T40" i="46"/>
  <c r="T41" i="46"/>
  <c r="T42" i="46"/>
  <c r="T44" i="46"/>
  <c r="S12" i="46"/>
  <c r="S13" i="46"/>
  <c r="S14" i="46"/>
  <c r="S15" i="46"/>
  <c r="S16" i="46"/>
  <c r="S17" i="46"/>
  <c r="S18" i="46"/>
  <c r="S19" i="46"/>
  <c r="S20" i="46"/>
  <c r="S21" i="46"/>
  <c r="S22" i="46"/>
  <c r="S23" i="46"/>
  <c r="S24" i="46"/>
  <c r="S25" i="46"/>
  <c r="S26" i="46"/>
  <c r="S27" i="46"/>
  <c r="S28" i="46"/>
  <c r="S29" i="46"/>
  <c r="S30" i="46"/>
  <c r="S31" i="46"/>
  <c r="S32" i="46"/>
  <c r="S33" i="46"/>
  <c r="S34" i="46"/>
  <c r="S35" i="46"/>
  <c r="S36" i="46"/>
  <c r="S37" i="46"/>
  <c r="S38" i="46"/>
  <c r="S39" i="46"/>
  <c r="S40" i="46"/>
  <c r="S41" i="46"/>
  <c r="S42" i="46"/>
  <c r="S44" i="46"/>
  <c r="R12" i="46"/>
  <c r="R13" i="46"/>
  <c r="R14" i="46"/>
  <c r="R15" i="46"/>
  <c r="R16" i="46"/>
  <c r="R17" i="46"/>
  <c r="R18" i="46"/>
  <c r="R19" i="46"/>
  <c r="R20" i="46"/>
  <c r="R21" i="46"/>
  <c r="R22" i="46"/>
  <c r="R23" i="46"/>
  <c r="R24" i="46"/>
  <c r="R25" i="46"/>
  <c r="R26" i="46"/>
  <c r="R27" i="46"/>
  <c r="R28" i="46"/>
  <c r="R29" i="46"/>
  <c r="R30" i="46"/>
  <c r="R31" i="46"/>
  <c r="R32" i="46"/>
  <c r="R33" i="46"/>
  <c r="R34" i="46"/>
  <c r="R35" i="46"/>
  <c r="R36" i="46"/>
  <c r="R37" i="46"/>
  <c r="R38" i="46"/>
  <c r="R39" i="46"/>
  <c r="R40" i="46"/>
  <c r="R41" i="46"/>
  <c r="R42" i="46"/>
  <c r="R44" i="46"/>
  <c r="I44" i="46"/>
  <c r="H44" i="46"/>
  <c r="G44" i="46"/>
  <c r="F44" i="46"/>
  <c r="A25" i="46"/>
  <c r="A23" i="46"/>
  <c r="A24" i="46"/>
  <c r="M8" i="46"/>
  <c r="F12" i="45"/>
  <c r="G12" i="45"/>
  <c r="I12" i="45"/>
  <c r="J12" i="45"/>
  <c r="K12" i="45"/>
  <c r="O12" i="45"/>
  <c r="P12" i="45"/>
  <c r="L13" i="45"/>
  <c r="F13" i="45"/>
  <c r="G13" i="45"/>
  <c r="I13" i="45"/>
  <c r="J13" i="45"/>
  <c r="O13" i="45"/>
  <c r="P13" i="45"/>
  <c r="L14" i="45"/>
  <c r="F14" i="45"/>
  <c r="G14" i="45"/>
  <c r="I14" i="45"/>
  <c r="J14" i="45"/>
  <c r="O14" i="45"/>
  <c r="P14" i="45"/>
  <c r="L15" i="45"/>
  <c r="E15" i="45"/>
  <c r="F15" i="45"/>
  <c r="G15" i="45"/>
  <c r="I15" i="45"/>
  <c r="J15" i="45"/>
  <c r="O15" i="45"/>
  <c r="P15" i="45"/>
  <c r="L16" i="45"/>
  <c r="F16" i="45"/>
  <c r="G16" i="45"/>
  <c r="I16" i="45"/>
  <c r="J16" i="45"/>
  <c r="O16" i="45"/>
  <c r="P16" i="45"/>
  <c r="L17" i="45"/>
  <c r="F17" i="45"/>
  <c r="G17" i="45"/>
  <c r="I17" i="45"/>
  <c r="J17" i="45"/>
  <c r="O17" i="45"/>
  <c r="P17" i="45"/>
  <c r="L18" i="45"/>
  <c r="E18" i="45"/>
  <c r="F18" i="45"/>
  <c r="G18" i="45"/>
  <c r="I18" i="45"/>
  <c r="J18" i="45"/>
  <c r="O18" i="45"/>
  <c r="P18" i="45"/>
  <c r="L19" i="45"/>
  <c r="F19" i="45"/>
  <c r="G19" i="45"/>
  <c r="I19" i="45"/>
  <c r="J19" i="45"/>
  <c r="O19" i="45"/>
  <c r="P19" i="45"/>
  <c r="L20" i="45"/>
  <c r="E20" i="45"/>
  <c r="F20" i="45"/>
  <c r="G20" i="45"/>
  <c r="I20" i="45"/>
  <c r="J20" i="45"/>
  <c r="O20" i="45"/>
  <c r="P20" i="45"/>
  <c r="L21" i="45"/>
  <c r="E21" i="45"/>
  <c r="F21" i="45"/>
  <c r="G21" i="45"/>
  <c r="I21" i="45"/>
  <c r="J21" i="45"/>
  <c r="O21" i="45"/>
  <c r="P21" i="45"/>
  <c r="L22" i="45"/>
  <c r="F22" i="45"/>
  <c r="G22" i="45"/>
  <c r="I22" i="45"/>
  <c r="J22" i="45"/>
  <c r="O22" i="45"/>
  <c r="P22" i="45"/>
  <c r="L23" i="45"/>
  <c r="E23" i="45"/>
  <c r="F23" i="45"/>
  <c r="G23" i="45"/>
  <c r="I23" i="45"/>
  <c r="J23" i="45"/>
  <c r="K23" i="45"/>
  <c r="O23" i="45"/>
  <c r="P23" i="45"/>
  <c r="L24" i="45"/>
  <c r="E24" i="45"/>
  <c r="F24" i="45"/>
  <c r="G24" i="45"/>
  <c r="I24" i="45"/>
  <c r="J24" i="45"/>
  <c r="O24" i="45"/>
  <c r="P24" i="45"/>
  <c r="L25" i="45"/>
  <c r="E25" i="45"/>
  <c r="F25" i="45"/>
  <c r="G25" i="45"/>
  <c r="I25" i="45"/>
  <c r="J25" i="45"/>
  <c r="O25" i="45"/>
  <c r="P25" i="45"/>
  <c r="L26" i="45"/>
  <c r="G26" i="45"/>
  <c r="I26" i="45"/>
  <c r="J26" i="45"/>
  <c r="O26" i="45"/>
  <c r="P26" i="45"/>
  <c r="L27" i="45"/>
  <c r="G27" i="45"/>
  <c r="I27" i="45"/>
  <c r="J27" i="45"/>
  <c r="O27" i="45"/>
  <c r="P27" i="45"/>
  <c r="L28" i="45"/>
  <c r="E28" i="45"/>
  <c r="F28" i="45"/>
  <c r="G28" i="45"/>
  <c r="I28" i="45"/>
  <c r="J28" i="45"/>
  <c r="O28" i="45"/>
  <c r="P28" i="45"/>
  <c r="L29" i="45"/>
  <c r="E29" i="45"/>
  <c r="F29" i="45"/>
  <c r="G29" i="45"/>
  <c r="I29" i="45"/>
  <c r="J29" i="45"/>
  <c r="O29" i="45"/>
  <c r="P29" i="45"/>
  <c r="L30" i="45"/>
  <c r="E30" i="45"/>
  <c r="F30" i="45"/>
  <c r="G30" i="45"/>
  <c r="I30" i="45"/>
  <c r="J30" i="45"/>
  <c r="O30" i="45"/>
  <c r="P30" i="45"/>
  <c r="L31" i="45"/>
  <c r="F31" i="45"/>
  <c r="G31" i="45"/>
  <c r="I31" i="45"/>
  <c r="J31" i="45"/>
  <c r="O31" i="45"/>
  <c r="P31" i="45"/>
  <c r="L32" i="45"/>
  <c r="E32" i="45"/>
  <c r="F32" i="45"/>
  <c r="G32" i="45"/>
  <c r="I32" i="45"/>
  <c r="J32" i="45"/>
  <c r="O32" i="45"/>
  <c r="P32" i="45"/>
  <c r="L33" i="45"/>
  <c r="E33" i="45"/>
  <c r="F33" i="45"/>
  <c r="G33" i="45"/>
  <c r="I33" i="45"/>
  <c r="J33" i="45"/>
  <c r="K33" i="45"/>
  <c r="O33" i="45"/>
  <c r="P33" i="45"/>
  <c r="L34" i="45"/>
  <c r="F34" i="45"/>
  <c r="G34" i="45"/>
  <c r="I34" i="45"/>
  <c r="J34" i="45"/>
  <c r="O34" i="45"/>
  <c r="P34" i="45"/>
  <c r="L35" i="45"/>
  <c r="E35" i="45"/>
  <c r="G35" i="45"/>
  <c r="I35" i="45"/>
  <c r="J35" i="45"/>
  <c r="O35" i="45"/>
  <c r="P35" i="45"/>
  <c r="L36" i="45"/>
  <c r="E36" i="45"/>
  <c r="F36" i="45"/>
  <c r="G36" i="45"/>
  <c r="I36" i="45"/>
  <c r="J36" i="45"/>
  <c r="O36" i="45"/>
  <c r="P36" i="45"/>
  <c r="L37" i="45"/>
  <c r="F37" i="45"/>
  <c r="G37" i="45"/>
  <c r="I37" i="45"/>
  <c r="J37" i="45"/>
  <c r="O37" i="45"/>
  <c r="P37" i="45"/>
  <c r="L38" i="45"/>
  <c r="E38" i="45"/>
  <c r="G38" i="45"/>
  <c r="I38" i="45"/>
  <c r="J38" i="45"/>
  <c r="O38" i="45"/>
  <c r="P38" i="45"/>
  <c r="L39" i="45"/>
  <c r="E39" i="45"/>
  <c r="F39" i="45"/>
  <c r="G39" i="45"/>
  <c r="I39" i="45"/>
  <c r="J39" i="45"/>
  <c r="O39" i="45"/>
  <c r="P39" i="45"/>
  <c r="L40" i="45"/>
  <c r="E40" i="45"/>
  <c r="F40" i="45"/>
  <c r="G40" i="45"/>
  <c r="I40" i="45"/>
  <c r="J40" i="45"/>
  <c r="O40" i="45"/>
  <c r="P40" i="45"/>
  <c r="L41" i="45"/>
  <c r="E41" i="45"/>
  <c r="G41" i="45"/>
  <c r="I41" i="45"/>
  <c r="J41" i="45"/>
  <c r="O41" i="45"/>
  <c r="P41" i="45"/>
  <c r="L42" i="45"/>
  <c r="F42" i="45"/>
  <c r="G42" i="45"/>
  <c r="I42" i="45"/>
  <c r="J42" i="45"/>
  <c r="O42" i="45"/>
  <c r="P42" i="45"/>
  <c r="L43" i="45"/>
  <c r="E43" i="45"/>
  <c r="F43" i="45"/>
  <c r="G43" i="45"/>
  <c r="I43" i="45"/>
  <c r="J43" i="45"/>
  <c r="K43" i="45"/>
  <c r="O43" i="45"/>
  <c r="P43" i="45"/>
  <c r="L44" i="45"/>
  <c r="G44" i="45"/>
  <c r="I44" i="45"/>
  <c r="J44" i="45"/>
  <c r="K44" i="45"/>
  <c r="O44" i="45"/>
  <c r="P44" i="45"/>
  <c r="L45" i="45"/>
  <c r="E45" i="45"/>
  <c r="I45" i="45"/>
  <c r="J45" i="45"/>
  <c r="O45" i="45"/>
  <c r="P45" i="45"/>
  <c r="L46" i="45"/>
  <c r="P46" i="45"/>
  <c r="F47" i="45"/>
  <c r="I47" i="45"/>
  <c r="J47" i="45"/>
  <c r="O47" i="45"/>
  <c r="P47" i="45"/>
  <c r="P49" i="45"/>
  <c r="G63" i="45"/>
  <c r="E46" i="45"/>
  <c r="F46" i="45"/>
  <c r="I46" i="45"/>
  <c r="J46" i="45"/>
  <c r="J49" i="45"/>
  <c r="J63" i="45"/>
  <c r="O46" i="45"/>
  <c r="O49" i="45"/>
  <c r="G61" i="45"/>
  <c r="J61" i="45"/>
  <c r="K49" i="45"/>
  <c r="G59" i="45"/>
  <c r="J59" i="45"/>
  <c r="E49" i="45"/>
  <c r="G57" i="45"/>
  <c r="M7" i="45"/>
  <c r="G55" i="45"/>
  <c r="J57" i="45"/>
  <c r="E51" i="45"/>
  <c r="F51" i="45"/>
  <c r="K50" i="45"/>
  <c r="E50" i="45"/>
  <c r="N12" i="45"/>
  <c r="V12" i="45"/>
  <c r="N13" i="45"/>
  <c r="V13" i="45"/>
  <c r="N14" i="45"/>
  <c r="V14" i="45"/>
  <c r="N15" i="45"/>
  <c r="V15" i="45"/>
  <c r="N16" i="45"/>
  <c r="V16" i="45"/>
  <c r="N17" i="45"/>
  <c r="V17" i="45"/>
  <c r="N18" i="45"/>
  <c r="V18" i="45"/>
  <c r="N19" i="45"/>
  <c r="V19" i="45"/>
  <c r="N20" i="45"/>
  <c r="V20" i="45"/>
  <c r="N21" i="45"/>
  <c r="V21" i="45"/>
  <c r="N22" i="45"/>
  <c r="V22" i="45"/>
  <c r="N23" i="45"/>
  <c r="V23" i="45"/>
  <c r="N24" i="45"/>
  <c r="V24" i="45"/>
  <c r="N25" i="45"/>
  <c r="V25" i="45"/>
  <c r="N26" i="45"/>
  <c r="V26" i="45"/>
  <c r="N27" i="45"/>
  <c r="V27" i="45"/>
  <c r="N28" i="45"/>
  <c r="V28" i="45"/>
  <c r="N29" i="45"/>
  <c r="V29" i="45"/>
  <c r="N30" i="45"/>
  <c r="V30" i="45"/>
  <c r="N31" i="45"/>
  <c r="V31" i="45"/>
  <c r="N32" i="45"/>
  <c r="V32" i="45"/>
  <c r="N33" i="45"/>
  <c r="V33" i="45"/>
  <c r="N34" i="45"/>
  <c r="V34" i="45"/>
  <c r="N35" i="45"/>
  <c r="V35" i="45"/>
  <c r="N36" i="45"/>
  <c r="V36" i="45"/>
  <c r="N37" i="45"/>
  <c r="V37" i="45"/>
  <c r="N38" i="45"/>
  <c r="V38" i="45"/>
  <c r="N39" i="45"/>
  <c r="V39" i="45"/>
  <c r="N40" i="45"/>
  <c r="V40" i="45"/>
  <c r="N41" i="45"/>
  <c r="V41" i="45"/>
  <c r="N42" i="45"/>
  <c r="V42" i="45"/>
  <c r="N43" i="45"/>
  <c r="V43" i="45"/>
  <c r="N44" i="45"/>
  <c r="V44" i="45"/>
  <c r="N45" i="45"/>
  <c r="V45" i="45"/>
  <c r="N46" i="45"/>
  <c r="V46" i="45"/>
  <c r="N47" i="45"/>
  <c r="V47" i="45"/>
  <c r="V49" i="45"/>
  <c r="U12" i="45"/>
  <c r="U13" i="45"/>
  <c r="U14" i="45"/>
  <c r="U15" i="45"/>
  <c r="U16" i="45"/>
  <c r="U17" i="45"/>
  <c r="U18" i="45"/>
  <c r="U19" i="45"/>
  <c r="U20" i="45"/>
  <c r="U21" i="45"/>
  <c r="U22" i="45"/>
  <c r="U23" i="45"/>
  <c r="U24" i="45"/>
  <c r="U25" i="45"/>
  <c r="U26" i="45"/>
  <c r="U27" i="45"/>
  <c r="U28" i="45"/>
  <c r="U29" i="45"/>
  <c r="U30" i="45"/>
  <c r="U31" i="45"/>
  <c r="U32" i="45"/>
  <c r="U33" i="45"/>
  <c r="U34" i="45"/>
  <c r="U35" i="45"/>
  <c r="U36" i="45"/>
  <c r="U37" i="45"/>
  <c r="U38" i="45"/>
  <c r="U39" i="45"/>
  <c r="U40" i="45"/>
  <c r="U41" i="45"/>
  <c r="U42" i="45"/>
  <c r="U43" i="45"/>
  <c r="U44" i="45"/>
  <c r="U45" i="45"/>
  <c r="U46" i="45"/>
  <c r="U47" i="45"/>
  <c r="U49" i="45"/>
  <c r="T12" i="45"/>
  <c r="T13" i="45"/>
  <c r="T14" i="45"/>
  <c r="T15" i="45"/>
  <c r="T16" i="45"/>
  <c r="T17" i="45"/>
  <c r="T18" i="45"/>
  <c r="T19" i="45"/>
  <c r="T20" i="45"/>
  <c r="T21" i="45"/>
  <c r="T22" i="45"/>
  <c r="T23" i="45"/>
  <c r="T24" i="45"/>
  <c r="T25" i="45"/>
  <c r="T26" i="45"/>
  <c r="T27" i="45"/>
  <c r="T28" i="45"/>
  <c r="T29" i="45"/>
  <c r="T30" i="45"/>
  <c r="T31" i="45"/>
  <c r="T32" i="45"/>
  <c r="T33" i="45"/>
  <c r="T34" i="45"/>
  <c r="T35" i="45"/>
  <c r="T36" i="45"/>
  <c r="T37" i="45"/>
  <c r="T38" i="45"/>
  <c r="T39" i="45"/>
  <c r="T40" i="45"/>
  <c r="T41" i="45"/>
  <c r="T42" i="45"/>
  <c r="T43" i="45"/>
  <c r="T44" i="45"/>
  <c r="T45" i="45"/>
  <c r="T46" i="45"/>
  <c r="T47" i="45"/>
  <c r="T49" i="45"/>
  <c r="S12" i="45"/>
  <c r="S13" i="45"/>
  <c r="S14" i="45"/>
  <c r="S15" i="45"/>
  <c r="S16" i="45"/>
  <c r="S17" i="45"/>
  <c r="S18" i="45"/>
  <c r="S19" i="45"/>
  <c r="S20" i="45"/>
  <c r="S21" i="45"/>
  <c r="S22" i="45"/>
  <c r="S23" i="45"/>
  <c r="S24" i="45"/>
  <c r="S25" i="45"/>
  <c r="S26" i="45"/>
  <c r="S27" i="45"/>
  <c r="S28" i="45"/>
  <c r="S29" i="45"/>
  <c r="S30" i="45"/>
  <c r="S31" i="45"/>
  <c r="S32" i="45"/>
  <c r="S33" i="45"/>
  <c r="S34" i="45"/>
  <c r="S35" i="45"/>
  <c r="S36" i="45"/>
  <c r="S37" i="45"/>
  <c r="S38" i="45"/>
  <c r="S39" i="45"/>
  <c r="S40" i="45"/>
  <c r="S41" i="45"/>
  <c r="S42" i="45"/>
  <c r="S43" i="45"/>
  <c r="S44" i="45"/>
  <c r="S45" i="45"/>
  <c r="S46" i="45"/>
  <c r="S47" i="45"/>
  <c r="S49" i="45"/>
  <c r="R12" i="45"/>
  <c r="R13" i="45"/>
  <c r="R14" i="45"/>
  <c r="R15" i="45"/>
  <c r="R16" i="45"/>
  <c r="R17" i="45"/>
  <c r="R18" i="45"/>
  <c r="R19" i="45"/>
  <c r="R20" i="45"/>
  <c r="R21" i="45"/>
  <c r="R22" i="45"/>
  <c r="R23" i="45"/>
  <c r="R24" i="45"/>
  <c r="R25" i="45"/>
  <c r="R26" i="45"/>
  <c r="R27" i="45"/>
  <c r="R28" i="45"/>
  <c r="R29" i="45"/>
  <c r="R30" i="45"/>
  <c r="R31" i="45"/>
  <c r="R32" i="45"/>
  <c r="R33" i="45"/>
  <c r="R34" i="45"/>
  <c r="R35" i="45"/>
  <c r="R36" i="45"/>
  <c r="R37" i="45"/>
  <c r="R38" i="45"/>
  <c r="R39" i="45"/>
  <c r="R40" i="45"/>
  <c r="R41" i="45"/>
  <c r="R42" i="45"/>
  <c r="R43" i="45"/>
  <c r="R44" i="45"/>
  <c r="R45" i="45"/>
  <c r="R46" i="45"/>
  <c r="R47" i="45"/>
  <c r="R49" i="45"/>
  <c r="I49" i="45"/>
  <c r="H49" i="45"/>
  <c r="G49" i="45"/>
  <c r="F49" i="45"/>
  <c r="M8" i="45"/>
  <c r="L12" i="44"/>
  <c r="G12" i="44"/>
  <c r="F12" i="44"/>
  <c r="I12" i="44"/>
  <c r="J12" i="44"/>
  <c r="K12" i="44"/>
  <c r="O12" i="44"/>
  <c r="P12" i="44"/>
  <c r="L17" i="44"/>
  <c r="G17" i="44"/>
  <c r="F17" i="44"/>
  <c r="I17" i="44"/>
  <c r="J17" i="44"/>
  <c r="O17" i="44"/>
  <c r="P17" i="44"/>
  <c r="L18" i="44"/>
  <c r="G18" i="44"/>
  <c r="F18" i="44"/>
  <c r="I18" i="44"/>
  <c r="J18" i="44"/>
  <c r="O18" i="44"/>
  <c r="P18" i="44"/>
  <c r="L19" i="44"/>
  <c r="G19" i="44"/>
  <c r="F19" i="44"/>
  <c r="I19" i="44"/>
  <c r="J19" i="44"/>
  <c r="O19" i="44"/>
  <c r="P19" i="44"/>
  <c r="L20" i="44"/>
  <c r="G20" i="44"/>
  <c r="F20" i="44"/>
  <c r="I20" i="44"/>
  <c r="J20" i="44"/>
  <c r="K20" i="44"/>
  <c r="O20" i="44"/>
  <c r="P20" i="44"/>
  <c r="L23" i="44"/>
  <c r="P23" i="44"/>
  <c r="P25" i="44"/>
  <c r="H39" i="44"/>
  <c r="G13" i="44"/>
  <c r="F13" i="44"/>
  <c r="I13" i="44"/>
  <c r="J13" i="44"/>
  <c r="G14" i="44"/>
  <c r="F14" i="44"/>
  <c r="I14" i="44"/>
  <c r="J14" i="44"/>
  <c r="G15" i="44"/>
  <c r="F15" i="44"/>
  <c r="I15" i="44"/>
  <c r="J15" i="44"/>
  <c r="G16" i="44"/>
  <c r="F16" i="44"/>
  <c r="I16" i="44"/>
  <c r="J16" i="44"/>
  <c r="G23" i="44"/>
  <c r="F23" i="44"/>
  <c r="I23" i="44"/>
  <c r="J23" i="44"/>
  <c r="J25" i="44"/>
  <c r="K39" i="44"/>
  <c r="O23" i="44"/>
  <c r="O25" i="44"/>
  <c r="H37" i="44"/>
  <c r="K37" i="44"/>
  <c r="K25" i="44"/>
  <c r="H35" i="44"/>
  <c r="K35" i="44"/>
  <c r="E25" i="44"/>
  <c r="H33" i="44"/>
  <c r="M7" i="44"/>
  <c r="H31" i="44"/>
  <c r="K33" i="44"/>
  <c r="E27" i="44"/>
  <c r="F27" i="44"/>
  <c r="K26" i="44"/>
  <c r="E26" i="44"/>
  <c r="V12" i="44"/>
  <c r="N13" i="44"/>
  <c r="V13" i="44"/>
  <c r="N14" i="44"/>
  <c r="V14" i="44"/>
  <c r="N15" i="44"/>
  <c r="V15" i="44"/>
  <c r="N16" i="44"/>
  <c r="V16" i="44"/>
  <c r="N17" i="44"/>
  <c r="V17" i="44"/>
  <c r="N18" i="44"/>
  <c r="V18" i="44"/>
  <c r="N19" i="44"/>
  <c r="V19" i="44"/>
  <c r="V20" i="44"/>
  <c r="N21" i="44"/>
  <c r="V21" i="44"/>
  <c r="N22" i="44"/>
  <c r="V22" i="44"/>
  <c r="N23" i="44"/>
  <c r="V23" i="44"/>
  <c r="V24" i="44"/>
  <c r="V25" i="44"/>
  <c r="U12" i="44"/>
  <c r="U13" i="44"/>
  <c r="U14" i="44"/>
  <c r="U15" i="44"/>
  <c r="U16" i="44"/>
  <c r="U17" i="44"/>
  <c r="U18" i="44"/>
  <c r="U19" i="44"/>
  <c r="U20" i="44"/>
  <c r="U21" i="44"/>
  <c r="U22" i="44"/>
  <c r="U23" i="44"/>
  <c r="U24" i="44"/>
  <c r="U25" i="44"/>
  <c r="T12" i="44"/>
  <c r="T13" i="44"/>
  <c r="T14" i="44"/>
  <c r="T15" i="44"/>
  <c r="T16" i="44"/>
  <c r="T17" i="44"/>
  <c r="T18" i="44"/>
  <c r="T19" i="44"/>
  <c r="T20" i="44"/>
  <c r="T21" i="44"/>
  <c r="T22" i="44"/>
  <c r="T23" i="44"/>
  <c r="T24" i="44"/>
  <c r="T25" i="44"/>
  <c r="S12" i="44"/>
  <c r="S13" i="44"/>
  <c r="S14" i="44"/>
  <c r="S15" i="44"/>
  <c r="S16" i="44"/>
  <c r="S17" i="44"/>
  <c r="S18" i="44"/>
  <c r="S19" i="44"/>
  <c r="S20" i="44"/>
  <c r="S21" i="44"/>
  <c r="S22" i="44"/>
  <c r="S23" i="44"/>
  <c r="S24" i="44"/>
  <c r="S25" i="44"/>
  <c r="R12" i="44"/>
  <c r="R13" i="44"/>
  <c r="R14" i="44"/>
  <c r="R15" i="44"/>
  <c r="R16" i="44"/>
  <c r="R17" i="44"/>
  <c r="R18" i="44"/>
  <c r="R19" i="44"/>
  <c r="R20" i="44"/>
  <c r="R21" i="44"/>
  <c r="R22" i="44"/>
  <c r="R23" i="44"/>
  <c r="R24" i="44"/>
  <c r="R25" i="44"/>
  <c r="I25" i="44"/>
  <c r="H25" i="44"/>
  <c r="G25" i="44"/>
  <c r="F25" i="44"/>
  <c r="M8" i="44"/>
  <c r="L12" i="43"/>
  <c r="G12" i="43"/>
  <c r="F12" i="43"/>
  <c r="I12" i="43"/>
  <c r="J12" i="43"/>
  <c r="K14" i="43"/>
  <c r="K12" i="43"/>
  <c r="O12" i="43"/>
  <c r="P12" i="43"/>
  <c r="L15" i="43"/>
  <c r="G15" i="43"/>
  <c r="F15" i="43"/>
  <c r="I15" i="43"/>
  <c r="J15" i="43"/>
  <c r="O15" i="43"/>
  <c r="P15" i="43"/>
  <c r="L16" i="43"/>
  <c r="G16" i="43"/>
  <c r="F16" i="43"/>
  <c r="I16" i="43"/>
  <c r="J16" i="43"/>
  <c r="O16" i="43"/>
  <c r="P16" i="43"/>
  <c r="L17" i="43"/>
  <c r="G17" i="43"/>
  <c r="F17" i="43"/>
  <c r="I17" i="43"/>
  <c r="J17" i="43"/>
  <c r="O17" i="43"/>
  <c r="P17" i="43"/>
  <c r="L18" i="43"/>
  <c r="G18" i="43"/>
  <c r="F18" i="43"/>
  <c r="I18" i="43"/>
  <c r="J18" i="43"/>
  <c r="K18" i="43"/>
  <c r="O18" i="43"/>
  <c r="P18" i="43"/>
  <c r="L21" i="43"/>
  <c r="P21" i="43"/>
  <c r="P23" i="43"/>
  <c r="H37" i="43"/>
  <c r="G14" i="43"/>
  <c r="F14" i="43"/>
  <c r="I14" i="43"/>
  <c r="J14" i="43"/>
  <c r="G21" i="43"/>
  <c r="F21" i="43"/>
  <c r="I21" i="43"/>
  <c r="J21" i="43"/>
  <c r="J23" i="43"/>
  <c r="K37" i="43"/>
  <c r="O21" i="43"/>
  <c r="O23" i="43"/>
  <c r="H35" i="43"/>
  <c r="K35" i="43"/>
  <c r="K23" i="43"/>
  <c r="H33" i="43"/>
  <c r="K33" i="43"/>
  <c r="E23" i="43"/>
  <c r="H31" i="43"/>
  <c r="M7" i="43"/>
  <c r="H29" i="43"/>
  <c r="K31" i="43"/>
  <c r="E25" i="43"/>
  <c r="F25" i="43"/>
  <c r="K24" i="43"/>
  <c r="E24" i="43"/>
  <c r="V12" i="43"/>
  <c r="N13" i="43"/>
  <c r="V13" i="43"/>
  <c r="N14" i="43"/>
  <c r="V14" i="43"/>
  <c r="N15" i="43"/>
  <c r="V15" i="43"/>
  <c r="N16" i="43"/>
  <c r="V16" i="43"/>
  <c r="N17" i="43"/>
  <c r="V17" i="43"/>
  <c r="V18" i="43"/>
  <c r="N19" i="43"/>
  <c r="V19" i="43"/>
  <c r="N20" i="43"/>
  <c r="V20" i="43"/>
  <c r="N21" i="43"/>
  <c r="V21" i="43"/>
  <c r="V22" i="43"/>
  <c r="V23" i="43"/>
  <c r="U12" i="43"/>
  <c r="U13" i="43"/>
  <c r="U14" i="43"/>
  <c r="U15" i="43"/>
  <c r="U16" i="43"/>
  <c r="U17" i="43"/>
  <c r="U18" i="43"/>
  <c r="U19" i="43"/>
  <c r="U20" i="43"/>
  <c r="U21" i="43"/>
  <c r="U22" i="43"/>
  <c r="U23" i="43"/>
  <c r="T12" i="43"/>
  <c r="T13" i="43"/>
  <c r="T14" i="43"/>
  <c r="T15" i="43"/>
  <c r="T16" i="43"/>
  <c r="T17" i="43"/>
  <c r="T18" i="43"/>
  <c r="T19" i="43"/>
  <c r="T20" i="43"/>
  <c r="T21" i="43"/>
  <c r="T22" i="43"/>
  <c r="T23" i="43"/>
  <c r="S12" i="43"/>
  <c r="S13" i="43"/>
  <c r="S14" i="43"/>
  <c r="S15" i="43"/>
  <c r="S16" i="43"/>
  <c r="S17" i="43"/>
  <c r="S18" i="43"/>
  <c r="S19" i="43"/>
  <c r="S20" i="43"/>
  <c r="S21" i="43"/>
  <c r="S22" i="43"/>
  <c r="S23" i="43"/>
  <c r="R12" i="43"/>
  <c r="R13" i="43"/>
  <c r="R14" i="43"/>
  <c r="R15" i="43"/>
  <c r="R16" i="43"/>
  <c r="R17" i="43"/>
  <c r="R18" i="43"/>
  <c r="R19" i="43"/>
  <c r="R20" i="43"/>
  <c r="R21" i="43"/>
  <c r="R22" i="43"/>
  <c r="R23" i="43"/>
  <c r="G13" i="43"/>
  <c r="F13" i="43"/>
  <c r="I13" i="43"/>
  <c r="I23" i="43"/>
  <c r="H23" i="43"/>
  <c r="G23" i="43"/>
  <c r="F23" i="43"/>
  <c r="M8" i="43"/>
  <c r="H12" i="42"/>
  <c r="I12" i="42"/>
  <c r="J12" i="42"/>
  <c r="K12" i="42"/>
  <c r="O12" i="42"/>
  <c r="P12" i="42"/>
  <c r="H13" i="42"/>
  <c r="I13" i="42"/>
  <c r="J13" i="42"/>
  <c r="K13" i="42"/>
  <c r="O13" i="42"/>
  <c r="P13" i="42"/>
  <c r="H14" i="42"/>
  <c r="I14" i="42"/>
  <c r="J14" i="42"/>
  <c r="K14" i="42"/>
  <c r="O14" i="42"/>
  <c r="P14" i="42"/>
  <c r="F15" i="42"/>
  <c r="H15" i="42"/>
  <c r="I15" i="42"/>
  <c r="J15" i="42"/>
  <c r="K15" i="42"/>
  <c r="O15" i="42"/>
  <c r="P15" i="42"/>
  <c r="F16" i="42"/>
  <c r="H16" i="42"/>
  <c r="I16" i="42"/>
  <c r="J16" i="42"/>
  <c r="K16" i="42"/>
  <c r="O16" i="42"/>
  <c r="P16" i="42"/>
  <c r="F17" i="42"/>
  <c r="H17" i="42"/>
  <c r="I17" i="42"/>
  <c r="J17" i="42"/>
  <c r="O17" i="42"/>
  <c r="P17" i="42"/>
  <c r="F18" i="42"/>
  <c r="H18" i="42"/>
  <c r="I18" i="42"/>
  <c r="J18" i="42"/>
  <c r="O18" i="42"/>
  <c r="P18" i="42"/>
  <c r="F19" i="42"/>
  <c r="H19" i="42"/>
  <c r="I19" i="42"/>
  <c r="J19" i="42"/>
  <c r="O19" i="42"/>
  <c r="P19" i="42"/>
  <c r="E20" i="42"/>
  <c r="F20" i="42"/>
  <c r="H20" i="42"/>
  <c r="I20" i="42"/>
  <c r="J20" i="42"/>
  <c r="O20" i="42"/>
  <c r="P20" i="42"/>
  <c r="E21" i="42"/>
  <c r="F21" i="42"/>
  <c r="H21" i="42"/>
  <c r="I21" i="42"/>
  <c r="J21" i="42"/>
  <c r="O21" i="42"/>
  <c r="P21" i="42"/>
  <c r="P22" i="42"/>
  <c r="P24" i="42"/>
  <c r="G38" i="42"/>
  <c r="E22" i="42"/>
  <c r="F22" i="42"/>
  <c r="H22" i="42"/>
  <c r="I22" i="42"/>
  <c r="I24" i="42"/>
  <c r="J38" i="42"/>
  <c r="J22" i="42"/>
  <c r="O22" i="42"/>
  <c r="O24" i="42"/>
  <c r="G36" i="42"/>
  <c r="J24" i="42"/>
  <c r="J36" i="42"/>
  <c r="K24" i="42"/>
  <c r="G34" i="42"/>
  <c r="J34" i="42"/>
  <c r="E24" i="42"/>
  <c r="G32" i="42"/>
  <c r="M7" i="42"/>
  <c r="G30" i="42"/>
  <c r="J32" i="42"/>
  <c r="E26" i="42"/>
  <c r="F26" i="42"/>
  <c r="K25" i="42"/>
  <c r="H24" i="42"/>
  <c r="H25" i="42"/>
  <c r="E25" i="42"/>
  <c r="N12" i="42"/>
  <c r="X12" i="42"/>
  <c r="N13" i="42"/>
  <c r="X13" i="42"/>
  <c r="N14" i="42"/>
  <c r="X14" i="42"/>
  <c r="N15" i="42"/>
  <c r="X15" i="42"/>
  <c r="N16" i="42"/>
  <c r="X16" i="42"/>
  <c r="X24" i="42"/>
  <c r="V12" i="42"/>
  <c r="V13" i="42"/>
  <c r="V14" i="42"/>
  <c r="V15" i="42"/>
  <c r="V16" i="42"/>
  <c r="N17" i="42"/>
  <c r="V17" i="42"/>
  <c r="N18" i="42"/>
  <c r="V18" i="42"/>
  <c r="N19" i="42"/>
  <c r="V19" i="42"/>
  <c r="N20" i="42"/>
  <c r="V20" i="42"/>
  <c r="N21" i="42"/>
  <c r="V21" i="42"/>
  <c r="N22" i="42"/>
  <c r="V22" i="42"/>
  <c r="V24" i="42"/>
  <c r="U12" i="42"/>
  <c r="U13" i="42"/>
  <c r="U14" i="42"/>
  <c r="U15" i="42"/>
  <c r="U16" i="42"/>
  <c r="U17" i="42"/>
  <c r="U18" i="42"/>
  <c r="U19" i="42"/>
  <c r="U20" i="42"/>
  <c r="U21" i="42"/>
  <c r="U22" i="42"/>
  <c r="U24" i="42"/>
  <c r="T12" i="42"/>
  <c r="T13" i="42"/>
  <c r="T14" i="42"/>
  <c r="T15" i="42"/>
  <c r="T16" i="42"/>
  <c r="T17" i="42"/>
  <c r="T18" i="42"/>
  <c r="T19" i="42"/>
  <c r="T20" i="42"/>
  <c r="T21" i="42"/>
  <c r="T22" i="42"/>
  <c r="T24" i="42"/>
  <c r="S12" i="42"/>
  <c r="S13" i="42"/>
  <c r="S14" i="42"/>
  <c r="S15" i="42"/>
  <c r="S16" i="42"/>
  <c r="S17" i="42"/>
  <c r="S18" i="42"/>
  <c r="S19" i="42"/>
  <c r="S20" i="42"/>
  <c r="S21" i="42"/>
  <c r="S22" i="42"/>
  <c r="S24" i="42"/>
  <c r="R12" i="42"/>
  <c r="R13" i="42"/>
  <c r="R14" i="42"/>
  <c r="R15" i="42"/>
  <c r="R16" i="42"/>
  <c r="R17" i="42"/>
  <c r="R18" i="42"/>
  <c r="R19" i="42"/>
  <c r="R20" i="42"/>
  <c r="R21" i="42"/>
  <c r="R22" i="42"/>
  <c r="R24" i="42"/>
  <c r="G24" i="42"/>
  <c r="F24" i="42"/>
  <c r="M8" i="42"/>
</calcChain>
</file>

<file path=xl/sharedStrings.xml><?xml version="1.0" encoding="utf-8"?>
<sst xmlns="http://schemas.openxmlformats.org/spreadsheetml/2006/main" count="672" uniqueCount="142">
  <si>
    <t>PROJET</t>
  </si>
  <si>
    <t>Montant Marché + Avenants
H.T</t>
  </si>
  <si>
    <t>Montant
Situations
T.T.C</t>
  </si>
  <si>
    <t>Date de
Paiement
Contractuelle</t>
  </si>
  <si>
    <t>DU
T.T.C</t>
  </si>
  <si>
    <t>EXIGIBLE
T.T.C</t>
  </si>
  <si>
    <t>Retard
en jours</t>
  </si>
  <si>
    <t>Retard
&lt;30 J</t>
  </si>
  <si>
    <t>Retard
&gt;30 J &amp; &lt;180 J</t>
  </si>
  <si>
    <t>Retard
&gt;180 J &amp; &lt;360 J</t>
  </si>
  <si>
    <t>Retard
&gt;360 J</t>
  </si>
  <si>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</si>
  <si>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</si>
  <si>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</si>
  <si>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</si>
  <si>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</si>
  <si>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</si>
  <si>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</si>
  <si>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FONCIERE CFC</t>
  </si>
  <si>
    <t>MONNAIE  :</t>
  </si>
  <si>
    <t>MAD</t>
  </si>
  <si>
    <t xml:space="preserve">  -  AVENANT N°1</t>
  </si>
  <si>
    <t>TVA  :</t>
  </si>
  <si>
    <t xml:space="preserve">  -  AVENANT N°2</t>
  </si>
  <si>
    <t>Maître d'Œuvre :</t>
  </si>
  <si>
    <t>RETENUES</t>
  </si>
  <si>
    <t>CAUTIONS</t>
  </si>
  <si>
    <t xml:space="preserve">  -  AVENANT N°3</t>
  </si>
  <si>
    <t>AD</t>
  </si>
  <si>
    <t>OUI</t>
  </si>
  <si>
    <t>RG</t>
  </si>
  <si>
    <t xml:space="preserve">  -  TOTAL C.A. H.T.</t>
  </si>
  <si>
    <t>BF</t>
  </si>
  <si>
    <t xml:space="preserve">  -  TOTAL C.A. TTC</t>
  </si>
  <si>
    <t>m.a.j</t>
  </si>
  <si>
    <t>SOLDE A PAYER</t>
  </si>
  <si>
    <t>N°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</si>
  <si>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</si>
  <si>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</si>
  <si>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</si>
  <si>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</si>
  <si>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</si>
  <si>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</si>
  <si>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</si>
  <si>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</si>
  <si>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</si>
  <si>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</si>
  <si>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</si>
  <si>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</si>
  <si>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</si>
  <si>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</si>
  <si>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</si>
  <si>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</si>
  <si>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</si>
  <si>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</si>
  <si>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</si>
  <si>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</si>
  <si>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 xml:space="preserve">Intérêts moratoires 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</si>
  <si>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</si>
  <si>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</si>
  <si>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</si>
  <si>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</si>
  <si>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</si>
  <si>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</si>
  <si>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>HT</t>
  </si>
  <si>
    <t xml:space="preserve"> FACTURE  AU STADE hors A.D.</t>
  </si>
  <si>
    <t>% présenté / marché total</t>
  </si>
  <si>
    <t>REGLE AU STADE</t>
  </si>
  <si>
    <t>TTC</t>
  </si>
  <si>
    <t>% réglé / situations</t>
  </si>
  <si>
    <t>ECHEANCE A VENIR</t>
  </si>
  <si>
    <t>DONT EXIGIBLE</t>
  </si>
  <si>
    <t>MAJ</t>
  </si>
  <si>
    <t>HOTEL PATI</t>
  </si>
  <si>
    <t>BAX.210</t>
  </si>
  <si>
    <t>VAN BUETEN</t>
  </si>
  <si>
    <t>Signature:</t>
  </si>
  <si>
    <t>Date contractuelle</t>
  </si>
  <si>
    <t>Date prévisionnelle</t>
  </si>
  <si>
    <t>12/10/2013</t>
  </si>
  <si>
    <t>22/08/2018</t>
  </si>
  <si>
    <t>13/06/2018</t>
  </si>
  <si>
    <t>SUIVI DES PAIEMENTS CLIENTS EN RETARD</t>
  </si>
  <si>
    <t>HOTEL ANDOU</t>
  </si>
  <si>
    <t>Club House Bouskoura</t>
  </si>
  <si>
    <t>BAX.211</t>
  </si>
  <si>
    <t>karifsnki</t>
  </si>
  <si>
    <t>Signature OS :</t>
  </si>
  <si>
    <t>Date contractuelle livraison :</t>
  </si>
  <si>
    <t>Date prévisionnelle FDC :</t>
  </si>
  <si>
    <t>NON</t>
  </si>
  <si>
    <t>Deltas</t>
  </si>
  <si>
    <t>REGLE AU STADE y/c  A.D.</t>
  </si>
  <si>
    <t>EXIGIBLE</t>
  </si>
  <si>
    <t>TOTAL</t>
  </si>
  <si>
    <t>HOTEL FCB</t>
  </si>
  <si>
    <t>BAX.230</t>
  </si>
  <si>
    <t>BAX.240</t>
  </si>
  <si>
    <t>SIPP SAFI</t>
  </si>
  <si>
    <t>MATX.400210</t>
  </si>
  <si>
    <t>SAFIEC</t>
  </si>
  <si>
    <t>TRACTRBEL</t>
  </si>
  <si>
    <t>31/1/18</t>
  </si>
  <si>
    <t>5000 KDH</t>
  </si>
  <si>
    <t>ACC</t>
  </si>
  <si>
    <t>MATX.400210/ Projet Centrale Thermique de SAFI</t>
  </si>
  <si>
    <t>16TS</t>
  </si>
  <si>
    <t>23TS</t>
  </si>
  <si>
    <t>USINE VALEO</t>
  </si>
  <si>
    <t>MATX.400221</t>
  </si>
  <si>
    <t xml:space="preserve">  -  AVENANT 01 à 05</t>
  </si>
  <si>
    <t>AVENANT 10</t>
  </si>
  <si>
    <t xml:space="preserve">  -  AVENANT 06</t>
  </si>
  <si>
    <t>AVENANT 11</t>
  </si>
  <si>
    <t xml:space="preserve">  -  AVENANT 07</t>
  </si>
  <si>
    <t>AVENANT 12</t>
  </si>
  <si>
    <t xml:space="preserve">  -  AVENANT 08</t>
  </si>
  <si>
    <t>AVENANT 13 -16</t>
  </si>
  <si>
    <t>04/10/2016</t>
  </si>
  <si>
    <t xml:space="preserve">  -  AVENANT 09</t>
  </si>
  <si>
    <t>AVENANT 17</t>
  </si>
  <si>
    <t>07/07/2017</t>
  </si>
  <si>
    <t xml:space="preserve">NON </t>
  </si>
  <si>
    <t>8 TS 01 ET 02</t>
  </si>
  <si>
    <t>9 TS 03</t>
  </si>
  <si>
    <t>RD</t>
  </si>
  <si>
    <t>MATX.400207 / Projet Marina Shopping Center</t>
  </si>
  <si>
    <t>Clients Account Follow - up / Suivi des Créances Clients</t>
  </si>
  <si>
    <t>K MAD</t>
  </si>
  <si>
    <t>Clients Accounts / Créances Clients</t>
  </si>
  <si>
    <t>Not yet Due / Non Echues</t>
  </si>
  <si>
    <t xml:space="preserve">Late Due / Echues </t>
  </si>
  <si>
    <t xml:space="preserve"> &lt; 30 days - jours</t>
  </si>
  <si>
    <t>&gt; 30 days et &lt; 180 days</t>
  </si>
  <si>
    <t>&gt; 180 days et &lt; 360 days</t>
  </si>
  <si>
    <t>&gt; 360 days</t>
  </si>
  <si>
    <t>Including provision for doubtful debts /                                 Dont provisionnées pour créances douteuses</t>
  </si>
  <si>
    <t>Client invoices to be issued /                        Clients factures à établir</t>
  </si>
  <si>
    <t>Comments / Commentaires</t>
  </si>
  <si>
    <t>PROJECT NAME</t>
  </si>
  <si>
    <t>TOTAL MAD</t>
  </si>
  <si>
    <t>at end /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</si>
</sst>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&quot; Jours&quot;"/>
    <numFmt numFmtId="165" formatCode="_-* #,##0\ _F_-;\-* #,##0\ _F_-;_-* &quot;-&quot;??\ _F_-;_-@_-"/>
    <numFmt numFmtId="166" formatCode="0.0%"/>
    <numFmt numFmtId="167" formatCode="d/m/yy;@"/>
    <numFmt numFmtId="168" formatCode="[$-40C]mmm\-yy;@"/>
    <numFmt numFmtId="169" formatCode="dd/mm/yy;@"/>
    <numFmt numFmtId="170" formatCode="#,##0.00;[Red]\-#,##0.00"/>
    <numFmt numFmtId="171" formatCode="_-* #,##0.00\ [$€-1]_-;\-* #,##0.00\ [$€-1]_-;_-* &quot;-&quot;??\ [$€-1]_-"/>
    <numFmt numFmtId="172" formatCode="[$-40C]d\-mmm\-yy;@"/>
    <numFmt numFmtId="173" formatCode="#,##0.0_);\(#,##0.0\);&quot;-&quot;_)"/>
    <numFmt numFmtId="174" formatCode="#,##0.0"/>
  </numFmts>
  <fonts count="49">
    <font>
      <sz val="11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i/>
      <sz val="20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8"/>
      <name val="Book Antiqua"/>
      <family val="1"/>
    </font>
    <font>
      <u/>
      <sz val="16"/>
      <color theme="1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b/>
      <u/>
      <sz val="10"/>
      <name val="Book Antiqua"/>
      <family val="1"/>
    </font>
    <font>
      <b/>
      <sz val="10"/>
      <name val="Book Antiqua"/>
      <family val="1"/>
    </font>
    <font>
      <sz val="11"/>
      <name val="Book Antiqua"/>
      <family val="1"/>
    </font>
    <font>
      <b/>
      <sz val="11"/>
      <color theme="1"/>
      <name val="Book Antiqua"/>
      <family val="1"/>
    </font>
    <font>
      <sz val="11"/>
      <color rgb="FFFF0000"/>
      <name val="Book Antiqua"/>
      <family val="1"/>
    </font>
    <font>
      <b/>
      <sz val="9"/>
      <color indexed="10"/>
      <name val="Arial"/>
      <family val="2"/>
    </font>
    <font>
      <sz val="11"/>
      <name val="SWISS"/>
    </font>
    <font>
      <sz val="10"/>
      <color theme="1"/>
      <name val="Book Antiqua"/>
      <family val="1"/>
    </font>
    <font>
      <sz val="9"/>
      <name val="Book Antiqua"/>
      <family val="1"/>
    </font>
    <font>
      <sz val="9"/>
      <color theme="1"/>
      <name val="Book Antiqua"/>
      <family val="1"/>
    </font>
    <font>
      <sz val="8"/>
      <color theme="1"/>
      <name val="Book Antiqua"/>
      <family val="1"/>
    </font>
    <font>
      <sz val="11"/>
      <name val="Arial"/>
      <family val="2"/>
    </font>
    <font>
      <b/>
      <sz val="11"/>
      <name val="Book Antiqua"/>
      <family val="1"/>
    </font>
    <font>
      <sz val="10"/>
      <color rgb="FFFF0000"/>
      <name val="Book Antiqua"/>
      <family val="1"/>
    </font>
    <font>
      <b/>
      <u/>
      <sz val="11"/>
      <color theme="1"/>
      <name val="Book Antiqua"/>
      <family val="1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color indexed="16"/>
      <name val="Arial"/>
      <family val="2"/>
    </font>
    <font>
      <sz val="16"/>
      <color indexed="18"/>
      <name val="Arial"/>
      <family val="2"/>
    </font>
    <font>
      <b/>
      <sz val="16"/>
      <name val="Arial"/>
      <family val="2"/>
    </font>
    <font>
      <b/>
      <sz val="24"/>
      <color indexed="62"/>
      <name val="Arial"/>
      <family val="2"/>
    </font>
    <font>
      <b/>
      <sz val="28"/>
      <name val="Arial"/>
      <family val="2"/>
    </font>
    <font>
      <b/>
      <sz val="22"/>
      <color indexed="16"/>
      <name val="Arial"/>
      <family val="2"/>
    </font>
    <font>
      <b/>
      <sz val="16"/>
      <color indexed="16"/>
      <name val="Arial"/>
      <family val="2"/>
    </font>
    <font>
      <b/>
      <sz val="16"/>
      <color indexed="18"/>
      <name val="Arial"/>
      <family val="2"/>
    </font>
    <font>
      <sz val="10"/>
      <color indexed="18"/>
      <name val="Arial"/>
      <family val="2"/>
    </font>
    <font>
      <b/>
      <i/>
      <sz val="16"/>
      <color indexed="18"/>
      <name val="Arial"/>
      <family val="2"/>
    </font>
    <font>
      <i/>
      <sz val="16"/>
      <color indexed="12"/>
      <name val="Arial"/>
      <family val="2"/>
    </font>
    <font>
      <b/>
      <sz val="7"/>
      <color indexed="16"/>
      <name val="Arial"/>
      <family val="2"/>
    </font>
    <font>
      <sz val="9"/>
      <color indexed="16"/>
      <name val="Arial"/>
      <family val="2"/>
    </font>
    <font>
      <sz val="9"/>
      <color indexed="18"/>
      <name val="Arial"/>
      <family val="2"/>
    </font>
    <font>
      <sz val="9"/>
      <color indexed="12"/>
      <name val="Arial"/>
      <family val="2"/>
    </font>
    <font>
      <i/>
      <sz val="16"/>
      <color indexed="18"/>
      <name val="Arial"/>
      <family val="2"/>
    </font>
    <font>
      <sz val="14"/>
      <color indexed="18"/>
      <name val="Arial"/>
      <family val="2"/>
    </font>
    <font>
      <b/>
      <u/>
      <sz val="16"/>
      <color indexed="16"/>
      <name val="Arial"/>
      <family val="2"/>
    </font>
    <font>
      <b/>
      <i/>
      <sz val="16"/>
      <color indexed="12"/>
      <name val="Arial"/>
      <family val="2"/>
    </font>
    <font>
      <b/>
      <sz val="13"/>
      <color indexed="16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indexed="22"/>
        <bgColor indexed="64"/>
      </patternFill>
    </fill>
    <fill>
      <patternFill patternType="mediumGray">
        <fgColor indexed="9"/>
        <bgColor indexed="22"/>
      </patternFill>
    </fill>
    <fill>
      <patternFill patternType="mediumGray">
        <fgColor indexed="22"/>
        <b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22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55"/>
      </right>
      <top style="thin">
        <color indexed="64"/>
      </top>
      <bottom style="thin">
        <color indexed="64"/>
      </bottom>
      <diagonal/>
    </border>
    <border>
      <left style="hair">
        <color indexed="55"/>
      </left>
      <right style="hair">
        <color indexed="55"/>
      </right>
      <top style="thin">
        <color indexed="64"/>
      </top>
      <bottom style="thin">
        <color indexed="64"/>
      </bottom>
      <diagonal/>
    </border>
    <border>
      <left style="hair">
        <color indexed="5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55"/>
      </bottom>
      <diagonal/>
    </border>
    <border>
      <left style="thin">
        <color indexed="64"/>
      </left>
      <right/>
      <top style="thin">
        <color indexed="64"/>
      </top>
      <bottom style="hair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55"/>
      </bottom>
      <diagonal/>
    </border>
    <border>
      <left style="thin">
        <color indexed="64"/>
      </left>
      <right style="hair">
        <color indexed="55"/>
      </right>
      <top style="thin">
        <color indexed="64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thin">
        <color indexed="64"/>
      </top>
      <bottom style="hair">
        <color indexed="55"/>
      </bottom>
      <diagonal/>
    </border>
    <border>
      <left style="hair">
        <color indexed="55"/>
      </left>
      <right style="thin">
        <color indexed="64"/>
      </right>
      <top style="thin">
        <color indexed="64"/>
      </top>
      <bottom style="hair">
        <color indexed="55"/>
      </bottom>
      <diagonal/>
    </border>
    <border>
      <left style="thin">
        <color indexed="64"/>
      </left>
      <right style="thin">
        <color indexed="64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/>
      <top style="hair">
        <color indexed="55"/>
      </top>
      <bottom style="hair">
        <color indexed="55"/>
      </bottom>
      <diagonal/>
    </border>
    <border>
      <left style="thin">
        <color indexed="64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thin">
        <color indexed="64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 style="thin">
        <color indexed="64"/>
      </right>
      <top style="hair">
        <color indexed="55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55"/>
      </top>
      <bottom style="thin">
        <color indexed="64"/>
      </bottom>
      <diagonal/>
    </border>
    <border>
      <left style="thin">
        <color indexed="64"/>
      </left>
      <right style="hair">
        <color indexed="55"/>
      </right>
      <top style="hair">
        <color indexed="55"/>
      </top>
      <bottom style="thin">
        <color indexed="64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64"/>
      </bottom>
      <diagonal/>
    </border>
    <border>
      <left style="hair">
        <color indexed="55"/>
      </left>
      <right style="thin">
        <color indexed="64"/>
      </right>
      <top style="hair">
        <color indexed="55"/>
      </top>
      <bottom style="thin">
        <color indexed="64"/>
      </bottom>
      <diagonal/>
    </border>
  </borders>
  <cellStyleXfs count="8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0" fontId="17" fillId="0" borderId="0"/>
    <xf numFmtId="171" fontId="17" fillId="0" borderId="0"/>
    <xf numFmtId="170" fontId="17" fillId="0" borderId="0"/>
    <xf numFmtId="0" fontId="26" fillId="0" borderId="0" applyFill="0" applyBorder="0" applyAlignment="0" applyProtection="0"/>
    <xf numFmtId="0" fontId="40" fillId="21" borderId="32">
      <alignment horizontal="center" vertical="center"/>
    </xf>
  </cellStyleXfs>
  <cellXfs count="412">
    <xf numFmtId="0" fontId="0" fillId="0" borderId="0" xfId="0"/>
    <xf numFmtId="0" fontId="8" fillId="5" borderId="3" xfId="0" quotePrefix="1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164" fontId="10" fillId="4" borderId="0" xfId="0" applyNumberFormat="1" applyFont="1" applyFill="1" applyBorder="1" applyAlignment="1">
      <alignment horizontal="left" vertical="center"/>
    </xf>
    <xf numFmtId="0" fontId="7" fillId="4" borderId="7" xfId="0" applyFont="1" applyFill="1" applyBorder="1" applyAlignment="1">
      <alignment vertical="center"/>
    </xf>
    <xf numFmtId="0" fontId="8" fillId="5" borderId="6" xfId="0" quotePrefix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7" xfId="0" applyFont="1" applyFill="1" applyBorder="1" applyAlignment="1">
      <alignment vertical="center"/>
    </xf>
    <xf numFmtId="49" fontId="11" fillId="3" borderId="7" xfId="1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49" fontId="5" fillId="3" borderId="7" xfId="1" applyNumberFormat="1" applyFont="1" applyFill="1" applyBorder="1" applyAlignment="1" applyProtection="1">
      <alignment vertical="center"/>
      <protection locked="0"/>
    </xf>
    <xf numFmtId="9" fontId="10" fillId="4" borderId="0" xfId="2" applyNumberFormat="1" applyFont="1" applyFill="1" applyBorder="1" applyAlignment="1">
      <alignment horizontal="left" vertical="center"/>
    </xf>
    <xf numFmtId="165" fontId="4" fillId="3" borderId="0" xfId="1" applyNumberFormat="1" applyFont="1" applyFill="1" applyBorder="1" applyAlignment="1" applyProtection="1">
      <alignment horizontal="left" vertical="center"/>
    </xf>
    <xf numFmtId="49" fontId="12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7" xfId="1" applyNumberFormat="1" applyFont="1" applyFill="1" applyBorder="1" applyAlignment="1" applyProtection="1">
      <alignment horizontal="left" vertical="center"/>
      <protection locked="0"/>
    </xf>
    <xf numFmtId="49" fontId="13" fillId="3" borderId="0" xfId="1" applyNumberFormat="1" applyFont="1" applyFill="1" applyBorder="1" applyAlignment="1" applyProtection="1">
      <alignment vertical="center"/>
      <protection locked="0"/>
    </xf>
    <xf numFmtId="49" fontId="4" fillId="3" borderId="0" xfId="1" applyNumberFormat="1" applyFont="1" applyFill="1" applyBorder="1" applyAlignment="1" applyProtection="1">
      <alignment vertical="center"/>
      <protection locked="0"/>
    </xf>
    <xf numFmtId="49" fontId="4" fillId="3" borderId="7" xfId="1" applyNumberFormat="1" applyFont="1" applyFill="1" applyBorder="1" applyAlignment="1" applyProtection="1">
      <alignment vertical="center"/>
      <protection locked="0"/>
    </xf>
    <xf numFmtId="166" fontId="10" fillId="4" borderId="0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vertical="center"/>
    </xf>
    <xf numFmtId="9" fontId="10" fillId="4" borderId="0" xfId="0" applyNumberFormat="1" applyFont="1" applyFill="1" applyBorder="1" applyAlignment="1">
      <alignment horizontal="center" vertical="center"/>
    </xf>
    <xf numFmtId="0" fontId="14" fillId="5" borderId="6" xfId="0" quotePrefix="1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49" fontId="4" fillId="3" borderId="8" xfId="1" applyNumberFormat="1" applyFont="1" applyFill="1" applyBorder="1" applyAlignment="1" applyProtection="1">
      <alignment horizontal="left" vertical="center"/>
    </xf>
    <xf numFmtId="165" fontId="4" fillId="3" borderId="9" xfId="1" applyNumberFormat="1" applyFont="1" applyFill="1" applyBorder="1" applyAlignment="1" applyProtection="1">
      <alignment horizontal="left" vertical="center"/>
    </xf>
    <xf numFmtId="49" fontId="15" fillId="3" borderId="9" xfId="1" applyNumberFormat="1" applyFont="1" applyFill="1" applyBorder="1" applyAlignment="1" applyProtection="1">
      <alignment vertical="center"/>
      <protection locked="0"/>
    </xf>
    <xf numFmtId="49" fontId="4" fillId="3" borderId="9" xfId="1" applyNumberFormat="1" applyFont="1" applyFill="1" applyBorder="1" applyAlignment="1" applyProtection="1">
      <alignment vertical="center"/>
      <protection locked="0"/>
    </xf>
    <xf numFmtId="49" fontId="4" fillId="3" borderId="10" xfId="1" applyNumberFormat="1" applyFont="1" applyFill="1" applyBorder="1" applyAlignment="1" applyProtection="1">
      <alignment vertical="center"/>
      <protection locked="0"/>
    </xf>
    <xf numFmtId="0" fontId="8" fillId="4" borderId="8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9" fontId="10" fillId="4" borderId="9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/>
    </xf>
    <xf numFmtId="0" fontId="14" fillId="5" borderId="8" xfId="0" quotePrefix="1" applyFont="1" applyFill="1" applyBorder="1" applyAlignment="1">
      <alignment vertical="center"/>
    </xf>
    <xf numFmtId="0" fontId="14" fillId="5" borderId="9" xfId="0" applyFont="1" applyFill="1" applyBorder="1" applyAlignment="1">
      <alignment vertical="center"/>
    </xf>
    <xf numFmtId="0" fontId="8" fillId="5" borderId="9" xfId="0" applyFont="1" applyFill="1" applyBorder="1" applyAlignment="1">
      <alignment vertical="center"/>
    </xf>
    <xf numFmtId="0" fontId="8" fillId="5" borderId="10" xfId="0" applyFont="1" applyFill="1" applyBorder="1" applyAlignment="1">
      <alignment vertical="center"/>
    </xf>
    <xf numFmtId="14" fontId="16" fillId="0" borderId="0" xfId="0" applyNumberFormat="1" applyFont="1"/>
    <xf numFmtId="0" fontId="8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4" fontId="13" fillId="0" borderId="1" xfId="3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vertical="center"/>
    </xf>
    <xf numFmtId="167" fontId="18" fillId="0" borderId="2" xfId="0" applyNumberFormat="1" applyFont="1" applyBorder="1" applyAlignment="1">
      <alignment horizontal="center" vertical="center"/>
    </xf>
    <xf numFmtId="1" fontId="18" fillId="0" borderId="2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3" fontId="19" fillId="0" borderId="0" xfId="3" applyNumberFormat="1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167" fontId="18" fillId="0" borderId="2" xfId="0" applyNumberFormat="1" applyFont="1" applyBorder="1" applyAlignment="1">
      <alignment vertical="center"/>
    </xf>
    <xf numFmtId="168" fontId="18" fillId="0" borderId="2" xfId="0" applyNumberFormat="1" applyFont="1" applyBorder="1" applyAlignment="1">
      <alignment horizontal="center" vertical="center"/>
    </xf>
    <xf numFmtId="3" fontId="19" fillId="0" borderId="2" xfId="3" applyNumberFormat="1" applyFont="1" applyBorder="1" applyAlignment="1">
      <alignment vertical="center"/>
    </xf>
    <xf numFmtId="167" fontId="18" fillId="0" borderId="2" xfId="0" quotePrefix="1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0" fontId="18" fillId="2" borderId="13" xfId="0" applyFont="1" applyFill="1" applyBorder="1" applyAlignment="1">
      <alignment vertical="center"/>
    </xf>
    <xf numFmtId="0" fontId="18" fillId="2" borderId="14" xfId="0" applyFont="1" applyFill="1" applyBorder="1" applyAlignment="1">
      <alignment vertical="center"/>
    </xf>
    <xf numFmtId="4" fontId="18" fillId="2" borderId="15" xfId="0" applyNumberFormat="1" applyFont="1" applyFill="1" applyBorder="1" applyAlignment="1">
      <alignment vertical="center"/>
    </xf>
    <xf numFmtId="0" fontId="18" fillId="2" borderId="15" xfId="0" applyFont="1" applyFill="1" applyBorder="1" applyAlignment="1">
      <alignment vertical="center"/>
    </xf>
    <xf numFmtId="4" fontId="18" fillId="2" borderId="16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8" fillId="0" borderId="18" xfId="0" applyFont="1" applyBorder="1" applyAlignment="1">
      <alignment horizontal="right" vertical="center"/>
    </xf>
    <xf numFmtId="10" fontId="18" fillId="6" borderId="18" xfId="2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8" fillId="0" borderId="21" xfId="0" applyFont="1" applyBorder="1" applyAlignment="1">
      <alignment horizontal="right" vertical="center"/>
    </xf>
    <xf numFmtId="4" fontId="18" fillId="6" borderId="21" xfId="0" applyNumberFormat="1" applyFont="1" applyFill="1" applyBorder="1" applyAlignment="1">
      <alignment vertical="center"/>
    </xf>
    <xf numFmtId="10" fontId="18" fillId="6" borderId="21" xfId="2" applyNumberFormat="1" applyFont="1" applyFill="1" applyBorder="1" applyAlignment="1">
      <alignment horizontal="center" vertical="center"/>
    </xf>
    <xf numFmtId="0" fontId="18" fillId="0" borderId="22" xfId="0" applyFont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8" fillId="0" borderId="19" xfId="0" applyFont="1" applyFill="1" applyBorder="1" applyAlignment="1">
      <alignment vertical="center"/>
    </xf>
    <xf numFmtId="0" fontId="18" fillId="0" borderId="2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24" xfId="0" applyFont="1" applyFill="1" applyBorder="1" applyAlignment="1">
      <alignment vertical="center"/>
    </xf>
    <xf numFmtId="4" fontId="18" fillId="0" borderId="0" xfId="0" applyNumberFormat="1" applyFont="1" applyAlignment="1">
      <alignment vertical="center"/>
    </xf>
    <xf numFmtId="0" fontId="21" fillId="0" borderId="0" xfId="0" applyFont="1" applyFill="1" applyBorder="1" applyAlignment="1">
      <alignment horizontal="right"/>
    </xf>
    <xf numFmtId="0" fontId="4" fillId="0" borderId="0" xfId="0" applyFont="1" applyFill="1" applyBorder="1"/>
    <xf numFmtId="3" fontId="12" fillId="7" borderId="26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/>
    <xf numFmtId="0" fontId="13" fillId="0" borderId="0" xfId="0" applyFont="1" applyFill="1" applyBorder="1"/>
    <xf numFmtId="0" fontId="22" fillId="0" borderId="24" xfId="0" applyFont="1" applyFill="1" applyBorder="1"/>
    <xf numFmtId="3" fontId="12" fillId="6" borderId="26" xfId="0" applyNumberFormat="1" applyFont="1" applyFill="1" applyBorder="1" applyAlignment="1">
      <alignment horizontal="center" vertical="center"/>
    </xf>
    <xf numFmtId="10" fontId="12" fillId="8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indent="1"/>
    </xf>
    <xf numFmtId="0" fontId="1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indent="1"/>
    </xf>
    <xf numFmtId="3" fontId="12" fillId="9" borderId="26" xfId="0" applyNumberFormat="1" applyFont="1" applyFill="1" applyBorder="1" applyAlignment="1">
      <alignment horizontal="center" vertical="center"/>
    </xf>
    <xf numFmtId="10" fontId="12" fillId="9" borderId="26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2" fillId="10" borderId="26" xfId="0" applyNumberFormat="1" applyFont="1" applyFill="1" applyBorder="1" applyAlignment="1">
      <alignment horizontal="center" vertical="center"/>
    </xf>
    <xf numFmtId="10" fontId="12" fillId="10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3" fontId="12" fillId="11" borderId="26" xfId="0" applyNumberFormat="1" applyFont="1" applyFill="1" applyBorder="1" applyAlignment="1">
      <alignment horizontal="center" vertical="center"/>
    </xf>
    <xf numFmtId="10" fontId="12" fillId="11" borderId="26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0" fontId="22" fillId="0" borderId="21" xfId="0" applyFont="1" applyFill="1" applyBorder="1"/>
    <xf numFmtId="0" fontId="22" fillId="0" borderId="22" xfId="0" applyFont="1" applyFill="1" applyBorder="1"/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169" fontId="24" fillId="0" borderId="0" xfId="0" applyNumberFormat="1" applyFont="1" applyAlignment="1">
      <alignment horizontal="center" vertical="center"/>
    </xf>
    <xf numFmtId="0" fontId="8" fillId="14" borderId="3" xfId="0" quotePrefix="1" applyFont="1" applyFill="1" applyBorder="1" applyAlignment="1">
      <alignment vertical="center"/>
    </xf>
    <xf numFmtId="0" fontId="8" fillId="14" borderId="4" xfId="0" applyFont="1" applyFill="1" applyBorder="1" applyAlignment="1">
      <alignment vertical="center"/>
    </xf>
    <xf numFmtId="0" fontId="8" fillId="14" borderId="4" xfId="0" applyFont="1" applyFill="1" applyBorder="1" applyAlignment="1">
      <alignment horizontal="right" vertical="center"/>
    </xf>
    <xf numFmtId="0" fontId="9" fillId="14" borderId="5" xfId="0" applyFont="1" applyFill="1" applyBorder="1" applyAlignment="1">
      <alignment vertical="center"/>
    </xf>
    <xf numFmtId="0" fontId="8" fillId="14" borderId="6" xfId="0" quotePrefix="1" applyFont="1" applyFill="1" applyBorder="1" applyAlignment="1">
      <alignment vertical="center"/>
    </xf>
    <xf numFmtId="0" fontId="8" fillId="14" borderId="0" xfId="0" applyFont="1" applyFill="1" applyBorder="1" applyAlignment="1">
      <alignment vertical="center"/>
    </xf>
    <xf numFmtId="0" fontId="8" fillId="14" borderId="7" xfId="0" applyFont="1" applyFill="1" applyBorder="1" applyAlignment="1">
      <alignment vertical="center"/>
    </xf>
    <xf numFmtId="49" fontId="11" fillId="13" borderId="7" xfId="1" applyNumberFormat="1" applyFont="1" applyFill="1" applyBorder="1" applyAlignment="1" applyProtection="1">
      <alignment horizontal="center" vertical="center"/>
      <protection locked="0"/>
    </xf>
    <xf numFmtId="49" fontId="5" fillId="13" borderId="7" xfId="1" applyNumberFormat="1" applyFont="1" applyFill="1" applyBorder="1" applyAlignment="1" applyProtection="1">
      <alignment vertical="center"/>
      <protection locked="0"/>
    </xf>
    <xf numFmtId="165" fontId="4" fillId="13" borderId="0" xfId="1" applyNumberFormat="1" applyFont="1" applyFill="1" applyBorder="1" applyAlignment="1" applyProtection="1">
      <alignment horizontal="left" vertical="center"/>
    </xf>
    <xf numFmtId="49" fontId="23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7" xfId="1" applyNumberFormat="1" applyFont="1" applyFill="1" applyBorder="1" applyAlignment="1" applyProtection="1">
      <alignment horizontal="left" vertical="center"/>
      <protection locked="0"/>
    </xf>
    <xf numFmtId="16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7" xfId="1" applyNumberFormat="1" applyFont="1" applyFill="1" applyBorder="1" applyAlignment="1" applyProtection="1">
      <alignment vertical="center"/>
      <protection locked="0"/>
    </xf>
    <xf numFmtId="0" fontId="8" fillId="14" borderId="6" xfId="0" applyFont="1" applyFill="1" applyBorder="1" applyAlignment="1">
      <alignment vertical="center"/>
    </xf>
    <xf numFmtId="0" fontId="14" fillId="14" borderId="6" xfId="0" quotePrefix="1" applyFont="1" applyFill="1" applyBorder="1" applyAlignment="1">
      <alignment vertical="center"/>
    </xf>
    <xf numFmtId="0" fontId="14" fillId="14" borderId="0" xfId="0" applyFont="1" applyFill="1" applyBorder="1" applyAlignment="1">
      <alignment vertical="center"/>
    </xf>
    <xf numFmtId="49" fontId="4" fillId="13" borderId="8" xfId="1" applyNumberFormat="1" applyFont="1" applyFill="1" applyBorder="1" applyAlignment="1" applyProtection="1">
      <alignment horizontal="left" vertical="center"/>
    </xf>
    <xf numFmtId="165" fontId="4" fillId="13" borderId="9" xfId="1" applyNumberFormat="1" applyFont="1" applyFill="1" applyBorder="1" applyAlignment="1" applyProtection="1">
      <alignment horizontal="left" vertical="center"/>
    </xf>
    <xf numFmtId="16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10" xfId="1" applyNumberFormat="1" applyFont="1" applyFill="1" applyBorder="1" applyAlignment="1" applyProtection="1">
      <alignment vertical="center"/>
      <protection locked="0"/>
    </xf>
    <xf numFmtId="0" fontId="14" fillId="14" borderId="8" xfId="0" quotePrefix="1" applyFont="1" applyFill="1" applyBorder="1" applyAlignment="1">
      <alignment vertical="center"/>
    </xf>
    <xf numFmtId="0" fontId="14" fillId="14" borderId="9" xfId="0" applyFont="1" applyFill="1" applyBorder="1" applyAlignment="1">
      <alignment vertical="center"/>
    </xf>
    <xf numFmtId="0" fontId="8" fillId="14" borderId="9" xfId="0" applyFont="1" applyFill="1" applyBorder="1" applyAlignment="1">
      <alignment vertical="center"/>
    </xf>
    <xf numFmtId="0" fontId="8" fillId="14" borderId="10" xfId="0" applyFont="1" applyFill="1" applyBorder="1" applyAlignment="1">
      <alignment vertical="center"/>
    </xf>
    <xf numFmtId="167" fontId="24" fillId="0" borderId="0" xfId="0" applyNumberFormat="1" applyFont="1" applyAlignment="1">
      <alignment vertical="center"/>
    </xf>
    <xf numFmtId="0" fontId="14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1" fontId="1" fillId="0" borderId="2" xfId="0" quotePrefix="1" applyNumberFormat="1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vertical="center"/>
    </xf>
    <xf numFmtId="167" fontId="4" fillId="0" borderId="2" xfId="0" applyNumberFormat="1" applyFont="1" applyBorder="1" applyAlignment="1">
      <alignment horizontal="center" vertical="center"/>
    </xf>
    <xf numFmtId="167" fontId="24" fillId="0" borderId="2" xfId="0" applyNumberFormat="1" applyFont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8" fillId="12" borderId="13" xfId="0" applyFont="1" applyFill="1" applyBorder="1" applyAlignment="1">
      <alignment vertical="center"/>
    </xf>
    <xf numFmtId="0" fontId="18" fillId="12" borderId="14" xfId="0" applyFont="1" applyFill="1" applyBorder="1" applyAlignment="1">
      <alignment vertical="center"/>
    </xf>
    <xf numFmtId="4" fontId="18" fillId="12" borderId="15" xfId="0" applyNumberFormat="1" applyFont="1" applyFill="1" applyBorder="1" applyAlignment="1">
      <alignment vertical="center"/>
    </xf>
    <xf numFmtId="0" fontId="18" fillId="12" borderId="15" xfId="0" applyFont="1" applyFill="1" applyBorder="1" applyAlignment="1">
      <alignment vertical="center"/>
    </xf>
    <xf numFmtId="4" fontId="18" fillId="12" borderId="16" xfId="0" applyNumberFormat="1" applyFont="1" applyFill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24" xfId="0" applyFont="1" applyBorder="1" applyAlignment="1">
      <alignment vertical="center"/>
    </xf>
    <xf numFmtId="0" fontId="21" fillId="0" borderId="0" xfId="0" applyFont="1" applyBorder="1" applyAlignment="1">
      <alignment horizontal="right"/>
    </xf>
    <xf numFmtId="0" fontId="4" fillId="15" borderId="0" xfId="0" applyFont="1" applyFill="1" applyBorder="1"/>
    <xf numFmtId="3" fontId="12" fillId="8" borderId="26" xfId="0" applyNumberFormat="1" applyFont="1" applyFill="1" applyBorder="1" applyAlignment="1">
      <alignment horizontal="center" vertical="center"/>
    </xf>
    <xf numFmtId="0" fontId="13" fillId="15" borderId="0" xfId="0" applyFont="1" applyFill="1" applyBorder="1"/>
    <xf numFmtId="3" fontId="13" fillId="15" borderId="0" xfId="0" applyNumberFormat="1" applyFont="1" applyFill="1" applyBorder="1"/>
    <xf numFmtId="0" fontId="22" fillId="15" borderId="24" xfId="0" applyFont="1" applyFill="1" applyBorder="1"/>
    <xf numFmtId="167" fontId="18" fillId="0" borderId="0" xfId="0" applyNumberFormat="1" applyFont="1" applyAlignment="1">
      <alignment vertical="center"/>
    </xf>
    <xf numFmtId="3" fontId="12" fillId="16" borderId="26" xfId="0" applyNumberFormat="1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left" vertical="center" indent="1"/>
    </xf>
    <xf numFmtId="0" fontId="23" fillId="15" borderId="0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4" fillId="15" borderId="0" xfId="0" applyFont="1" applyFill="1" applyBorder="1" applyAlignment="1">
      <alignment horizontal="left" indent="1"/>
    </xf>
    <xf numFmtId="0" fontId="12" fillId="15" borderId="23" xfId="0" applyFont="1" applyFill="1" applyBorder="1" applyAlignment="1">
      <alignment horizontal="left" vertical="center" indent="1"/>
    </xf>
    <xf numFmtId="0" fontId="13" fillId="15" borderId="0" xfId="0" applyFont="1" applyFill="1" applyBorder="1" applyAlignment="1">
      <alignment vertical="center"/>
    </xf>
    <xf numFmtId="0" fontId="23" fillId="15" borderId="0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22" fillId="15" borderId="21" xfId="0" applyFont="1" applyFill="1" applyBorder="1"/>
    <xf numFmtId="0" fontId="22" fillId="15" borderId="22" xfId="0" applyFont="1" applyFill="1" applyBorder="1"/>
    <xf numFmtId="0" fontId="1" fillId="2" borderId="2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0" fontId="0" fillId="17" borderId="1" xfId="0" applyFill="1" applyBorder="1"/>
    <xf numFmtId="4" fontId="0" fillId="17" borderId="1" xfId="0" applyNumberFormat="1" applyFill="1" applyBorder="1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13" borderId="3" xfId="1" applyNumberFormat="1" applyFont="1" applyFill="1" applyBorder="1" applyAlignment="1" applyProtection="1">
      <alignment horizontal="left" vertical="center"/>
    </xf>
    <xf numFmtId="49" fontId="4" fillId="13" borderId="6" xfId="1" applyNumberFormat="1" applyFont="1" applyFill="1" applyBorder="1" applyAlignment="1" applyProtection="1">
      <alignment horizontal="left" vertical="center"/>
    </xf>
    <xf numFmtId="4" fontId="13" fillId="0" borderId="1" xfId="4" applyNumberFormat="1" applyFont="1" applyBorder="1" applyAlignment="1">
      <alignment horizontal="center" vertical="center" wrapText="1"/>
    </xf>
    <xf numFmtId="3" fontId="19" fillId="0" borderId="0" xfId="4" applyNumberFormat="1" applyFont="1" applyAlignment="1">
      <alignment vertical="center"/>
    </xf>
    <xf numFmtId="165" fontId="4" fillId="13" borderId="4" xfId="1" applyNumberFormat="1" applyFont="1" applyFill="1" applyBorder="1" applyAlignment="1" applyProtection="1">
      <alignment horizontal="left" vertical="center"/>
    </xf>
    <xf numFmtId="0" fontId="25" fillId="14" borderId="5" xfId="0" applyFont="1" applyFill="1" applyBorder="1" applyAlignment="1">
      <alignment vertical="center"/>
    </xf>
    <xf numFmtId="0" fontId="8" fillId="18" borderId="6" xfId="0" applyFont="1" applyFill="1" applyBorder="1" applyAlignment="1">
      <alignment vertical="center"/>
    </xf>
    <xf numFmtId="0" fontId="8" fillId="18" borderId="0" xfId="0" applyFont="1" applyFill="1" applyBorder="1" applyAlignment="1">
      <alignment vertical="center"/>
    </xf>
    <xf numFmtId="164" fontId="10" fillId="18" borderId="0" xfId="0" applyNumberFormat="1" applyFont="1" applyFill="1" applyBorder="1" applyAlignment="1">
      <alignment horizontal="left" vertical="center"/>
    </xf>
    <xf numFmtId="0" fontId="7" fillId="18" borderId="7" xfId="0" applyFont="1" applyFill="1" applyBorder="1" applyAlignment="1">
      <alignment vertical="center"/>
    </xf>
    <xf numFmtId="0" fontId="10" fillId="18" borderId="0" xfId="0" applyFont="1" applyFill="1" applyBorder="1" applyAlignment="1">
      <alignment vertical="center"/>
    </xf>
    <xf numFmtId="0" fontId="8" fillId="18" borderId="7" xfId="0" applyFont="1" applyFill="1" applyBorder="1" applyAlignment="1">
      <alignment vertical="center"/>
    </xf>
    <xf numFmtId="9" fontId="10" fillId="18" borderId="0" xfId="2" applyNumberFormat="1" applyFont="1" applyFill="1" applyBorder="1" applyAlignment="1">
      <alignment horizontal="left" vertical="center"/>
    </xf>
    <xf numFmtId="9" fontId="10" fillId="18" borderId="0" xfId="0" applyNumberFormat="1" applyFont="1" applyFill="1" applyBorder="1" applyAlignment="1">
      <alignment horizontal="center" vertical="center"/>
    </xf>
    <xf numFmtId="49" fontId="13" fillId="13" borderId="0" xfId="1" applyNumberFormat="1" applyFont="1" applyFill="1" applyBorder="1" applyAlignment="1" applyProtection="1">
      <alignment vertical="center"/>
      <protection locked="0"/>
    </xf>
    <xf numFmtId="49" fontId="13" fillId="13" borderId="9" xfId="1" applyNumberFormat="1" applyFont="1" applyFill="1" applyBorder="1" applyAlignment="1" applyProtection="1">
      <alignment vertical="center"/>
      <protection locked="0"/>
    </xf>
    <xf numFmtId="0" fontId="8" fillId="18" borderId="8" xfId="0" applyFont="1" applyFill="1" applyBorder="1" applyAlignment="1">
      <alignment vertical="center"/>
    </xf>
    <xf numFmtId="0" fontId="10" fillId="18" borderId="9" xfId="0" applyFont="1" applyFill="1" applyBorder="1" applyAlignment="1">
      <alignment vertical="center"/>
    </xf>
    <xf numFmtId="9" fontId="10" fillId="18" borderId="9" xfId="0" applyNumberFormat="1" applyFont="1" applyFill="1" applyBorder="1" applyAlignment="1">
      <alignment horizontal="center" vertical="center"/>
    </xf>
    <xf numFmtId="0" fontId="8" fillId="18" borderId="10" xfId="0" applyFont="1" applyFill="1" applyBorder="1" applyAlignment="1">
      <alignment vertical="center"/>
    </xf>
    <xf numFmtId="0" fontId="14" fillId="19" borderId="1" xfId="0" applyFont="1" applyFill="1" applyBorder="1" applyAlignment="1">
      <alignment horizontal="center" vertical="center"/>
    </xf>
    <xf numFmtId="0" fontId="14" fillId="19" borderId="1" xfId="0" applyFont="1" applyFill="1" applyBorder="1" applyAlignment="1">
      <alignment horizontal="center" vertical="center" wrapText="1"/>
    </xf>
    <xf numFmtId="4" fontId="13" fillId="0" borderId="1" xfId="5" applyNumberFormat="1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/>
    </xf>
    <xf numFmtId="0" fontId="1" fillId="0" borderId="27" xfId="0" applyFont="1" applyBorder="1" applyAlignment="1">
      <alignment vertical="center"/>
    </xf>
    <xf numFmtId="167" fontId="18" fillId="0" borderId="27" xfId="0" applyNumberFormat="1" applyFont="1" applyBorder="1" applyAlignment="1">
      <alignment vertical="center"/>
    </xf>
    <xf numFmtId="168" fontId="18" fillId="0" borderId="27" xfId="0" applyNumberFormat="1" applyFont="1" applyBorder="1" applyAlignment="1">
      <alignment horizontal="center" vertical="center"/>
    </xf>
    <xf numFmtId="4" fontId="18" fillId="0" borderId="27" xfId="0" applyNumberFormat="1" applyFont="1" applyBorder="1" applyAlignment="1">
      <alignment vertical="center"/>
    </xf>
    <xf numFmtId="3" fontId="19" fillId="0" borderId="0" xfId="5" applyNumberFormat="1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7" fontId="4" fillId="0" borderId="2" xfId="0" applyNumberFormat="1" applyFont="1" applyBorder="1" applyAlignment="1">
      <alignment vertical="center"/>
    </xf>
    <xf numFmtId="168" fontId="4" fillId="0" borderId="2" xfId="0" applyNumberFormat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7" fontId="4" fillId="0" borderId="2" xfId="0" applyNumberFormat="1" applyFont="1" applyFill="1" applyBorder="1" applyAlignment="1">
      <alignment vertical="center"/>
    </xf>
    <xf numFmtId="168" fontId="4" fillId="0" borderId="2" xfId="0" applyNumberFormat="1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vertical="center"/>
    </xf>
    <xf numFmtId="167" fontId="4" fillId="0" borderId="2" xfId="0" applyNumberFormat="1" applyFont="1" applyFill="1" applyBorder="1" applyAlignment="1">
      <alignment horizontal="center" vertical="center"/>
    </xf>
    <xf numFmtId="0" fontId="18" fillId="19" borderId="13" xfId="0" applyFont="1" applyFill="1" applyBorder="1" applyAlignment="1">
      <alignment vertical="center"/>
    </xf>
    <xf numFmtId="0" fontId="18" fillId="19" borderId="14" xfId="0" applyFont="1" applyFill="1" applyBorder="1" applyAlignment="1">
      <alignment vertical="center"/>
    </xf>
    <xf numFmtId="4" fontId="18" fillId="19" borderId="15" xfId="0" applyNumberFormat="1" applyFont="1" applyFill="1" applyBorder="1" applyAlignment="1">
      <alignment vertical="center"/>
    </xf>
    <xf numFmtId="0" fontId="18" fillId="19" borderId="15" xfId="0" applyFont="1" applyFill="1" applyBorder="1" applyAlignment="1">
      <alignment vertical="center"/>
    </xf>
    <xf numFmtId="4" fontId="18" fillId="19" borderId="16" xfId="0" applyNumberFormat="1" applyFont="1" applyFill="1" applyBorder="1" applyAlignment="1">
      <alignment vertical="center"/>
    </xf>
    <xf numFmtId="0" fontId="7" fillId="18" borderId="0" xfId="0" applyFont="1" applyFill="1" applyBorder="1" applyAlignment="1">
      <alignment vertical="center"/>
    </xf>
    <xf numFmtId="4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0" fontId="20" fillId="14" borderId="0" xfId="0" applyFont="1" applyFill="1" applyBorder="1" applyAlignment="1">
      <alignment vertical="center"/>
    </xf>
    <xf numFmtId="4" fontId="20" fillId="14" borderId="7" xfId="0" applyNumberFormat="1" applyFont="1" applyFill="1" applyBorder="1" applyAlignment="1">
      <alignment vertical="center"/>
    </xf>
    <xf numFmtId="0" fontId="21" fillId="14" borderId="0" xfId="0" applyFont="1" applyFill="1" applyBorder="1" applyAlignment="1">
      <alignment vertical="center"/>
    </xf>
    <xf numFmtId="10" fontId="10" fillId="4" borderId="0" xfId="0" applyNumberFormat="1" applyFont="1" applyFill="1" applyBorder="1" applyAlignment="1">
      <alignment horizontal="center" vertical="center"/>
    </xf>
    <xf numFmtId="0" fontId="20" fillId="14" borderId="9" xfId="0" applyFont="1" applyFill="1" applyBorder="1" applyAlignment="1">
      <alignment vertical="center"/>
    </xf>
    <xf numFmtId="4" fontId="20" fillId="14" borderId="10" xfId="0" applyNumberFormat="1" applyFont="1" applyFill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3" fontId="4" fillId="15" borderId="0" xfId="0" applyNumberFormat="1" applyFont="1" applyFill="1" applyBorder="1"/>
    <xf numFmtId="0" fontId="12" fillId="15" borderId="0" xfId="0" applyFont="1" applyFill="1" applyBorder="1" applyAlignment="1">
      <alignment vertical="center"/>
    </xf>
    <xf numFmtId="0" fontId="4" fillId="15" borderId="0" xfId="0" applyFont="1" applyFill="1" applyBorder="1" applyAlignment="1">
      <alignment vertical="center"/>
    </xf>
    <xf numFmtId="3" fontId="12" fillId="10" borderId="26" xfId="0" applyNumberFormat="1" applyFont="1" applyFill="1" applyBorder="1" applyAlignment="1">
      <alignment vertical="center"/>
    </xf>
    <xf numFmtId="0" fontId="12" fillId="15" borderId="0" xfId="0" applyFont="1" applyFill="1" applyBorder="1" applyAlignment="1">
      <alignment vertical="center" wrapText="1"/>
    </xf>
    <xf numFmtId="4" fontId="8" fillId="0" borderId="0" xfId="0" applyNumberFormat="1" applyFont="1" applyAlignment="1">
      <alignment vertical="center"/>
    </xf>
    <xf numFmtId="3" fontId="19" fillId="0" borderId="2" xfId="5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4" fontId="8" fillId="5" borderId="0" xfId="0" applyNumberFormat="1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 applyProtection="1">
      <alignment horizontal="left" vertical="center"/>
    </xf>
    <xf numFmtId="49" fontId="4" fillId="3" borderId="4" xfId="1" applyNumberFormat="1" applyFont="1" applyFill="1" applyBorder="1" applyAlignment="1" applyProtection="1">
      <alignment horizontal="left" vertical="center"/>
    </xf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49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4" fontId="8" fillId="5" borderId="4" xfId="0" applyNumberFormat="1" applyFont="1" applyFill="1" applyBorder="1" applyAlignment="1">
      <alignment horizontal="center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horizontal="center" vertical="center"/>
    </xf>
    <xf numFmtId="3" fontId="12" fillId="0" borderId="25" xfId="0" applyNumberFormat="1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4" fontId="14" fillId="5" borderId="9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2" fontId="12" fillId="0" borderId="13" xfId="0" applyNumberFormat="1" applyFont="1" applyFill="1" applyBorder="1" applyAlignment="1">
      <alignment horizontal="center" vertical="center"/>
    </xf>
    <xf numFmtId="2" fontId="12" fillId="0" borderId="14" xfId="0" applyNumberFormat="1" applyFont="1" applyFill="1" applyBorder="1" applyAlignment="1">
      <alignment horizontal="center" vertical="center"/>
    </xf>
    <xf numFmtId="2" fontId="12" fillId="0" borderId="25" xfId="0" applyNumberFormat="1" applyFont="1" applyFill="1" applyBorder="1" applyAlignment="1">
      <alignment horizontal="center" vertical="center"/>
    </xf>
    <xf numFmtId="0" fontId="14" fillId="19" borderId="11" xfId="0" applyFont="1" applyFill="1" applyBorder="1" applyAlignment="1">
      <alignment horizontal="center" vertical="center"/>
    </xf>
    <xf numFmtId="0" fontId="14" fillId="19" borderId="12" xfId="0" applyFont="1" applyFill="1" applyBorder="1" applyAlignment="1">
      <alignment horizontal="center" vertical="center"/>
    </xf>
    <xf numFmtId="49" fontId="5" fillId="13" borderId="4" xfId="1" applyNumberFormat="1" applyFont="1" applyFill="1" applyBorder="1" applyAlignment="1" applyProtection="1">
      <alignment horizontal="center" vertical="center" wrapText="1"/>
      <protection locked="0"/>
    </xf>
    <xf numFmtId="49" fontId="5" fillId="13" borderId="0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5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18" borderId="6" xfId="0" applyFont="1" applyFill="1" applyBorder="1" applyAlignment="1">
      <alignment horizontal="center" vertical="center"/>
    </xf>
    <xf numFmtId="0" fontId="7" fillId="18" borderId="0" xfId="0" applyFont="1" applyFill="1" applyBorder="1" applyAlignment="1">
      <alignment horizontal="center" vertical="center"/>
    </xf>
    <xf numFmtId="0" fontId="7" fillId="18" borderId="7" xfId="0" applyFont="1" applyFill="1" applyBorder="1" applyAlignment="1">
      <alignment horizontal="center" vertical="center"/>
    </xf>
    <xf numFmtId="4" fontId="8" fillId="14" borderId="4" xfId="0" applyNumberFormat="1" applyFont="1" applyFill="1" applyBorder="1" applyAlignment="1">
      <alignment horizontal="center" vertical="center"/>
    </xf>
    <xf numFmtId="4" fontId="8" fillId="14" borderId="0" xfId="0" applyNumberFormat="1" applyFont="1" applyFill="1" applyBorder="1" applyAlignment="1">
      <alignment horizontal="center" vertical="center"/>
    </xf>
    <xf numFmtId="14" fontId="4" fillId="13" borderId="0" xfId="1" applyNumberFormat="1" applyFont="1" applyFill="1" applyBorder="1" applyAlignment="1" applyProtection="1">
      <alignment horizontal="center" vertical="center"/>
    </xf>
    <xf numFmtId="4" fontId="14" fillId="14" borderId="0" xfId="0" applyNumberFormat="1" applyFont="1" applyFill="1" applyBorder="1" applyAlignment="1">
      <alignment horizontal="center" vertical="center"/>
    </xf>
    <xf numFmtId="4" fontId="14" fillId="14" borderId="9" xfId="0" applyNumberFormat="1" applyFont="1" applyFill="1" applyBorder="1" applyAlignment="1">
      <alignment horizontal="center" vertical="center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25" xfId="0" applyFont="1" applyFill="1" applyBorder="1" applyAlignment="1">
      <alignment horizontal="center" vertical="center"/>
    </xf>
    <xf numFmtId="2" fontId="12" fillId="15" borderId="13" xfId="0" applyNumberFormat="1" applyFont="1" applyFill="1" applyBorder="1" applyAlignment="1">
      <alignment horizontal="center" vertical="center"/>
    </xf>
    <xf numFmtId="2" fontId="12" fillId="15" borderId="14" xfId="0" applyNumberFormat="1" applyFont="1" applyFill="1" applyBorder="1" applyAlignment="1">
      <alignment horizontal="center" vertical="center"/>
    </xf>
    <xf numFmtId="2" fontId="12" fillId="15" borderId="25" xfId="0" applyNumberFormat="1" applyFont="1" applyFill="1" applyBorder="1" applyAlignment="1">
      <alignment horizontal="center" vertical="center"/>
    </xf>
    <xf numFmtId="3" fontId="12" fillId="15" borderId="13" xfId="0" applyNumberFormat="1" applyFont="1" applyFill="1" applyBorder="1" applyAlignment="1">
      <alignment horizontal="center" vertical="center"/>
    </xf>
    <xf numFmtId="3" fontId="12" fillId="15" borderId="14" xfId="0" applyNumberFormat="1" applyFont="1" applyFill="1" applyBorder="1" applyAlignment="1">
      <alignment horizontal="center" vertical="center"/>
    </xf>
    <xf numFmtId="3" fontId="12" fillId="15" borderId="25" xfId="0" applyNumberFormat="1" applyFont="1" applyFill="1" applyBorder="1" applyAlignment="1">
      <alignment horizontal="center" vertical="center"/>
    </xf>
    <xf numFmtId="49" fontId="4" fillId="13" borderId="3" xfId="1" applyNumberFormat="1" applyFont="1" applyFill="1" applyBorder="1" applyAlignment="1" applyProtection="1">
      <alignment horizontal="left" vertical="center"/>
    </xf>
    <xf numFmtId="49" fontId="4" fillId="13" borderId="4" xfId="1" applyNumberFormat="1" applyFont="1" applyFill="1" applyBorder="1" applyAlignment="1" applyProtection="1">
      <alignment horizontal="left" vertical="center"/>
    </xf>
    <xf numFmtId="49" fontId="4" fillId="13" borderId="6" xfId="1" applyNumberFormat="1" applyFont="1" applyFill="1" applyBorder="1" applyAlignment="1" applyProtection="1">
      <alignment horizontal="left" vertical="center"/>
    </xf>
    <xf numFmtId="49" fontId="4" fillId="13" borderId="0" xfId="1" applyNumberFormat="1" applyFont="1" applyFill="1" applyBorder="1" applyAlignment="1" applyProtection="1">
      <alignment horizontal="left" vertical="center"/>
    </xf>
    <xf numFmtId="49" fontId="4" fillId="13" borderId="6" xfId="1" applyNumberFormat="1" applyFont="1" applyFill="1" applyBorder="1" applyAlignment="1" applyProtection="1">
      <alignment horizontal="center" vertical="center"/>
    </xf>
    <xf numFmtId="49" fontId="4" fillId="13" borderId="0" xfId="1" applyNumberFormat="1" applyFont="1" applyFill="1" applyBorder="1" applyAlignment="1" applyProtection="1">
      <alignment horizontal="center" vertical="center"/>
    </xf>
    <xf numFmtId="0" fontId="14" fillId="12" borderId="11" xfId="0" applyFont="1" applyFill="1" applyBorder="1" applyAlignment="1">
      <alignment horizontal="center" vertical="center"/>
    </xf>
    <xf numFmtId="0" fontId="14" fillId="12" borderId="12" xfId="0" applyFont="1" applyFill="1" applyBorder="1" applyAlignment="1">
      <alignment horizontal="center" vertical="center"/>
    </xf>
    <xf numFmtId="49" fontId="6" fillId="13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13" borderId="7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6" applyFont="1" applyProtection="1"/>
    <xf numFmtId="0" fontId="26" fillId="0" borderId="3" xfId="6" applyFont="1" applyBorder="1" applyProtection="1"/>
    <xf numFmtId="0" fontId="27" fillId="0" borderId="4" xfId="6" applyFont="1" applyBorder="1" applyProtection="1">
      <protection locked="0"/>
    </xf>
    <xf numFmtId="0" fontId="28" fillId="0" borderId="4" xfId="6" applyFont="1" applyBorder="1" applyProtection="1"/>
    <xf numFmtId="0" fontId="29" fillId="0" borderId="28" xfId="6" applyFont="1" applyBorder="1" applyAlignment="1" applyProtection="1">
      <alignment horizontal="center"/>
    </xf>
    <xf numFmtId="0" fontId="30" fillId="0" borderId="4" xfId="6" applyFont="1" applyBorder="1" applyProtection="1"/>
    <xf numFmtId="0" fontId="28" fillId="0" borderId="5" xfId="6" applyFont="1" applyBorder="1" applyProtection="1"/>
    <xf numFmtId="0" fontId="31" fillId="0" borderId="0" xfId="6" applyFont="1" applyProtection="1"/>
    <xf numFmtId="0" fontId="32" fillId="20" borderId="17" xfId="6" applyFont="1" applyFill="1" applyBorder="1" applyAlignment="1" applyProtection="1">
      <alignment horizontal="center" vertical="center"/>
    </xf>
    <xf numFmtId="0" fontId="32" fillId="20" borderId="18" xfId="6" applyFont="1" applyFill="1" applyBorder="1" applyAlignment="1" applyProtection="1">
      <alignment horizontal="center" vertical="center"/>
    </xf>
    <xf numFmtId="0" fontId="32" fillId="20" borderId="19" xfId="6" applyFont="1" applyFill="1" applyBorder="1" applyAlignment="1" applyProtection="1">
      <alignment horizontal="center" vertical="center"/>
    </xf>
    <xf numFmtId="0" fontId="33" fillId="20" borderId="23" xfId="6" applyFont="1" applyFill="1" applyBorder="1" applyAlignment="1" applyProtection="1">
      <alignment horizontal="center" vertical="center"/>
    </xf>
    <xf numFmtId="0" fontId="33" fillId="20" borderId="0" xfId="6" applyFont="1" applyFill="1" applyBorder="1" applyAlignment="1" applyProtection="1">
      <alignment horizontal="center" vertical="center"/>
    </xf>
    <xf numFmtId="0" fontId="33" fillId="20" borderId="24" xfId="6" applyFont="1" applyFill="1" applyBorder="1" applyAlignment="1" applyProtection="1">
      <alignment horizontal="center" vertical="center"/>
    </xf>
    <xf numFmtId="0" fontId="34" fillId="20" borderId="20" xfId="6" applyFont="1" applyFill="1" applyBorder="1" applyAlignment="1" applyProtection="1">
      <alignment horizontal="center" vertical="center"/>
    </xf>
    <xf numFmtId="0" fontId="34" fillId="20" borderId="21" xfId="6" applyFont="1" applyFill="1" applyBorder="1" applyAlignment="1" applyProtection="1">
      <alignment horizontal="center" vertical="center"/>
    </xf>
    <xf numFmtId="0" fontId="34" fillId="20" borderId="22" xfId="6" applyFont="1" applyFill="1" applyBorder="1" applyAlignment="1" applyProtection="1">
      <alignment horizontal="center" vertical="center"/>
    </xf>
    <xf numFmtId="0" fontId="31" fillId="0" borderId="0" xfId="6" applyFont="1" applyFill="1" applyProtection="1"/>
    <xf numFmtId="0" fontId="31" fillId="0" borderId="6" xfId="6" applyFont="1" applyFill="1" applyBorder="1" applyProtection="1"/>
    <xf numFmtId="0" fontId="31" fillId="0" borderId="0" xfId="6" applyFont="1" applyFill="1" applyBorder="1" applyAlignment="1" applyProtection="1">
      <alignment horizontal="centerContinuous" vertical="center"/>
    </xf>
    <xf numFmtId="0" fontId="35" fillId="0" borderId="0" xfId="6" applyFont="1" applyFill="1" applyBorder="1" applyAlignment="1" applyProtection="1">
      <alignment horizontal="centerContinuous" vertical="center"/>
    </xf>
    <xf numFmtId="0" fontId="36" fillId="0" borderId="0" xfId="6" applyFont="1" applyFill="1" applyBorder="1" applyAlignment="1" applyProtection="1">
      <alignment horizontal="centerContinuous" vertical="center"/>
    </xf>
    <xf numFmtId="0" fontId="31" fillId="0" borderId="7" xfId="6" applyFont="1" applyFill="1" applyBorder="1" applyAlignment="1" applyProtection="1">
      <alignment horizontal="centerContinuous" vertical="center"/>
    </xf>
    <xf numFmtId="0" fontId="26" fillId="0" borderId="6" xfId="6" applyFont="1" applyBorder="1" applyProtection="1"/>
    <xf numFmtId="172" fontId="28" fillId="0" borderId="0" xfId="6" applyNumberFormat="1" applyFont="1" applyBorder="1" applyProtection="1"/>
    <xf numFmtId="0" fontId="26" fillId="0" borderId="0" xfId="6" applyFont="1" applyBorder="1" applyProtection="1"/>
    <xf numFmtId="0" fontId="29" fillId="0" borderId="0" xfId="6" applyFont="1" applyBorder="1" applyProtection="1"/>
    <xf numFmtId="0" fontId="37" fillId="0" borderId="0" xfId="6" applyFont="1" applyBorder="1" applyProtection="1"/>
    <xf numFmtId="0" fontId="30" fillId="0" borderId="0" xfId="6" applyFont="1" applyBorder="1" applyProtection="1"/>
    <xf numFmtId="0" fontId="26" fillId="0" borderId="7" xfId="6" applyFont="1" applyBorder="1" applyProtection="1"/>
    <xf numFmtId="0" fontId="38" fillId="0" borderId="0" xfId="6" applyFont="1" applyBorder="1" applyAlignment="1" applyProtection="1">
      <alignment horizontal="center" vertical="center"/>
    </xf>
    <xf numFmtId="0" fontId="28" fillId="15" borderId="0" xfId="6" applyFont="1" applyFill="1" applyBorder="1" applyProtection="1"/>
    <xf numFmtId="1" fontId="35" fillId="20" borderId="1" xfId="6" applyNumberFormat="1" applyFont="1" applyFill="1" applyBorder="1" applyAlignment="1" applyProtection="1">
      <alignment horizontal="center" vertical="center" textRotation="90" wrapText="1"/>
    </xf>
    <xf numFmtId="1" fontId="38" fillId="0" borderId="29" xfId="6" applyNumberFormat="1" applyFont="1" applyFill="1" applyBorder="1" applyAlignment="1" applyProtection="1">
      <alignment horizontal="center" vertical="center" textRotation="90"/>
    </xf>
    <xf numFmtId="1" fontId="39" fillId="0" borderId="30" xfId="6" applyNumberFormat="1" applyFont="1" applyFill="1" applyBorder="1" applyAlignment="1" applyProtection="1">
      <alignment horizontal="center" vertical="center" textRotation="90"/>
    </xf>
    <xf numFmtId="1" fontId="39" fillId="0" borderId="31" xfId="6" applyNumberFormat="1" applyFont="1" applyFill="1" applyBorder="1" applyAlignment="1" applyProtection="1">
      <alignment horizontal="center" vertical="center" textRotation="90" wrapText="1"/>
    </xf>
    <xf numFmtId="0" fontId="26" fillId="0" borderId="2" xfId="6" applyFont="1" applyBorder="1" applyProtection="1"/>
    <xf numFmtId="1" fontId="35" fillId="20" borderId="12" xfId="6" applyNumberFormat="1" applyFont="1" applyFill="1" applyBorder="1" applyAlignment="1" applyProtection="1">
      <alignment horizontal="center" vertical="center" textRotation="90" wrapText="1"/>
    </xf>
    <xf numFmtId="1" fontId="36" fillId="20" borderId="1" xfId="6" applyNumberFormat="1" applyFont="1" applyFill="1" applyBorder="1" applyAlignment="1" applyProtection="1">
      <alignment horizontal="center" vertical="center" textRotation="90" wrapText="1"/>
    </xf>
    <xf numFmtId="0" fontId="35" fillId="22" borderId="1" xfId="7" applyFont="1" applyFill="1" applyBorder="1" applyAlignment="1">
      <alignment horizontal="center" vertical="center" wrapText="1"/>
    </xf>
    <xf numFmtId="1" fontId="41" fillId="0" borderId="0" xfId="6" applyNumberFormat="1" applyFont="1" applyBorder="1" applyAlignment="1" applyProtection="1">
      <alignment horizontal="left" vertical="center"/>
    </xf>
    <xf numFmtId="1" fontId="42" fillId="0" borderId="0" xfId="6" applyNumberFormat="1" applyFont="1" applyBorder="1" applyAlignment="1" applyProtection="1">
      <alignment horizontal="left" vertical="center"/>
    </xf>
    <xf numFmtId="1" fontId="43" fillId="0" borderId="0" xfId="6" applyNumberFormat="1" applyFont="1" applyBorder="1" applyAlignment="1" applyProtection="1">
      <alignment horizontal="left" vertical="center"/>
    </xf>
    <xf numFmtId="0" fontId="26" fillId="0" borderId="0" xfId="6" applyBorder="1"/>
    <xf numFmtId="1" fontId="44" fillId="0" borderId="0" xfId="6" applyNumberFormat="1" applyFont="1" applyBorder="1" applyAlignment="1" applyProtection="1">
      <alignment horizontal="left" vertical="center"/>
    </xf>
    <xf numFmtId="0" fontId="26" fillId="0" borderId="0" xfId="6" applyFont="1" applyAlignment="1" applyProtection="1">
      <alignment vertical="center"/>
    </xf>
    <xf numFmtId="0" fontId="26" fillId="0" borderId="6" xfId="6" applyFont="1" applyBorder="1" applyAlignment="1" applyProtection="1">
      <alignment vertical="center"/>
    </xf>
    <xf numFmtId="0" fontId="35" fillId="22" borderId="33" xfId="7" applyFont="1" applyFill="1" applyBorder="1" applyAlignment="1">
      <alignment horizontal="left" vertical="center" wrapText="1" indent="1"/>
    </xf>
    <xf numFmtId="0" fontId="35" fillId="0" borderId="34" xfId="6" applyFont="1" applyFill="1" applyBorder="1" applyAlignment="1" applyProtection="1">
      <alignment horizontal="center" vertical="center"/>
    </xf>
    <xf numFmtId="0" fontId="36" fillId="0" borderId="35" xfId="6" applyFont="1" applyFill="1" applyBorder="1" applyAlignment="1" applyProtection="1">
      <alignment horizontal="center" vertical="center"/>
    </xf>
    <xf numFmtId="0" fontId="36" fillId="0" borderId="36" xfId="6" applyFont="1" applyFill="1" applyBorder="1" applyAlignment="1" applyProtection="1">
      <alignment horizontal="center" vertical="center"/>
    </xf>
    <xf numFmtId="0" fontId="39" fillId="0" borderId="37" xfId="6" applyFont="1" applyFill="1" applyBorder="1" applyAlignment="1" applyProtection="1">
      <alignment horizontal="center" vertical="center"/>
    </xf>
    <xf numFmtId="0" fontId="39" fillId="0" borderId="38" xfId="6" applyFont="1" applyFill="1" applyBorder="1" applyAlignment="1" applyProtection="1">
      <alignment horizontal="center" vertical="center"/>
    </xf>
    <xf numFmtId="0" fontId="26" fillId="0" borderId="4" xfId="6" applyBorder="1"/>
    <xf numFmtId="0" fontId="35" fillId="0" borderId="35" xfId="6" applyFont="1" applyFill="1" applyBorder="1" applyAlignment="1" applyProtection="1">
      <alignment horizontal="center" vertical="center"/>
    </xf>
    <xf numFmtId="173" fontId="45" fillId="0" borderId="35" xfId="6" applyNumberFormat="1" applyFont="1" applyBorder="1" applyAlignment="1" applyProtection="1">
      <alignment horizontal="left" vertical="center" wrapText="1" indent="1"/>
    </xf>
    <xf numFmtId="0" fontId="26" fillId="0" borderId="7" xfId="6" applyFont="1" applyBorder="1" applyAlignment="1" applyProtection="1">
      <alignment vertical="center"/>
    </xf>
    <xf numFmtId="0" fontId="35" fillId="22" borderId="39" xfId="7" applyFont="1" applyFill="1" applyBorder="1" applyAlignment="1">
      <alignment horizontal="left" vertical="center" wrapText="1" indent="1"/>
    </xf>
    <xf numFmtId="0" fontId="35" fillId="0" borderId="39" xfId="6" applyFont="1" applyFill="1" applyBorder="1" applyAlignment="1" applyProtection="1">
      <alignment horizontal="center" vertical="center"/>
    </xf>
    <xf numFmtId="173" fontId="45" fillId="0" borderId="39" xfId="6" applyNumberFormat="1" applyFont="1" applyBorder="1" applyAlignment="1" applyProtection="1">
      <alignment horizontal="left" vertical="center" wrapText="1" indent="1"/>
    </xf>
    <xf numFmtId="0" fontId="29" fillId="0" borderId="0" xfId="6" applyFont="1" applyBorder="1"/>
    <xf numFmtId="0" fontId="37" fillId="0" borderId="0" xfId="6" applyFont="1" applyBorder="1"/>
    <xf numFmtId="0" fontId="30" fillId="0" borderId="0" xfId="6" applyFont="1" applyBorder="1"/>
    <xf numFmtId="0" fontId="26" fillId="0" borderId="7" xfId="6" applyBorder="1"/>
    <xf numFmtId="0" fontId="35" fillId="22" borderId="45" xfId="7" applyFont="1" applyFill="1" applyBorder="1" applyAlignment="1">
      <alignment horizontal="center" vertical="center" wrapText="1"/>
    </xf>
    <xf numFmtId="0" fontId="26" fillId="0" borderId="2" xfId="6" applyFont="1" applyBorder="1" applyAlignment="1" applyProtection="1">
      <alignment horizontal="left" vertical="center"/>
    </xf>
    <xf numFmtId="174" fontId="38" fillId="23" borderId="25" xfId="6" applyNumberFormat="1" applyFont="1" applyFill="1" applyBorder="1" applyAlignment="1" applyProtection="1">
      <alignment horizontal="center" vertical="center"/>
    </xf>
    <xf numFmtId="0" fontId="26" fillId="0" borderId="8" xfId="6" applyFont="1" applyBorder="1" applyProtection="1"/>
    <xf numFmtId="0" fontId="28" fillId="0" borderId="48" xfId="6" applyFont="1" applyBorder="1" applyProtection="1"/>
    <xf numFmtId="0" fontId="48" fillId="24" borderId="9" xfId="7" applyFont="1" applyFill="1" applyBorder="1">
      <alignment horizontal="center" vertical="center"/>
    </xf>
    <xf numFmtId="0" fontId="29" fillId="0" borderId="9" xfId="6" applyFont="1" applyBorder="1" applyProtection="1"/>
    <xf numFmtId="0" fontId="37" fillId="0" borderId="9" xfId="6" applyFont="1" applyBorder="1" applyProtection="1"/>
    <xf numFmtId="0" fontId="26" fillId="0" borderId="9" xfId="6" applyFont="1" applyBorder="1" applyProtection="1"/>
    <xf numFmtId="0" fontId="30" fillId="0" borderId="9" xfId="6" applyFont="1" applyBorder="1" applyProtection="1"/>
    <xf numFmtId="0" fontId="28" fillId="0" borderId="10" xfId="6" applyFont="1" applyBorder="1" applyProtection="1"/>
    <xf numFmtId="0" fontId="26" fillId="0" borderId="0" xfId="6"/>
    <xf numFmtId="0" fontId="35" fillId="0" borderId="44" xfId="6" applyFont="1" applyFill="1" applyBorder="1" applyAlignment="1" applyProtection="1">
      <alignment horizontal="center" vertical="center"/>
    </xf>
    <xf numFmtId="173" fontId="45" fillId="0" borderId="44" xfId="6" applyNumberFormat="1" applyFont="1" applyBorder="1" applyAlignment="1" applyProtection="1">
      <alignment horizontal="left" vertical="center" wrapText="1" indent="1"/>
    </xf>
    <xf numFmtId="0" fontId="35" fillId="22" borderId="44" xfId="7" applyFont="1" applyFill="1" applyBorder="1" applyAlignment="1">
      <alignment horizontal="left" vertical="center" wrapText="1" indent="1"/>
    </xf>
    <xf numFmtId="3" fontId="46" fillId="0" borderId="40" xfId="6" applyNumberFormat="1" applyFont="1" applyFill="1" applyBorder="1" applyAlignment="1" applyProtection="1">
      <alignment horizontal="center" vertical="center"/>
    </xf>
    <xf numFmtId="3" fontId="36" fillId="0" borderId="39" xfId="6" applyNumberFormat="1" applyFont="1" applyFill="1" applyBorder="1" applyAlignment="1" applyProtection="1">
      <alignment horizontal="center" vertical="center"/>
    </xf>
    <xf numFmtId="3" fontId="36" fillId="0" borderId="41" xfId="6" applyNumberFormat="1" applyFont="1" applyFill="1" applyBorder="1" applyAlignment="1" applyProtection="1">
      <alignment horizontal="center" vertical="center"/>
    </xf>
    <xf numFmtId="3" fontId="39" fillId="0" borderId="42" xfId="6" applyNumberFormat="1" applyFont="1" applyFill="1" applyBorder="1" applyAlignment="1" applyProtection="1">
      <alignment horizontal="center" vertical="center"/>
    </xf>
    <xf numFmtId="3" fontId="39" fillId="0" borderId="43" xfId="6" applyNumberFormat="1" applyFont="1" applyFill="1" applyBorder="1" applyAlignment="1" applyProtection="1">
      <alignment horizontal="center" vertical="center"/>
    </xf>
    <xf numFmtId="3" fontId="46" fillId="0" borderId="49" xfId="6" applyNumberFormat="1" applyFont="1" applyFill="1" applyBorder="1" applyAlignment="1" applyProtection="1">
      <alignment horizontal="center" vertical="center"/>
    </xf>
    <xf numFmtId="3" fontId="36" fillId="0" borderId="44" xfId="6" applyNumberFormat="1" applyFont="1" applyFill="1" applyBorder="1" applyAlignment="1" applyProtection="1">
      <alignment horizontal="center" vertical="center"/>
    </xf>
    <xf numFmtId="3" fontId="36" fillId="0" borderId="50" xfId="6" applyNumberFormat="1" applyFont="1" applyFill="1" applyBorder="1" applyAlignment="1" applyProtection="1">
      <alignment horizontal="center" vertical="center"/>
    </xf>
    <xf numFmtId="3" fontId="39" fillId="0" borderId="51" xfId="6" applyNumberFormat="1" applyFont="1" applyFill="1" applyBorder="1" applyAlignment="1" applyProtection="1">
      <alignment horizontal="center" vertical="center"/>
    </xf>
    <xf numFmtId="3" fontId="39" fillId="0" borderId="52" xfId="6" applyNumberFormat="1" applyFont="1" applyFill="1" applyBorder="1" applyAlignment="1" applyProtection="1">
      <alignment horizontal="center" vertical="center"/>
    </xf>
    <xf numFmtId="3" fontId="35" fillId="0" borderId="15" xfId="6" applyNumberFormat="1" applyFont="1" applyFill="1" applyBorder="1" applyAlignment="1" applyProtection="1">
      <alignment horizontal="center" vertical="center"/>
    </xf>
    <xf numFmtId="3" fontId="36" fillId="0" borderId="46" xfId="6" applyNumberFormat="1" applyFont="1" applyFill="1" applyBorder="1" applyAlignment="1" applyProtection="1">
      <alignment horizontal="center" vertical="center"/>
    </xf>
    <xf numFmtId="3" fontId="36" fillId="0" borderId="29" xfId="6" applyNumberFormat="1" applyFont="1" applyFill="1" applyBorder="1" applyAlignment="1" applyProtection="1">
      <alignment horizontal="center" vertical="center"/>
    </xf>
    <xf numFmtId="3" fontId="47" fillId="0" borderId="30" xfId="6" applyNumberFormat="1" applyFont="1" applyFill="1" applyBorder="1" applyAlignment="1" applyProtection="1">
      <alignment horizontal="center" vertical="center"/>
    </xf>
    <xf numFmtId="3" fontId="47" fillId="0" borderId="31" xfId="6" applyNumberFormat="1" applyFont="1" applyFill="1" applyBorder="1" applyAlignment="1" applyProtection="1">
      <alignment horizontal="center" vertical="center"/>
    </xf>
    <xf numFmtId="3" fontId="35" fillId="0" borderId="47" xfId="6" applyNumberFormat="1" applyFont="1" applyFill="1" applyBorder="1" applyAlignment="1" applyProtection="1">
      <alignment horizontal="center" vertical="center"/>
    </xf>
  </cellXfs>
  <cellStyles count="8">
    <cellStyle name="Année_Donnée_l1" xfId="7"/>
    <cellStyle name="Milliers" xfId="1" builtinId="3"/>
    <cellStyle name="Normal" xfId="0" builtinId="0"/>
    <cellStyle name="Normal 3 3" xfId="6"/>
    <cellStyle name="Normal_Compte client AL ALIA" xfId="3"/>
    <cellStyle name="Normal_Compte client AL ALIA 2" xfId="4"/>
    <cellStyle name="Normal_Compte client AL ALIA 4" xfId="5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9525</xdr:rowOff>
    </xdr:from>
    <xdr:to>
      <xdr:col>13</xdr:col>
      <xdr:colOff>714375</xdr:colOff>
      <xdr:row>3</xdr:row>
      <xdr:rowOff>133350</xdr:rowOff>
    </xdr:to>
    <xdr:sp macro="[0]!Importation" textlink="">
      <xdr:nvSpPr>
        <xdr:cNvPr id="2" name="Rectangle 1"/>
        <xdr:cNvSpPr/>
      </xdr:nvSpPr>
      <xdr:spPr>
        <a:xfrm>
          <a:off x="13106400" y="390525"/>
          <a:ext cx="145732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IMPORTATION</a:t>
          </a:r>
        </a:p>
      </xdr:txBody>
    </xdr:sp>
    <xdr:clientData/>
  </xdr:twoCellAnchor>
  <xdr:twoCellAnchor>
    <xdr:from>
      <xdr:col>12</xdr:col>
      <xdr:colOff>28575</xdr:colOff>
      <xdr:row>4</xdr:row>
      <xdr:rowOff>0</xdr:rowOff>
    </xdr:from>
    <xdr:to>
      <xdr:col>13</xdr:col>
      <xdr:colOff>723900</xdr:colOff>
      <xdr:row>5</xdr:row>
      <xdr:rowOff>76200</xdr:rowOff>
    </xdr:to>
    <xdr:sp macro="[0]!Maj" textlink="">
      <xdr:nvSpPr>
        <xdr:cNvPr id="3" name="Rectangle 2"/>
        <xdr:cNvSpPr/>
      </xdr:nvSpPr>
      <xdr:spPr>
        <a:xfrm>
          <a:off x="13115925" y="762000"/>
          <a:ext cx="145732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</a:t>
          </a:r>
          <a:r>
            <a:rPr lang="fr-BE" sz="1100" baseline="0"/>
            <a:t> A JOUR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showGridLines="0" tabSelected="1" topLeftCell="A7" zoomScale="80" zoomScaleNormal="80" workbookViewId="0">
      <selection activeCell="T14" sqref="T14"/>
    </sheetView>
  </sheetViews>
  <sheetFormatPr baseColWidth="10" defaultRowHeight="15"/>
  <cols>
    <col min="1" max="1" width="10.7109375" style="392" customWidth="1"/>
    <col min="2" max="2" width="2.7109375" style="392" customWidth="1"/>
    <col min="3" max="3" width="68.7109375" style="392" customWidth="1"/>
    <col min="4" max="4" width="1.7109375" style="392" customWidth="1"/>
    <col min="5" max="11" width="15.7109375" style="392" customWidth="1"/>
    <col min="12" max="12" width="1.7109375" style="392" customWidth="1"/>
    <col min="13" max="13" width="14.140625" style="392" customWidth="1"/>
    <col min="14" max="14" width="1.7109375" style="392" customWidth="1"/>
    <col min="15" max="15" width="14.140625" style="392" customWidth="1"/>
    <col min="16" max="16" width="70.140625" style="392" customWidth="1"/>
    <col min="17" max="17" width="1.7109375" style="392" customWidth="1"/>
  </cols>
  <sheetData>
    <row r="1" spans="1:17" ht="21" thickBot="1">
      <c r="A1" s="317"/>
      <c r="B1" s="318"/>
      <c r="C1" s="319"/>
      <c r="D1" s="320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2"/>
      <c r="Q1" s="323"/>
    </row>
    <row r="2" spans="1:17" ht="30">
      <c r="A2" s="324"/>
      <c r="B2" s="325" t="s">
        <v>127</v>
      </c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7"/>
    </row>
    <row r="3" spans="1:17" ht="35.25">
      <c r="A3" s="324"/>
      <c r="B3" s="328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30"/>
    </row>
    <row r="4" spans="1:17" ht="28.5" thickBot="1">
      <c r="A4" s="324"/>
      <c r="B4" s="331" t="s">
        <v>141</v>
      </c>
      <c r="C4" s="332" t="e">
        <v>#REF!</v>
      </c>
      <c r="D4" s="332" t="e">
        <v>#REF!</v>
      </c>
      <c r="E4" s="332" t="e">
        <v>#REF!</v>
      </c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3" t="e">
        <v>#REF!</v>
      </c>
    </row>
    <row r="5" spans="1:17" ht="20.25">
      <c r="A5" s="334"/>
      <c r="B5" s="335"/>
      <c r="C5" s="336"/>
      <c r="D5" s="336"/>
      <c r="E5" s="337"/>
      <c r="F5" s="338"/>
      <c r="G5" s="338"/>
      <c r="H5" s="336"/>
      <c r="I5" s="336"/>
      <c r="J5" s="336"/>
      <c r="K5" s="336"/>
      <c r="L5" s="336"/>
      <c r="M5" s="336"/>
      <c r="N5" s="336"/>
      <c r="O5" s="337"/>
      <c r="P5" s="338"/>
      <c r="Q5" s="339"/>
    </row>
    <row r="6" spans="1:17" ht="20.25">
      <c r="A6" s="317"/>
      <c r="B6" s="340"/>
      <c r="C6" s="341">
        <f>RECAP!B9</f>
        <v>43069</v>
      </c>
      <c r="D6" s="342"/>
      <c r="E6" s="343"/>
      <c r="F6" s="344"/>
      <c r="G6" s="344"/>
      <c r="H6" s="342"/>
      <c r="I6" s="342"/>
      <c r="J6" s="342"/>
      <c r="K6" s="342"/>
      <c r="L6" s="342"/>
      <c r="M6" s="342"/>
      <c r="N6" s="342"/>
      <c r="O6" s="343"/>
      <c r="P6" s="345"/>
      <c r="Q6" s="346"/>
    </row>
    <row r="7" spans="1:17" ht="342.75">
      <c r="A7" s="317"/>
      <c r="B7" s="340"/>
      <c r="C7" s="347" t="s">
        <v>128</v>
      </c>
      <c r="D7" s="348"/>
      <c r="E7" s="349" t="s">
        <v>129</v>
      </c>
      <c r="F7" s="350" t="s">
        <v>130</v>
      </c>
      <c r="G7" s="350" t="s">
        <v>131</v>
      </c>
      <c r="H7" s="351" t="s">
        <v>132</v>
      </c>
      <c r="I7" s="351" t="s">
        <v>133</v>
      </c>
      <c r="J7" s="351" t="s">
        <v>134</v>
      </c>
      <c r="K7" s="351" t="s">
        <v>135</v>
      </c>
      <c r="L7" s="351"/>
      <c r="M7" s="352" t="s">
        <v>136</v>
      </c>
      <c r="N7" s="353"/>
      <c r="O7" s="354" t="s">
        <v>137</v>
      </c>
      <c r="P7" s="355" t="s">
        <v>138</v>
      </c>
      <c r="Q7" s="346"/>
    </row>
    <row r="8" spans="1:17" ht="30" customHeight="1">
      <c r="A8" s="317"/>
      <c r="B8" s="340"/>
      <c r="C8" s="356" t="s">
        <v>139</v>
      </c>
      <c r="D8" s="348"/>
      <c r="E8" s="357"/>
      <c r="F8" s="358"/>
      <c r="G8" s="358"/>
      <c r="H8" s="359"/>
      <c r="I8" s="359"/>
      <c r="J8" s="359"/>
      <c r="K8" s="359"/>
      <c r="L8" s="359"/>
      <c r="M8" s="359"/>
      <c r="N8" s="360"/>
      <c r="O8" s="357"/>
      <c r="P8" s="361"/>
      <c r="Q8" s="346"/>
    </row>
    <row r="9" spans="1:17" ht="9.75" customHeight="1">
      <c r="A9" s="362"/>
      <c r="B9" s="363"/>
      <c r="C9" s="364"/>
      <c r="D9" s="348"/>
      <c r="E9" s="365"/>
      <c r="F9" s="366"/>
      <c r="G9" s="367"/>
      <c r="H9" s="368"/>
      <c r="I9" s="368"/>
      <c r="J9" s="368"/>
      <c r="K9" s="368"/>
      <c r="L9" s="368"/>
      <c r="M9" s="369"/>
      <c r="N9" s="370"/>
      <c r="O9" s="371"/>
      <c r="P9" s="372"/>
      <c r="Q9" s="373"/>
    </row>
    <row r="10" spans="1:17" ht="35.25" customHeight="1">
      <c r="A10" s="362"/>
      <c r="B10" s="363"/>
      <c r="C10" s="374" t="str">
        <f>RECAP!A12</f>
        <v>FONCIERE CFC</v>
      </c>
      <c r="D10" s="348"/>
      <c r="E10" s="396" t="str">
        <f>IFERROR(IF(F10+G10=0,"",F10+G10),"")</f>
        <v/>
      </c>
      <c r="F10" s="397">
        <f>(RECAP!E19-RECAP!F19)/1000</f>
        <v>-11653.584312060002</v>
      </c>
      <c r="G10" s="398">
        <f>IF(SUM(H10:K10)=0,"",SUM(H10:K10))</f>
        <v>11653.584312060002</v>
      </c>
      <c r="H10" s="399" t="str">
        <f>IF(RECAP!H19/1000=0,"",RECAP!H19/1000)</f>
        <v/>
      </c>
      <c r="I10" s="399">
        <f>IF(RECAP!I19/1000=0,"",RECAP!I19/1000)</f>
        <v>11653.584312060002</v>
      </c>
      <c r="J10" s="399" t="str">
        <f>IF(RECAP!J19/1000=0,"",RECAP!J19/1000)</f>
        <v/>
      </c>
      <c r="K10" s="399" t="str">
        <f>IF(RECAP!K19/1000=0,"",RECAP!K19/1000)</f>
        <v/>
      </c>
      <c r="L10" s="399"/>
      <c r="M10" s="400">
        <v>5826</v>
      </c>
      <c r="N10" s="360"/>
      <c r="O10" s="375"/>
      <c r="P10" s="376"/>
      <c r="Q10" s="373"/>
    </row>
    <row r="11" spans="1:17" ht="35.25" customHeight="1">
      <c r="A11" s="362"/>
      <c r="B11" s="363"/>
      <c r="C11" s="374" t="str">
        <f>RECAP!A20</f>
        <v>SAFIEC</v>
      </c>
      <c r="D11" s="348"/>
      <c r="E11" s="396" t="str">
        <f t="shared" ref="E11:E16" si="0">IFERROR(IF(F11+G11=0,"",F11+G11),"")</f>
        <v/>
      </c>
      <c r="F11" s="397"/>
      <c r="G11" s="398"/>
      <c r="H11" s="399"/>
      <c r="I11" s="399"/>
      <c r="J11" s="399"/>
      <c r="K11" s="399"/>
      <c r="L11" s="399"/>
      <c r="M11" s="400"/>
      <c r="N11" s="360"/>
      <c r="O11" s="375"/>
      <c r="P11" s="376"/>
      <c r="Q11" s="373"/>
    </row>
    <row r="12" spans="1:17" ht="35.25" customHeight="1">
      <c r="A12" s="362"/>
      <c r="B12" s="363"/>
      <c r="C12" s="374" t="str">
        <f>RECAP!A46</f>
        <v>SAFIEC</v>
      </c>
      <c r="D12" s="348"/>
      <c r="E12" s="396" t="str">
        <f t="shared" si="0"/>
        <v/>
      </c>
      <c r="F12" s="397"/>
      <c r="G12" s="398"/>
      <c r="H12" s="399"/>
      <c r="I12" s="399"/>
      <c r="J12" s="399"/>
      <c r="K12" s="399"/>
      <c r="L12" s="399"/>
      <c r="M12" s="400"/>
      <c r="N12" s="360"/>
      <c r="O12" s="375"/>
      <c r="P12" s="376"/>
      <c r="Q12" s="373"/>
    </row>
    <row r="13" spans="1:17" ht="35.25" customHeight="1">
      <c r="A13" s="362"/>
      <c r="B13" s="363"/>
      <c r="C13" s="374" t="str">
        <f>RECAP!A76</f>
        <v>karifsnki</v>
      </c>
      <c r="D13" s="348"/>
      <c r="E13" s="396" t="str">
        <f t="shared" si="0"/>
        <v/>
      </c>
      <c r="F13" s="397"/>
      <c r="G13" s="398"/>
      <c r="H13" s="399"/>
      <c r="I13" s="399"/>
      <c r="J13" s="399"/>
      <c r="K13" s="399"/>
      <c r="L13" s="399"/>
      <c r="M13" s="400"/>
      <c r="N13" s="360"/>
      <c r="O13" s="375"/>
      <c r="P13" s="376"/>
      <c r="Q13" s="373"/>
    </row>
    <row r="14" spans="1:17" ht="35.25" customHeight="1">
      <c r="A14" s="362"/>
      <c r="B14" s="363"/>
      <c r="C14" s="374" t="str">
        <f>RECAP!A80</f>
        <v>karifsnki</v>
      </c>
      <c r="D14" s="348"/>
      <c r="E14" s="396" t="str">
        <f t="shared" si="0"/>
        <v/>
      </c>
      <c r="F14" s="397"/>
      <c r="G14" s="398"/>
      <c r="H14" s="399"/>
      <c r="I14" s="399"/>
      <c r="J14" s="399"/>
      <c r="K14" s="399"/>
      <c r="L14" s="399"/>
      <c r="M14" s="400"/>
      <c r="N14" s="360"/>
      <c r="O14" s="375"/>
      <c r="P14" s="376"/>
      <c r="Q14" s="373"/>
    </row>
    <row r="15" spans="1:17" ht="35.25" customHeight="1">
      <c r="A15" s="362"/>
      <c r="B15" s="363"/>
      <c r="C15" s="374" t="str">
        <f>RECAP!A90</f>
        <v>USINE VALEO</v>
      </c>
      <c r="D15" s="348"/>
      <c r="E15" s="396" t="str">
        <f t="shared" si="0"/>
        <v/>
      </c>
      <c r="F15" s="397"/>
      <c r="G15" s="398"/>
      <c r="H15" s="399"/>
      <c r="I15" s="399"/>
      <c r="J15" s="399"/>
      <c r="K15" s="399"/>
      <c r="L15" s="399"/>
      <c r="M15" s="400"/>
      <c r="N15" s="360"/>
      <c r="O15" s="375"/>
      <c r="P15" s="376"/>
      <c r="Q15" s="373"/>
    </row>
    <row r="16" spans="1:17" ht="35.25" customHeight="1">
      <c r="A16" s="362"/>
      <c r="B16" s="363"/>
      <c r="C16" s="374" t="str">
        <f>RECAP!A97</f>
        <v>FONCIERE CFC</v>
      </c>
      <c r="D16" s="348"/>
      <c r="E16" s="396" t="str">
        <f t="shared" si="0"/>
        <v/>
      </c>
      <c r="F16" s="397"/>
      <c r="G16" s="398"/>
      <c r="H16" s="399"/>
      <c r="I16" s="399"/>
      <c r="J16" s="399"/>
      <c r="K16" s="399"/>
      <c r="L16" s="399"/>
      <c r="M16" s="400"/>
      <c r="N16" s="360"/>
      <c r="O16" s="375"/>
      <c r="P16" s="376"/>
      <c r="Q16" s="373"/>
    </row>
    <row r="17" spans="1:17" ht="35.25" customHeight="1">
      <c r="A17" s="362"/>
      <c r="B17" s="363"/>
      <c r="C17" s="395"/>
      <c r="D17" s="348"/>
      <c r="E17" s="401" t="str">
        <f t="shared" ref="E11:E19" si="1">IF(F17+G17=0,"",F17+G17)</f>
        <v/>
      </c>
      <c r="F17" s="402"/>
      <c r="G17" s="403"/>
      <c r="H17" s="404"/>
      <c r="I17" s="404"/>
      <c r="J17" s="404"/>
      <c r="K17" s="404"/>
      <c r="L17" s="404"/>
      <c r="M17" s="405"/>
      <c r="N17" s="360"/>
      <c r="O17" s="393"/>
      <c r="P17" s="394"/>
      <c r="Q17" s="373"/>
    </row>
    <row r="18" spans="1:17" ht="21" thickBot="1">
      <c r="A18" s="317"/>
      <c r="B18" s="340"/>
      <c r="C18" s="360"/>
      <c r="D18" s="348"/>
      <c r="E18" s="377"/>
      <c r="F18" s="378"/>
      <c r="G18" s="378"/>
      <c r="H18" s="360"/>
      <c r="I18" s="360"/>
      <c r="J18" s="360"/>
      <c r="K18" s="360"/>
      <c r="L18" s="360"/>
      <c r="M18" s="360"/>
      <c r="N18" s="360"/>
      <c r="O18" s="377"/>
      <c r="P18" s="379"/>
      <c r="Q18" s="380"/>
    </row>
    <row r="19" spans="1:17" ht="21" thickBot="1">
      <c r="A19" s="317"/>
      <c r="B19" s="340"/>
      <c r="C19" s="381" t="s">
        <v>140</v>
      </c>
      <c r="D19" s="348"/>
      <c r="E19" s="406" t="str">
        <f t="shared" si="1"/>
        <v/>
      </c>
      <c r="F19" s="407">
        <f>SUM(F9:F17)</f>
        <v>-11653.584312060002</v>
      </c>
      <c r="G19" s="408">
        <f>SUM(H19:K19)</f>
        <v>11653.584312060002</v>
      </c>
      <c r="H19" s="409">
        <f>SUM(H9:H17)</f>
        <v>0</v>
      </c>
      <c r="I19" s="409">
        <f>SUM(I9:I17)</f>
        <v>11653.584312060002</v>
      </c>
      <c r="J19" s="409">
        <f>SUM(J9:J17)</f>
        <v>0</v>
      </c>
      <c r="K19" s="409">
        <f>SUM(K9:K17)</f>
        <v>0</v>
      </c>
      <c r="L19" s="409">
        <f>SUM(L9:L17)</f>
        <v>0</v>
      </c>
      <c r="M19" s="410">
        <f>SUM(M9:M17)</f>
        <v>5826</v>
      </c>
      <c r="N19" s="382"/>
      <c r="O19" s="411" t="str">
        <f>IF(SUM(O9:O17)=0,"",SUM(O9:O17))</f>
        <v/>
      </c>
      <c r="P19" s="383"/>
      <c r="Q19" s="346"/>
    </row>
    <row r="20" spans="1:17" ht="20.25">
      <c r="A20" s="317"/>
      <c r="B20" s="384"/>
      <c r="C20" s="385"/>
      <c r="D20" s="386"/>
      <c r="E20" s="387"/>
      <c r="F20" s="388"/>
      <c r="G20" s="388"/>
      <c r="H20" s="389"/>
      <c r="I20" s="389"/>
      <c r="J20" s="389"/>
      <c r="K20" s="389"/>
      <c r="L20" s="389"/>
      <c r="M20" s="389"/>
      <c r="N20" s="382"/>
      <c r="O20" s="387"/>
      <c r="P20" s="390"/>
      <c r="Q20" s="391"/>
    </row>
  </sheetData>
  <mergeCells count="4">
    <mergeCell ref="E1:O1"/>
    <mergeCell ref="B2:Q2"/>
    <mergeCell ref="B3:Q3"/>
    <mergeCell ref="B4:Q4"/>
  </mergeCells>
  <pageMargins left="0.7" right="0.7" top="0.75" bottom="0.75" header="0.3" footer="0.3"/>
  <pageSetup paperSize="9" orientation="portrait" r:id="rId1"/>
  <ignoredErrors>
    <ignoredError sqref="G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104"/>
  <sheetViews>
    <sheetView topLeftCell="A13" workbookViewId="0">
      <selection activeCell="B9" sqref="B9"/>
    </sheetView>
  </sheetViews>
  <sheetFormatPr baseColWidth="10" defaultRowHeight="15"/>
  <cols>
    <col min="1" max="1" width="20.7109375" customWidth="1"/>
    <col min="2" max="2" width="26.7109375" customWidth="1"/>
    <col min="3" max="6" width="15.7109375" customWidth="1"/>
    <col min="7" max="7" width="11.7109375" customWidth="1"/>
    <col min="8" max="11" width="15.7109375" customWidth="1"/>
  </cols>
  <sheetData>
    <row r="5" spans="1:11" ht="18.75" customHeight="1">
      <c r="A5" s="257" t="s">
        <v>82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</row>
    <row r="6" spans="1:11">
      <c r="A6" s="257"/>
      <c r="B6" s="257"/>
      <c r="C6" s="257"/>
      <c r="D6" s="257"/>
      <c r="E6" s="257"/>
      <c r="F6" s="257"/>
      <c r="G6" s="257"/>
      <c r="H6" s="257"/>
      <c r="I6" s="257"/>
      <c r="J6" s="257"/>
      <c r="K6" s="257"/>
    </row>
    <row r="9" spans="1:11" ht="15" customHeight="1">
      <c r="A9" t="s">
        <v>72</v>
      </c>
      <c r="B9" s="117">
        <v>43069</v>
      </c>
    </row>
    <row r="11" spans="1:11" ht="60" customHeight="1">
      <c r="A11" s="187" t="s">
        <v>0</v>
      </c>
      <c r="B11" s="188" t="s">
        <v>1</v>
      </c>
      <c r="C11" s="188" t="s">
        <v>2</v>
      </c>
      <c r="D11" s="188" t="s">
        <v>3</v>
      </c>
      <c r="E11" s="188" t="s">
        <v>4</v>
      </c>
      <c r="F11" s="188" t="s">
        <v>5</v>
      </c>
      <c r="G11" s="188" t="s">
        <v>6</v>
      </c>
      <c r="H11" s="188" t="s">
        <v>7</v>
      </c>
      <c r="I11" s="188" t="s">
        <v>8</v>
      </c>
      <c r="J11" s="188" t="s">
        <v>9</v>
      </c>
      <c r="K11" s="188" t="s">
        <v>10</v>
      </c>
    </row>
    <row r="12" spans="1:11">
      <c r="A12" s="191" t="s">
        <v>18</v>
      </c>
      <c r="B12" s="192">
        <v>264876705.00959998</v>
      </c>
      <c r="C12" s="191"/>
      <c r="D12" s="191"/>
      <c r="E12" s="191"/>
      <c r="F12" s="191"/>
      <c r="G12" s="191"/>
      <c r="H12" s="191"/>
      <c r="I12" s="191"/>
      <c r="J12" s="191"/>
      <c r="K12" s="191"/>
    </row>
    <row r="13" spans="1:11">
      <c r="A13" s="191"/>
      <c r="B13" s="191"/>
      <c r="C13" s="192">
        <v>11362625.74296</v>
      </c>
      <c r="D13" s="193">
        <v>42888</v>
      </c>
      <c r="E13" s="192">
        <v>11362625.74296</v>
      </c>
      <c r="F13" s="192">
        <v>11362625.74296</v>
      </c>
      <c r="G13" s="191">
        <f t="shared" ref="G13:G18" si="0">D13-$B$9</f>
        <v>-181</v>
      </c>
      <c r="H13" s="192">
        <f t="shared" ref="H13:H18" si="1">IF(G13&gt;0,0,(IF(-G13&lt;=30,E13,0)))</f>
        <v>0</v>
      </c>
      <c r="I13" s="192">
        <f t="shared" ref="I13:I18" si="2">IF(G13&gt;=0,0,(IF(G13&gt;=-30,0,IF(-30&gt;=G13,IF(G13&gt;=-180,E13,0)))))</f>
        <v>0</v>
      </c>
      <c r="J13" s="192">
        <f t="shared" ref="J13:J18" si="3">IF(G13&gt;=0,0,(IF(G13&gt;-60,0,IF(-60&gt;=G13,IF(G13&gt;-120,0,IF(G13&gt;=-180,0,IF(G13&gt;=-360,E13,0)))))))</f>
        <v>11362625.74296</v>
      </c>
      <c r="K13" s="192">
        <f t="shared" ref="K13:K18" si="4">IF(G13&gt;=0,0,IF(360&lt;-G13,E13,0))</f>
        <v>0</v>
      </c>
    </row>
    <row r="14" spans="1:11">
      <c r="A14" s="191"/>
      <c r="B14" s="191"/>
      <c r="C14" s="192">
        <v>12204389.600820001</v>
      </c>
      <c r="D14" s="193">
        <v>42912</v>
      </c>
      <c r="E14" s="192">
        <v>12204389.600820001</v>
      </c>
      <c r="F14" s="192">
        <v>12204389.600820001</v>
      </c>
      <c r="G14" s="191">
        <f t="shared" si="0"/>
        <v>-157</v>
      </c>
      <c r="H14" s="192">
        <f t="shared" si="1"/>
        <v>0</v>
      </c>
      <c r="I14" s="192">
        <f t="shared" si="2"/>
        <v>12204389.600820001</v>
      </c>
      <c r="J14" s="192">
        <f t="shared" si="3"/>
        <v>0</v>
      </c>
      <c r="K14" s="192">
        <f t="shared" si="4"/>
        <v>0</v>
      </c>
    </row>
    <row r="15" spans="1:11">
      <c r="A15" s="191"/>
      <c r="B15" s="191"/>
      <c r="C15" s="192">
        <v>11653584.31206</v>
      </c>
      <c r="D15" s="193">
        <v>42931</v>
      </c>
      <c r="E15" s="192">
        <v>11653584.31206</v>
      </c>
      <c r="F15" s="192">
        <v>11653584.31206</v>
      </c>
      <c r="G15" s="191">
        <f t="shared" si="0"/>
        <v>-138</v>
      </c>
      <c r="H15" s="192">
        <f t="shared" si="1"/>
        <v>0</v>
      </c>
      <c r="I15" s="192">
        <f t="shared" si="2"/>
        <v>11653584.31206</v>
      </c>
      <c r="J15" s="192">
        <f t="shared" si="3"/>
        <v>0</v>
      </c>
      <c r="K15" s="192">
        <f t="shared" si="4"/>
        <v>0</v>
      </c>
    </row>
    <row r="16" spans="1:11">
      <c r="A16" s="191"/>
      <c r="B16" s="191"/>
      <c r="C16" s="192">
        <v>-11362625.74296</v>
      </c>
      <c r="D16" s="193">
        <v>42888</v>
      </c>
      <c r="E16" s="192">
        <v>-11362625.74296</v>
      </c>
      <c r="F16" s="192">
        <v>-11362625.74296</v>
      </c>
      <c r="G16" s="191">
        <f t="shared" si="0"/>
        <v>-181</v>
      </c>
      <c r="H16" s="192">
        <f t="shared" si="1"/>
        <v>0</v>
      </c>
      <c r="I16" s="192">
        <f t="shared" si="2"/>
        <v>0</v>
      </c>
      <c r="J16" s="192">
        <f t="shared" si="3"/>
        <v>-11362625.74296</v>
      </c>
      <c r="K16" s="192">
        <f t="shared" si="4"/>
        <v>0</v>
      </c>
    </row>
    <row r="17" spans="1:11">
      <c r="A17" s="191"/>
      <c r="B17" s="191"/>
      <c r="C17" s="192">
        <v>-12204389.600820001</v>
      </c>
      <c r="D17" s="193">
        <v>42912</v>
      </c>
      <c r="E17" s="192">
        <v>-12204389.600820001</v>
      </c>
      <c r="F17" s="192">
        <v>-12204389.600820001</v>
      </c>
      <c r="G17" s="191">
        <f t="shared" si="0"/>
        <v>-157</v>
      </c>
      <c r="H17" s="192">
        <f t="shared" si="1"/>
        <v>0</v>
      </c>
      <c r="I17" s="192">
        <f t="shared" si="2"/>
        <v>-12204389.600820001</v>
      </c>
      <c r="J17" s="192">
        <f t="shared" si="3"/>
        <v>0</v>
      </c>
      <c r="K17" s="192">
        <f t="shared" si="4"/>
        <v>0</v>
      </c>
    </row>
    <row r="18" spans="1:11">
      <c r="A18" s="191"/>
      <c r="B18" s="191"/>
      <c r="C18" s="192">
        <v>-11653584.31206</v>
      </c>
      <c r="D18" s="193">
        <v>43084</v>
      </c>
      <c r="E18" s="192">
        <v>-11653584.31206</v>
      </c>
      <c r="F18" s="192">
        <v>0</v>
      </c>
      <c r="G18" s="191">
        <f t="shared" si="0"/>
        <v>15</v>
      </c>
      <c r="H18" s="192">
        <f t="shared" si="1"/>
        <v>0</v>
      </c>
      <c r="I18" s="192">
        <f t="shared" si="2"/>
        <v>0</v>
      </c>
      <c r="J18" s="192">
        <f t="shared" si="3"/>
        <v>0</v>
      </c>
      <c r="K18" s="192">
        <f t="shared" si="4"/>
        <v>0</v>
      </c>
    </row>
    <row r="19" spans="1:11">
      <c r="A19" s="189" t="s">
        <v>94</v>
      </c>
      <c r="B19" s="190">
        <f>SUM(B12:B18)</f>
        <v>264876705.00959998</v>
      </c>
      <c r="C19" s="189"/>
      <c r="D19" s="189"/>
      <c r="E19" s="190">
        <f t="shared" ref="E19:F19" si="5">SUM(E12:E18)</f>
        <v>0</v>
      </c>
      <c r="F19" s="190">
        <f t="shared" si="5"/>
        <v>11653584.312060002</v>
      </c>
      <c r="G19" s="189"/>
      <c r="H19" s="190">
        <f t="shared" ref="H19:K19" si="6">SUM(H12:H18)</f>
        <v>0</v>
      </c>
      <c r="I19" s="190">
        <f t="shared" si="6"/>
        <v>11653584.312060002</v>
      </c>
      <c r="J19" s="190">
        <f t="shared" si="6"/>
        <v>0</v>
      </c>
      <c r="K19" s="190">
        <f t="shared" si="6"/>
        <v>0</v>
      </c>
    </row>
    <row r="20" spans="1:11">
      <c r="A20" s="191" t="s">
        <v>100</v>
      </c>
      <c r="B20" s="192">
        <v>245042507.12</v>
      </c>
      <c r="C20" s="191"/>
      <c r="D20" s="191"/>
      <c r="E20" s="191"/>
      <c r="F20" s="191"/>
      <c r="G20" s="191"/>
      <c r="H20" s="191"/>
      <c r="I20" s="191"/>
      <c r="J20" s="191"/>
      <c r="K20" s="191"/>
    </row>
    <row r="21" spans="1:11">
      <c r="A21" s="191"/>
      <c r="B21" s="191"/>
      <c r="C21" s="192">
        <v>4359200.3496000003</v>
      </c>
      <c r="D21" s="193">
        <v>42183</v>
      </c>
      <c r="E21" s="192">
        <v>-3.9999932050704956E-4</v>
      </c>
      <c r="F21" s="192">
        <v>-3.9999932050704956E-4</v>
      </c>
      <c r="G21" s="191">
        <f t="shared" ref="G21:G44" si="7">D21-$B$9</f>
        <v>-886</v>
      </c>
      <c r="H21" s="192">
        <f t="shared" ref="H21:H44" si="8">IF(G21&gt;0,0,(IF(-G21&lt;=30,E21,0)))</f>
        <v>0</v>
      </c>
      <c r="I21" s="192">
        <f t="shared" ref="I21:I44" si="9">IF(G21&gt;=0,0,(IF(G21&gt;=-30,0,IF(-30&gt;=G21,IF(G21&gt;=-180,E21,0)))))</f>
        <v>0</v>
      </c>
      <c r="J21" s="192">
        <f t="shared" ref="J21:J44" si="10">IF(G21&gt;=0,0,(IF(G21&gt;-60,0,IF(-60&gt;=G21,IF(G21&gt;-120,0,IF(G21&gt;=-180,0,IF(G21&gt;=-360,E21,0)))))))</f>
        <v>0</v>
      </c>
      <c r="K21" s="192">
        <f t="shared" ref="K21:K44" si="11">IF(G21&gt;=0,0,IF(360&lt;-G21,E21,0))</f>
        <v>-3.9999932050704956E-4</v>
      </c>
    </row>
    <row r="22" spans="1:11">
      <c r="A22" s="191"/>
      <c r="B22" s="191"/>
      <c r="C22" s="192">
        <v>20437177.759199999</v>
      </c>
      <c r="D22" s="193">
        <v>42225</v>
      </c>
      <c r="E22" s="192">
        <v>-8.0000236630439758E-4</v>
      </c>
      <c r="F22" s="192">
        <v>-8.0000236630439758E-4</v>
      </c>
      <c r="G22" s="191">
        <f t="shared" si="7"/>
        <v>-844</v>
      </c>
      <c r="H22" s="192">
        <f t="shared" si="8"/>
        <v>0</v>
      </c>
      <c r="I22" s="192">
        <f t="shared" si="9"/>
        <v>0</v>
      </c>
      <c r="J22" s="192">
        <f t="shared" si="10"/>
        <v>0</v>
      </c>
      <c r="K22" s="192">
        <f t="shared" si="11"/>
        <v>-8.0000236630439758E-4</v>
      </c>
    </row>
    <row r="23" spans="1:11">
      <c r="A23" s="191"/>
      <c r="B23" s="191"/>
      <c r="C23" s="192">
        <v>8637245.9891999997</v>
      </c>
      <c r="D23" s="193">
        <v>42245</v>
      </c>
      <c r="E23" s="192">
        <v>-458879.0708000008</v>
      </c>
      <c r="F23" s="192">
        <v>-458879.0708000008</v>
      </c>
      <c r="G23" s="191">
        <f t="shared" si="7"/>
        <v>-824</v>
      </c>
      <c r="H23" s="192">
        <f t="shared" si="8"/>
        <v>0</v>
      </c>
      <c r="I23" s="192">
        <f t="shared" si="9"/>
        <v>0</v>
      </c>
      <c r="J23" s="192">
        <f t="shared" si="10"/>
        <v>0</v>
      </c>
      <c r="K23" s="192">
        <f t="shared" si="11"/>
        <v>-458879.0708000008</v>
      </c>
    </row>
    <row r="24" spans="1:11">
      <c r="A24" s="191"/>
      <c r="B24" s="191"/>
      <c r="C24" s="192">
        <v>14344003.4652</v>
      </c>
      <c r="D24" s="193">
        <v>42277</v>
      </c>
      <c r="E24" s="192">
        <v>458879.08519999869</v>
      </c>
      <c r="F24" s="192">
        <v>458879.08519999869</v>
      </c>
      <c r="G24" s="191">
        <f t="shared" si="7"/>
        <v>-792</v>
      </c>
      <c r="H24" s="192">
        <f t="shared" si="8"/>
        <v>0</v>
      </c>
      <c r="I24" s="192">
        <f t="shared" si="9"/>
        <v>0</v>
      </c>
      <c r="J24" s="192">
        <f t="shared" si="10"/>
        <v>0</v>
      </c>
      <c r="K24" s="192">
        <f t="shared" si="11"/>
        <v>458879.08519999869</v>
      </c>
    </row>
    <row r="25" spans="1:11">
      <c r="A25" s="191"/>
      <c r="B25" s="191"/>
      <c r="C25" s="192">
        <v>15583838.929199999</v>
      </c>
      <c r="D25" s="193">
        <v>42292</v>
      </c>
      <c r="E25" s="192">
        <v>-8.0000050365924835E-4</v>
      </c>
      <c r="F25" s="192">
        <v>-8.0000050365924835E-4</v>
      </c>
      <c r="G25" s="191">
        <f t="shared" si="7"/>
        <v>-777</v>
      </c>
      <c r="H25" s="192">
        <f t="shared" si="8"/>
        <v>0</v>
      </c>
      <c r="I25" s="192">
        <f t="shared" si="9"/>
        <v>0</v>
      </c>
      <c r="J25" s="192">
        <f t="shared" si="10"/>
        <v>0</v>
      </c>
      <c r="K25" s="192">
        <f t="shared" si="11"/>
        <v>-8.0000050365924835E-4</v>
      </c>
    </row>
    <row r="26" spans="1:11">
      <c r="A26" s="191"/>
      <c r="B26" s="191"/>
      <c r="C26" s="192">
        <v>22230709.599600002</v>
      </c>
      <c r="D26" s="193">
        <v>42387</v>
      </c>
      <c r="E26" s="192">
        <v>-3.9999932050704956E-4</v>
      </c>
      <c r="F26" s="192">
        <v>-3.9999932050704956E-4</v>
      </c>
      <c r="G26" s="191">
        <f t="shared" si="7"/>
        <v>-682</v>
      </c>
      <c r="H26" s="192">
        <f t="shared" si="8"/>
        <v>0</v>
      </c>
      <c r="I26" s="192">
        <f t="shared" si="9"/>
        <v>0</v>
      </c>
      <c r="J26" s="192">
        <f t="shared" si="10"/>
        <v>0</v>
      </c>
      <c r="K26" s="192">
        <f t="shared" si="11"/>
        <v>-3.9999932050704956E-4</v>
      </c>
    </row>
    <row r="27" spans="1:11">
      <c r="A27" s="191"/>
      <c r="B27" s="191"/>
      <c r="C27" s="192">
        <v>7043214.0239999993</v>
      </c>
      <c r="D27" s="193">
        <v>42428</v>
      </c>
      <c r="E27" s="192">
        <v>7043214.0239999993</v>
      </c>
      <c r="F27" s="192">
        <v>7043214.0239999993</v>
      </c>
      <c r="G27" s="191">
        <f t="shared" si="7"/>
        <v>-641</v>
      </c>
      <c r="H27" s="192">
        <f t="shared" si="8"/>
        <v>0</v>
      </c>
      <c r="I27" s="192">
        <f t="shared" si="9"/>
        <v>0</v>
      </c>
      <c r="J27" s="192">
        <f t="shared" si="10"/>
        <v>0</v>
      </c>
      <c r="K27" s="192">
        <f t="shared" si="11"/>
        <v>7043214.0239999993</v>
      </c>
    </row>
    <row r="28" spans="1:11">
      <c r="A28" s="191"/>
      <c r="B28" s="191"/>
      <c r="C28" s="192">
        <v>-7043214.0239999993</v>
      </c>
      <c r="D28" s="193">
        <v>42429</v>
      </c>
      <c r="E28" s="192">
        <v>-7043214.0239999993</v>
      </c>
      <c r="F28" s="192">
        <v>-7043214.0239999993</v>
      </c>
      <c r="G28" s="191">
        <f t="shared" si="7"/>
        <v>-640</v>
      </c>
      <c r="H28" s="192">
        <f t="shared" si="8"/>
        <v>0</v>
      </c>
      <c r="I28" s="192">
        <f t="shared" si="9"/>
        <v>0</v>
      </c>
      <c r="J28" s="192">
        <f t="shared" si="10"/>
        <v>0</v>
      </c>
      <c r="K28" s="192">
        <f t="shared" si="11"/>
        <v>-7043214.0239999993</v>
      </c>
    </row>
    <row r="29" spans="1:11">
      <c r="A29" s="191"/>
      <c r="B29" s="191"/>
      <c r="C29" s="192">
        <v>13173954.696</v>
      </c>
      <c r="D29" s="193">
        <v>42428</v>
      </c>
      <c r="E29" s="192">
        <v>-3.9999987930059433E-3</v>
      </c>
      <c r="F29" s="192">
        <v>-3.9999987930059433E-3</v>
      </c>
      <c r="G29" s="191">
        <f t="shared" si="7"/>
        <v>-641</v>
      </c>
      <c r="H29" s="192">
        <f t="shared" si="8"/>
        <v>0</v>
      </c>
      <c r="I29" s="192">
        <f t="shared" si="9"/>
        <v>0</v>
      </c>
      <c r="J29" s="192">
        <f t="shared" si="10"/>
        <v>0</v>
      </c>
      <c r="K29" s="192">
        <f t="shared" si="11"/>
        <v>-3.9999987930059433E-3</v>
      </c>
    </row>
    <row r="30" spans="1:11">
      <c r="A30" s="191"/>
      <c r="B30" s="191"/>
      <c r="C30" s="192">
        <v>21216543.202799998</v>
      </c>
      <c r="D30" s="193">
        <v>42459</v>
      </c>
      <c r="E30" s="192">
        <v>2.7999989688396454E-3</v>
      </c>
      <c r="F30" s="192">
        <v>2.7999989688396454E-3</v>
      </c>
      <c r="G30" s="191">
        <f t="shared" si="7"/>
        <v>-610</v>
      </c>
      <c r="H30" s="192">
        <f t="shared" si="8"/>
        <v>0</v>
      </c>
      <c r="I30" s="192">
        <f t="shared" si="9"/>
        <v>0</v>
      </c>
      <c r="J30" s="192">
        <f t="shared" si="10"/>
        <v>0</v>
      </c>
      <c r="K30" s="192">
        <f t="shared" si="11"/>
        <v>2.7999989688396454E-3</v>
      </c>
    </row>
    <row r="31" spans="1:11">
      <c r="A31" s="191"/>
      <c r="B31" s="191"/>
      <c r="C31" s="192">
        <v>10461974.85</v>
      </c>
      <c r="D31" s="193">
        <v>42488</v>
      </c>
      <c r="E31" s="192">
        <v>9.9999997764825821E-3</v>
      </c>
      <c r="F31" s="192">
        <v>9.9999997764825821E-3</v>
      </c>
      <c r="G31" s="191">
        <f t="shared" si="7"/>
        <v>-581</v>
      </c>
      <c r="H31" s="192">
        <f t="shared" si="8"/>
        <v>0</v>
      </c>
      <c r="I31" s="192">
        <f t="shared" si="9"/>
        <v>0</v>
      </c>
      <c r="J31" s="192">
        <f t="shared" si="10"/>
        <v>0</v>
      </c>
      <c r="K31" s="192">
        <f t="shared" si="11"/>
        <v>9.9999997764825821E-3</v>
      </c>
    </row>
    <row r="32" spans="1:11">
      <c r="A32" s="191"/>
      <c r="B32" s="191"/>
      <c r="C32" s="192">
        <v>14903281.594799997</v>
      </c>
      <c r="D32" s="193">
        <v>42520</v>
      </c>
      <c r="E32" s="192">
        <v>-5.2000023424625397E-3</v>
      </c>
      <c r="F32" s="192">
        <v>-5.2000023424625397E-3</v>
      </c>
      <c r="G32" s="191">
        <f t="shared" si="7"/>
        <v>-549</v>
      </c>
      <c r="H32" s="192">
        <f t="shared" si="8"/>
        <v>0</v>
      </c>
      <c r="I32" s="192">
        <f t="shared" si="9"/>
        <v>0</v>
      </c>
      <c r="J32" s="192">
        <f t="shared" si="10"/>
        <v>0</v>
      </c>
      <c r="K32" s="192">
        <f t="shared" si="11"/>
        <v>-5.2000023424625397E-3</v>
      </c>
    </row>
    <row r="33" spans="1:11">
      <c r="A33" s="191"/>
      <c r="B33" s="191"/>
      <c r="C33" s="192">
        <v>1871940</v>
      </c>
      <c r="D33" s="193">
        <v>42581</v>
      </c>
      <c r="E33" s="192">
        <v>1871940</v>
      </c>
      <c r="F33" s="192">
        <v>1871940</v>
      </c>
      <c r="G33" s="191">
        <f t="shared" si="7"/>
        <v>-488</v>
      </c>
      <c r="H33" s="192">
        <f t="shared" si="8"/>
        <v>0</v>
      </c>
      <c r="I33" s="192">
        <f t="shared" si="9"/>
        <v>0</v>
      </c>
      <c r="J33" s="192">
        <f t="shared" si="10"/>
        <v>0</v>
      </c>
      <c r="K33" s="192">
        <f t="shared" si="11"/>
        <v>1871940</v>
      </c>
    </row>
    <row r="34" spans="1:11">
      <c r="A34" s="191"/>
      <c r="B34" s="191"/>
      <c r="C34" s="192">
        <v>-1871940</v>
      </c>
      <c r="D34" s="193">
        <v>42581</v>
      </c>
      <c r="E34" s="192">
        <v>-1871940</v>
      </c>
      <c r="F34" s="192">
        <v>-1871940</v>
      </c>
      <c r="G34" s="191">
        <f t="shared" si="7"/>
        <v>-488</v>
      </c>
      <c r="H34" s="192">
        <f t="shared" si="8"/>
        <v>0</v>
      </c>
      <c r="I34" s="192">
        <f t="shared" si="9"/>
        <v>0</v>
      </c>
      <c r="J34" s="192">
        <f t="shared" si="10"/>
        <v>0</v>
      </c>
      <c r="K34" s="192">
        <f t="shared" si="11"/>
        <v>-1871940</v>
      </c>
    </row>
    <row r="35" spans="1:11">
      <c r="A35" s="191"/>
      <c r="B35" s="191"/>
      <c r="C35" s="192">
        <v>9181993.7987999991</v>
      </c>
      <c r="D35" s="193">
        <v>42550</v>
      </c>
      <c r="E35" s="192">
        <v>-1.2000016868114471E-3</v>
      </c>
      <c r="F35" s="192">
        <v>-1.2000016868114471E-3</v>
      </c>
      <c r="G35" s="191">
        <f t="shared" si="7"/>
        <v>-519</v>
      </c>
      <c r="H35" s="192">
        <f t="shared" si="8"/>
        <v>0</v>
      </c>
      <c r="I35" s="192">
        <f t="shared" si="9"/>
        <v>0</v>
      </c>
      <c r="J35" s="192">
        <f t="shared" si="10"/>
        <v>0</v>
      </c>
      <c r="K35" s="192">
        <f t="shared" si="11"/>
        <v>-1.2000016868114471E-3</v>
      </c>
    </row>
    <row r="36" spans="1:11">
      <c r="A36" s="191"/>
      <c r="B36" s="191"/>
      <c r="C36" s="192">
        <v>7693383.8015999999</v>
      </c>
      <c r="D36" s="193">
        <v>42581</v>
      </c>
      <c r="E36" s="192">
        <v>1.6000000759959221E-3</v>
      </c>
      <c r="F36" s="192">
        <v>1.6000000759959221E-3</v>
      </c>
      <c r="G36" s="191">
        <f t="shared" si="7"/>
        <v>-488</v>
      </c>
      <c r="H36" s="192">
        <f t="shared" si="8"/>
        <v>0</v>
      </c>
      <c r="I36" s="192">
        <f t="shared" si="9"/>
        <v>0</v>
      </c>
      <c r="J36" s="192">
        <f t="shared" si="10"/>
        <v>0</v>
      </c>
      <c r="K36" s="192">
        <f t="shared" si="11"/>
        <v>1.6000000759959221E-3</v>
      </c>
    </row>
    <row r="37" spans="1:11">
      <c r="A37" s="191"/>
      <c r="B37" s="191"/>
      <c r="C37" s="192">
        <v>8844713.0603999998</v>
      </c>
      <c r="D37" s="193">
        <v>42611</v>
      </c>
      <c r="E37" s="192">
        <v>3.9999932050704956E-4</v>
      </c>
      <c r="F37" s="192">
        <v>3.9999932050704956E-4</v>
      </c>
      <c r="G37" s="191">
        <f t="shared" si="7"/>
        <v>-458</v>
      </c>
      <c r="H37" s="192">
        <f t="shared" si="8"/>
        <v>0</v>
      </c>
      <c r="I37" s="192">
        <f t="shared" si="9"/>
        <v>0</v>
      </c>
      <c r="J37" s="192">
        <f t="shared" si="10"/>
        <v>0</v>
      </c>
      <c r="K37" s="192">
        <f t="shared" si="11"/>
        <v>3.9999932050704956E-4</v>
      </c>
    </row>
    <row r="38" spans="1:11">
      <c r="A38" s="191"/>
      <c r="B38" s="191"/>
      <c r="C38" s="192">
        <v>6061257.9611999998</v>
      </c>
      <c r="D38" s="193">
        <v>42642</v>
      </c>
      <c r="E38" s="192">
        <v>1.1999998241662979E-3</v>
      </c>
      <c r="F38" s="192">
        <v>1.1999998241662979E-3</v>
      </c>
      <c r="G38" s="191">
        <f t="shared" si="7"/>
        <v>-427</v>
      </c>
      <c r="H38" s="192">
        <f t="shared" si="8"/>
        <v>0</v>
      </c>
      <c r="I38" s="192">
        <f t="shared" si="9"/>
        <v>0</v>
      </c>
      <c r="J38" s="192">
        <f t="shared" si="10"/>
        <v>0</v>
      </c>
      <c r="K38" s="192">
        <f t="shared" si="11"/>
        <v>1.1999998241662979E-3</v>
      </c>
    </row>
    <row r="39" spans="1:11">
      <c r="A39" s="191"/>
      <c r="B39" s="191"/>
      <c r="C39" s="192">
        <v>9234933.7032000013</v>
      </c>
      <c r="D39" s="193">
        <v>42673</v>
      </c>
      <c r="E39" s="192">
        <v>-6.7999996244907379E-3</v>
      </c>
      <c r="F39" s="192">
        <v>-6.7999996244907379E-3</v>
      </c>
      <c r="G39" s="191">
        <f t="shared" si="7"/>
        <v>-396</v>
      </c>
      <c r="H39" s="192">
        <f t="shared" si="8"/>
        <v>0</v>
      </c>
      <c r="I39" s="192">
        <f t="shared" si="9"/>
        <v>0</v>
      </c>
      <c r="J39" s="192">
        <f t="shared" si="10"/>
        <v>0</v>
      </c>
      <c r="K39" s="192">
        <f t="shared" si="11"/>
        <v>-6.7999996244907379E-3</v>
      </c>
    </row>
    <row r="40" spans="1:11">
      <c r="A40" s="191"/>
      <c r="B40" s="191"/>
      <c r="C40" s="192">
        <v>4066713.2052000002</v>
      </c>
      <c r="D40" s="193">
        <v>42703</v>
      </c>
      <c r="E40" s="192">
        <v>5.2000000141561031E-3</v>
      </c>
      <c r="F40" s="192">
        <v>5.2000000141561031E-3</v>
      </c>
      <c r="G40" s="191">
        <f t="shared" si="7"/>
        <v>-366</v>
      </c>
      <c r="H40" s="192">
        <f t="shared" si="8"/>
        <v>0</v>
      </c>
      <c r="I40" s="192">
        <f t="shared" si="9"/>
        <v>0</v>
      </c>
      <c r="J40" s="192">
        <f t="shared" si="10"/>
        <v>0</v>
      </c>
      <c r="K40" s="192">
        <f t="shared" si="11"/>
        <v>5.2000000141561031E-3</v>
      </c>
    </row>
    <row r="41" spans="1:11">
      <c r="A41" s="191"/>
      <c r="B41" s="191"/>
      <c r="C41" s="192">
        <v>4813548.8328</v>
      </c>
      <c r="D41" s="193">
        <v>42764</v>
      </c>
      <c r="E41" s="192">
        <v>2.79999990016222E-3</v>
      </c>
      <c r="F41" s="192">
        <v>2.79999990016222E-3</v>
      </c>
      <c r="G41" s="191">
        <f t="shared" si="7"/>
        <v>-305</v>
      </c>
      <c r="H41" s="192">
        <f t="shared" si="8"/>
        <v>0</v>
      </c>
      <c r="I41" s="192">
        <f t="shared" si="9"/>
        <v>0</v>
      </c>
      <c r="J41" s="192">
        <f t="shared" si="10"/>
        <v>2.79999990016222E-3</v>
      </c>
      <c r="K41" s="192">
        <f t="shared" si="11"/>
        <v>0</v>
      </c>
    </row>
    <row r="42" spans="1:11">
      <c r="A42" s="191"/>
      <c r="B42" s="191"/>
      <c r="C42" s="192">
        <v>3438959.8320000004</v>
      </c>
      <c r="D42" s="193">
        <v>42795</v>
      </c>
      <c r="E42" s="192">
        <v>2.0000003278255463E-3</v>
      </c>
      <c r="F42" s="192">
        <v>2.0000003278255463E-3</v>
      </c>
      <c r="G42" s="191">
        <f t="shared" si="7"/>
        <v>-274</v>
      </c>
      <c r="H42" s="192">
        <f t="shared" si="8"/>
        <v>0</v>
      </c>
      <c r="I42" s="192">
        <f t="shared" si="9"/>
        <v>0</v>
      </c>
      <c r="J42" s="192">
        <f t="shared" si="10"/>
        <v>2.0000003278255463E-3</v>
      </c>
      <c r="K42" s="192">
        <f t="shared" si="11"/>
        <v>0</v>
      </c>
    </row>
    <row r="43" spans="1:11">
      <c r="A43" s="191"/>
      <c r="B43" s="191"/>
      <c r="C43" s="192">
        <v>4101444.108</v>
      </c>
      <c r="D43" s="193">
        <v>42826</v>
      </c>
      <c r="E43" s="192">
        <v>-1.999999862164259E-3</v>
      </c>
      <c r="F43" s="192">
        <v>-1.999999862164259E-3</v>
      </c>
      <c r="G43" s="191">
        <f t="shared" si="7"/>
        <v>-243</v>
      </c>
      <c r="H43" s="192">
        <f t="shared" si="8"/>
        <v>0</v>
      </c>
      <c r="I43" s="192">
        <f t="shared" si="9"/>
        <v>0</v>
      </c>
      <c r="J43" s="192">
        <f t="shared" si="10"/>
        <v>-1.999999862164259E-3</v>
      </c>
      <c r="K43" s="192">
        <f t="shared" si="11"/>
        <v>0</v>
      </c>
    </row>
    <row r="44" spans="1:11">
      <c r="A44" s="191"/>
      <c r="B44" s="191"/>
      <c r="C44" s="192">
        <v>5230858.1760000009</v>
      </c>
      <c r="D44" s="193">
        <v>43001</v>
      </c>
      <c r="E44" s="192">
        <v>5230858.1760000009</v>
      </c>
      <c r="F44" s="192">
        <v>5230858.1760000009</v>
      </c>
      <c r="G44" s="191">
        <f t="shared" si="7"/>
        <v>-68</v>
      </c>
      <c r="H44" s="192">
        <f t="shared" si="8"/>
        <v>0</v>
      </c>
      <c r="I44" s="192">
        <f t="shared" si="9"/>
        <v>5230858.1760000009</v>
      </c>
      <c r="J44" s="192">
        <f t="shared" si="10"/>
        <v>0</v>
      </c>
      <c r="K44" s="192">
        <f t="shared" si="11"/>
        <v>0</v>
      </c>
    </row>
    <row r="45" spans="1:11">
      <c r="A45" s="189" t="s">
        <v>94</v>
      </c>
      <c r="B45" s="190">
        <f>SUM(B20:B44)</f>
        <v>245042507.12</v>
      </c>
      <c r="C45" s="189"/>
      <c r="D45" s="189"/>
      <c r="E45" s="190">
        <f t="shared" ref="E45:F45" si="12">SUM(E20:E44)</f>
        <v>5230858.1947999932</v>
      </c>
      <c r="F45" s="190">
        <f t="shared" si="12"/>
        <v>5230858.1947999932</v>
      </c>
      <c r="G45" s="189"/>
      <c r="H45" s="190">
        <f t="shared" ref="H45:K45" si="13">SUM(H20:H44)</f>
        <v>0</v>
      </c>
      <c r="I45" s="190">
        <f t="shared" si="13"/>
        <v>5230858.1760000009</v>
      </c>
      <c r="J45" s="190">
        <f t="shared" si="13"/>
        <v>2.8000003658235073E-3</v>
      </c>
      <c r="K45" s="190">
        <f t="shared" si="13"/>
        <v>1.5999991912394762E-2</v>
      </c>
    </row>
    <row r="46" spans="1:11">
      <c r="A46" s="191" t="s">
        <v>100</v>
      </c>
      <c r="B46" s="192">
        <v>309210377</v>
      </c>
      <c r="C46" s="191"/>
      <c r="D46" s="191"/>
      <c r="E46" s="191"/>
      <c r="F46" s="191"/>
      <c r="G46" s="191"/>
      <c r="H46" s="191"/>
      <c r="I46" s="191"/>
      <c r="J46" s="191"/>
      <c r="K46" s="191"/>
    </row>
    <row r="47" spans="1:11">
      <c r="A47" s="191"/>
      <c r="B47" s="191"/>
      <c r="C47" s="192">
        <v>342739.66320000001</v>
      </c>
      <c r="D47" s="193">
        <v>42096</v>
      </c>
      <c r="E47" s="192">
        <v>-6.7999999737367034E-3</v>
      </c>
      <c r="F47" s="192">
        <v>-6.7999999737367034E-3</v>
      </c>
      <c r="G47" s="191">
        <f t="shared" ref="G47:G74" si="14">D47-$B$9</f>
        <v>-973</v>
      </c>
      <c r="H47" s="192">
        <f t="shared" ref="H47:H74" si="15">IF(G47&gt;0,0,(IF(-G47&lt;=30,E47,0)))</f>
        <v>0</v>
      </c>
      <c r="I47" s="192">
        <f t="shared" ref="I47:I74" si="16">IF(G47&gt;=0,0,(IF(G47&gt;=-30,0,IF(-30&gt;=G47,IF(G47&gt;=-180,E47,0)))))</f>
        <v>0</v>
      </c>
      <c r="J47" s="192">
        <f t="shared" ref="J47:J74" si="17">IF(G47&gt;=0,0,(IF(G47&gt;-60,0,IF(-60&gt;=G47,IF(G47&gt;-120,0,IF(G47&gt;=-180,0,IF(G47&gt;=-360,E47,0)))))))</f>
        <v>0</v>
      </c>
      <c r="K47" s="192">
        <f t="shared" ref="K47:K74" si="18">IF(G47&gt;=0,0,IF(360&lt;-G47,E47,0))</f>
        <v>-6.7999999737367034E-3</v>
      </c>
    </row>
    <row r="48" spans="1:11">
      <c r="A48" s="191"/>
      <c r="B48" s="191"/>
      <c r="C48" s="192">
        <v>1686906.4211999997</v>
      </c>
      <c r="D48" s="193">
        <v>42124</v>
      </c>
      <c r="E48" s="192">
        <v>1.1999998241662979E-3</v>
      </c>
      <c r="F48" s="192">
        <v>1.1999998241662979E-3</v>
      </c>
      <c r="G48" s="191">
        <f t="shared" si="14"/>
        <v>-945</v>
      </c>
      <c r="H48" s="192">
        <f t="shared" si="15"/>
        <v>0</v>
      </c>
      <c r="I48" s="192">
        <f t="shared" si="16"/>
        <v>0</v>
      </c>
      <c r="J48" s="192">
        <f t="shared" si="17"/>
        <v>0</v>
      </c>
      <c r="K48" s="192">
        <f t="shared" si="18"/>
        <v>1.1999998241662979E-3</v>
      </c>
    </row>
    <row r="49" spans="1:11">
      <c r="A49" s="191"/>
      <c r="B49" s="191"/>
      <c r="C49" s="192">
        <v>4195138.932</v>
      </c>
      <c r="D49" s="193">
        <v>42155</v>
      </c>
      <c r="E49" s="192">
        <v>-8.0000003799796104E-3</v>
      </c>
      <c r="F49" s="192">
        <v>-8.0000003799796104E-3</v>
      </c>
      <c r="G49" s="191">
        <f t="shared" si="14"/>
        <v>-914</v>
      </c>
      <c r="H49" s="192">
        <f t="shared" si="15"/>
        <v>0</v>
      </c>
      <c r="I49" s="192">
        <f t="shared" si="16"/>
        <v>0</v>
      </c>
      <c r="J49" s="192">
        <f t="shared" si="17"/>
        <v>0</v>
      </c>
      <c r="K49" s="192">
        <f t="shared" si="18"/>
        <v>-8.0000003799796104E-3</v>
      </c>
    </row>
    <row r="50" spans="1:11">
      <c r="A50" s="191"/>
      <c r="B50" s="191"/>
      <c r="C50" s="192">
        <v>14460186.7656</v>
      </c>
      <c r="D50" s="193">
        <v>42185</v>
      </c>
      <c r="E50" s="192">
        <v>-4.3999999761581421E-3</v>
      </c>
      <c r="F50" s="192">
        <v>-4.3999999761581421E-3</v>
      </c>
      <c r="G50" s="191">
        <f t="shared" si="14"/>
        <v>-884</v>
      </c>
      <c r="H50" s="192">
        <f t="shared" si="15"/>
        <v>0</v>
      </c>
      <c r="I50" s="192">
        <f t="shared" si="16"/>
        <v>0</v>
      </c>
      <c r="J50" s="192">
        <f t="shared" si="17"/>
        <v>0</v>
      </c>
      <c r="K50" s="192">
        <f t="shared" si="18"/>
        <v>-4.3999999761581421E-3</v>
      </c>
    </row>
    <row r="51" spans="1:11">
      <c r="A51" s="191"/>
      <c r="B51" s="191"/>
      <c r="C51" s="192">
        <v>12457850.4144</v>
      </c>
      <c r="D51" s="193">
        <v>42216</v>
      </c>
      <c r="E51" s="192">
        <v>4.3999999761581421E-3</v>
      </c>
      <c r="F51" s="192">
        <v>4.3999999761581421E-3</v>
      </c>
      <c r="G51" s="191">
        <f t="shared" si="14"/>
        <v>-853</v>
      </c>
      <c r="H51" s="192">
        <f t="shared" si="15"/>
        <v>0</v>
      </c>
      <c r="I51" s="192">
        <f t="shared" si="16"/>
        <v>0</v>
      </c>
      <c r="J51" s="192">
        <f t="shared" si="17"/>
        <v>0</v>
      </c>
      <c r="K51" s="192">
        <f t="shared" si="18"/>
        <v>4.3999999761581421E-3</v>
      </c>
    </row>
    <row r="52" spans="1:11">
      <c r="A52" s="191"/>
      <c r="B52" s="191"/>
      <c r="C52" s="192">
        <v>12885016.906800002</v>
      </c>
      <c r="D52" s="193">
        <v>42246</v>
      </c>
      <c r="E52" s="192">
        <v>-3.1999982893466949E-3</v>
      </c>
      <c r="F52" s="192">
        <v>-3.1999982893466949E-3</v>
      </c>
      <c r="G52" s="191">
        <f t="shared" si="14"/>
        <v>-823</v>
      </c>
      <c r="H52" s="192">
        <f t="shared" si="15"/>
        <v>0</v>
      </c>
      <c r="I52" s="192">
        <f t="shared" si="16"/>
        <v>0</v>
      </c>
      <c r="J52" s="192">
        <f t="shared" si="17"/>
        <v>0</v>
      </c>
      <c r="K52" s="192">
        <f t="shared" si="18"/>
        <v>-3.1999982893466949E-3</v>
      </c>
    </row>
    <row r="53" spans="1:11">
      <c r="A53" s="191"/>
      <c r="B53" s="191"/>
      <c r="C53" s="192">
        <v>13753896.282</v>
      </c>
      <c r="D53" s="193">
        <v>42277</v>
      </c>
      <c r="E53" s="192">
        <v>2.0000003278255463E-3</v>
      </c>
      <c r="F53" s="192">
        <v>2.0000003278255463E-3</v>
      </c>
      <c r="G53" s="191">
        <f t="shared" si="14"/>
        <v>-792</v>
      </c>
      <c r="H53" s="192">
        <f t="shared" si="15"/>
        <v>0</v>
      </c>
      <c r="I53" s="192">
        <f t="shared" si="16"/>
        <v>0</v>
      </c>
      <c r="J53" s="192">
        <f t="shared" si="17"/>
        <v>0</v>
      </c>
      <c r="K53" s="192">
        <f t="shared" si="18"/>
        <v>2.0000003278255463E-3</v>
      </c>
    </row>
    <row r="54" spans="1:11">
      <c r="A54" s="191"/>
      <c r="B54" s="191"/>
      <c r="C54" s="192">
        <v>5039214.9300000006</v>
      </c>
      <c r="D54" s="193">
        <v>42308</v>
      </c>
      <c r="E54" s="192">
        <v>1.0000000707805157E-2</v>
      </c>
      <c r="F54" s="192">
        <v>1.0000000707805157E-2</v>
      </c>
      <c r="G54" s="191">
        <f t="shared" si="14"/>
        <v>-761</v>
      </c>
      <c r="H54" s="192">
        <f t="shared" si="15"/>
        <v>0</v>
      </c>
      <c r="I54" s="192">
        <f t="shared" si="16"/>
        <v>0</v>
      </c>
      <c r="J54" s="192">
        <f t="shared" si="17"/>
        <v>0</v>
      </c>
      <c r="K54" s="192">
        <f t="shared" si="18"/>
        <v>1.0000000707805157E-2</v>
      </c>
    </row>
    <row r="55" spans="1:11">
      <c r="A55" s="191"/>
      <c r="B55" s="191"/>
      <c r="C55" s="192">
        <v>5202829.7351999991</v>
      </c>
      <c r="D55" s="193">
        <v>42338</v>
      </c>
      <c r="E55" s="192">
        <v>-4.8000011593103409E-3</v>
      </c>
      <c r="F55" s="192">
        <v>-4.8000011593103409E-3</v>
      </c>
      <c r="G55" s="191">
        <f t="shared" si="14"/>
        <v>-731</v>
      </c>
      <c r="H55" s="192">
        <f t="shared" si="15"/>
        <v>0</v>
      </c>
      <c r="I55" s="192">
        <f t="shared" si="16"/>
        <v>0</v>
      </c>
      <c r="J55" s="192">
        <f t="shared" si="17"/>
        <v>0</v>
      </c>
      <c r="K55" s="192">
        <f t="shared" si="18"/>
        <v>-4.8000011593103409E-3</v>
      </c>
    </row>
    <row r="56" spans="1:11">
      <c r="A56" s="191"/>
      <c r="B56" s="191"/>
      <c r="C56" s="192">
        <v>6077743.5024000006</v>
      </c>
      <c r="D56" s="193">
        <v>42369</v>
      </c>
      <c r="E56" s="192">
        <v>2.4000005796551704E-3</v>
      </c>
      <c r="F56" s="192">
        <v>2.4000005796551704E-3</v>
      </c>
      <c r="G56" s="191">
        <f t="shared" si="14"/>
        <v>-700</v>
      </c>
      <c r="H56" s="192">
        <f t="shared" si="15"/>
        <v>0</v>
      </c>
      <c r="I56" s="192">
        <f t="shared" si="16"/>
        <v>0</v>
      </c>
      <c r="J56" s="192">
        <f t="shared" si="17"/>
        <v>0</v>
      </c>
      <c r="K56" s="192">
        <f t="shared" si="18"/>
        <v>2.4000005796551704E-3</v>
      </c>
    </row>
    <row r="57" spans="1:11">
      <c r="A57" s="191"/>
      <c r="B57" s="191"/>
      <c r="C57" s="192">
        <v>5275650.1392000001</v>
      </c>
      <c r="D57" s="193">
        <v>42430</v>
      </c>
      <c r="E57" s="192">
        <v>-7.9999957233667374E-4</v>
      </c>
      <c r="F57" s="192">
        <v>-7.9999957233667374E-4</v>
      </c>
      <c r="G57" s="191">
        <f t="shared" si="14"/>
        <v>-639</v>
      </c>
      <c r="H57" s="192">
        <f t="shared" si="15"/>
        <v>0</v>
      </c>
      <c r="I57" s="192">
        <f t="shared" si="16"/>
        <v>0</v>
      </c>
      <c r="J57" s="192">
        <f t="shared" si="17"/>
        <v>0</v>
      </c>
      <c r="K57" s="192">
        <f t="shared" si="18"/>
        <v>-7.9999957233667374E-4</v>
      </c>
    </row>
    <row r="58" spans="1:11">
      <c r="A58" s="191"/>
      <c r="B58" s="191"/>
      <c r="C58" s="192">
        <v>13186442.433600001</v>
      </c>
      <c r="D58" s="193">
        <v>42488</v>
      </c>
      <c r="E58" s="192">
        <v>-6.3999984413385391E-3</v>
      </c>
      <c r="F58" s="192">
        <v>-6.3999984413385391E-3</v>
      </c>
      <c r="G58" s="191">
        <f t="shared" si="14"/>
        <v>-581</v>
      </c>
      <c r="H58" s="192">
        <f t="shared" si="15"/>
        <v>0</v>
      </c>
      <c r="I58" s="192">
        <f t="shared" si="16"/>
        <v>0</v>
      </c>
      <c r="J58" s="192">
        <f t="shared" si="17"/>
        <v>0</v>
      </c>
      <c r="K58" s="192">
        <f t="shared" si="18"/>
        <v>-6.3999984413385391E-3</v>
      </c>
    </row>
    <row r="59" spans="1:11">
      <c r="A59" s="191"/>
      <c r="B59" s="191"/>
      <c r="C59" s="192">
        <v>1043214.024</v>
      </c>
      <c r="D59" s="193">
        <v>42458</v>
      </c>
      <c r="E59" s="192">
        <v>3.9999999571591616E-3</v>
      </c>
      <c r="F59" s="192">
        <v>3.9999999571591616E-3</v>
      </c>
      <c r="G59" s="191">
        <f t="shared" si="14"/>
        <v>-611</v>
      </c>
      <c r="H59" s="192">
        <f t="shared" si="15"/>
        <v>0</v>
      </c>
      <c r="I59" s="192">
        <f t="shared" si="16"/>
        <v>0</v>
      </c>
      <c r="J59" s="192">
        <f t="shared" si="17"/>
        <v>0</v>
      </c>
      <c r="K59" s="192">
        <f t="shared" si="18"/>
        <v>3.9999999571591616E-3</v>
      </c>
    </row>
    <row r="60" spans="1:11">
      <c r="A60" s="191"/>
      <c r="B60" s="191"/>
      <c r="C60" s="192">
        <v>24333796.040399998</v>
      </c>
      <c r="D60" s="193">
        <v>42519</v>
      </c>
      <c r="E60" s="192">
        <v>3.9999932050704956E-4</v>
      </c>
      <c r="F60" s="192">
        <v>3.9999932050704956E-4</v>
      </c>
      <c r="G60" s="191">
        <f t="shared" si="14"/>
        <v>-550</v>
      </c>
      <c r="H60" s="192">
        <f t="shared" si="15"/>
        <v>0</v>
      </c>
      <c r="I60" s="192">
        <f t="shared" si="16"/>
        <v>0</v>
      </c>
      <c r="J60" s="192">
        <f t="shared" si="17"/>
        <v>0</v>
      </c>
      <c r="K60" s="192">
        <f t="shared" si="18"/>
        <v>3.9999932050704956E-4</v>
      </c>
    </row>
    <row r="61" spans="1:11">
      <c r="A61" s="191"/>
      <c r="B61" s="191"/>
      <c r="C61" s="192">
        <v>21484158.055199999</v>
      </c>
      <c r="D61" s="193">
        <v>42550</v>
      </c>
      <c r="E61" s="192">
        <v>-4.7999992966651917E-3</v>
      </c>
      <c r="F61" s="192">
        <v>-4.7999992966651917E-3</v>
      </c>
      <c r="G61" s="191">
        <f t="shared" si="14"/>
        <v>-519</v>
      </c>
      <c r="H61" s="192">
        <f t="shared" si="15"/>
        <v>0</v>
      </c>
      <c r="I61" s="192">
        <f t="shared" si="16"/>
        <v>0</v>
      </c>
      <c r="J61" s="192">
        <f t="shared" si="17"/>
        <v>0</v>
      </c>
      <c r="K61" s="192">
        <f t="shared" si="18"/>
        <v>-4.7999992966651917E-3</v>
      </c>
    </row>
    <row r="62" spans="1:11">
      <c r="A62" s="191"/>
      <c r="B62" s="191"/>
      <c r="C62" s="192">
        <v>18191973.708000004</v>
      </c>
      <c r="D62" s="193">
        <v>42581</v>
      </c>
      <c r="E62" s="192">
        <v>-1.9999966025352478E-3</v>
      </c>
      <c r="F62" s="192">
        <v>-1.9999966025352478E-3</v>
      </c>
      <c r="G62" s="191">
        <f t="shared" si="14"/>
        <v>-488</v>
      </c>
      <c r="H62" s="192">
        <f t="shared" si="15"/>
        <v>0</v>
      </c>
      <c r="I62" s="192">
        <f t="shared" si="16"/>
        <v>0</v>
      </c>
      <c r="J62" s="192">
        <f t="shared" si="17"/>
        <v>0</v>
      </c>
      <c r="K62" s="192">
        <f t="shared" si="18"/>
        <v>-1.9999966025352478E-3</v>
      </c>
    </row>
    <row r="63" spans="1:11">
      <c r="A63" s="191"/>
      <c r="B63" s="191"/>
      <c r="C63" s="192">
        <v>17293280.641200002</v>
      </c>
      <c r="D63" s="193">
        <v>42611</v>
      </c>
      <c r="E63" s="192">
        <v>1.2000016868114471E-3</v>
      </c>
      <c r="F63" s="192">
        <v>1.2000016868114471E-3</v>
      </c>
      <c r="G63" s="191">
        <f t="shared" si="14"/>
        <v>-458</v>
      </c>
      <c r="H63" s="192">
        <f t="shared" si="15"/>
        <v>0</v>
      </c>
      <c r="I63" s="192">
        <f t="shared" si="16"/>
        <v>0</v>
      </c>
      <c r="J63" s="192">
        <f t="shared" si="17"/>
        <v>0</v>
      </c>
      <c r="K63" s="192">
        <f t="shared" si="18"/>
        <v>1.2000016868114471E-3</v>
      </c>
    </row>
    <row r="64" spans="1:11">
      <c r="A64" s="191"/>
      <c r="B64" s="191"/>
      <c r="C64" s="192">
        <v>11993720.0472</v>
      </c>
      <c r="D64" s="193">
        <v>42642</v>
      </c>
      <c r="E64" s="192">
        <v>-2.8000008314847946E-3</v>
      </c>
      <c r="F64" s="192">
        <v>-2.8000008314847946E-3</v>
      </c>
      <c r="G64" s="191">
        <f t="shared" si="14"/>
        <v>-427</v>
      </c>
      <c r="H64" s="192">
        <f t="shared" si="15"/>
        <v>0</v>
      </c>
      <c r="I64" s="192">
        <f t="shared" si="16"/>
        <v>0</v>
      </c>
      <c r="J64" s="192">
        <f t="shared" si="17"/>
        <v>0</v>
      </c>
      <c r="K64" s="192">
        <f t="shared" si="18"/>
        <v>-2.8000008314847946E-3</v>
      </c>
    </row>
    <row r="65" spans="1:11">
      <c r="A65" s="191"/>
      <c r="B65" s="191"/>
      <c r="C65" s="192">
        <v>9716322.0275999997</v>
      </c>
      <c r="D65" s="193">
        <v>42703</v>
      </c>
      <c r="E65" s="192">
        <v>7.6000001281499863E-3</v>
      </c>
      <c r="F65" s="192">
        <v>7.6000001281499863E-3</v>
      </c>
      <c r="G65" s="191">
        <f t="shared" si="14"/>
        <v>-366</v>
      </c>
      <c r="H65" s="192">
        <f t="shared" si="15"/>
        <v>0</v>
      </c>
      <c r="I65" s="192">
        <f t="shared" si="16"/>
        <v>0</v>
      </c>
      <c r="J65" s="192">
        <f t="shared" si="17"/>
        <v>0</v>
      </c>
      <c r="K65" s="192">
        <f t="shared" si="18"/>
        <v>7.6000001281499863E-3</v>
      </c>
    </row>
    <row r="66" spans="1:11">
      <c r="A66" s="191"/>
      <c r="B66" s="191"/>
      <c r="C66" s="192">
        <v>10928100.384</v>
      </c>
      <c r="D66" s="193">
        <v>42734</v>
      </c>
      <c r="E66" s="192">
        <v>3.9999987930059433E-3</v>
      </c>
      <c r="F66" s="192">
        <v>3.9999987930059433E-3</v>
      </c>
      <c r="G66" s="191">
        <f t="shared" si="14"/>
        <v>-335</v>
      </c>
      <c r="H66" s="192">
        <f t="shared" si="15"/>
        <v>0</v>
      </c>
      <c r="I66" s="192">
        <f t="shared" si="16"/>
        <v>0</v>
      </c>
      <c r="J66" s="192">
        <f t="shared" si="17"/>
        <v>3.9999987930059433E-3</v>
      </c>
      <c r="K66" s="192">
        <f t="shared" si="18"/>
        <v>0</v>
      </c>
    </row>
    <row r="67" spans="1:11">
      <c r="A67" s="191"/>
      <c r="B67" s="191"/>
      <c r="C67" s="192">
        <v>7156641.4811999993</v>
      </c>
      <c r="D67" s="193">
        <v>42764</v>
      </c>
      <c r="E67" s="192">
        <v>1.1999988928437233E-3</v>
      </c>
      <c r="F67" s="192">
        <v>1.1999988928437233E-3</v>
      </c>
      <c r="G67" s="191">
        <f t="shared" si="14"/>
        <v>-305</v>
      </c>
      <c r="H67" s="192">
        <f t="shared" si="15"/>
        <v>0</v>
      </c>
      <c r="I67" s="192">
        <f t="shared" si="16"/>
        <v>0</v>
      </c>
      <c r="J67" s="192">
        <f t="shared" si="17"/>
        <v>1.1999988928437233E-3</v>
      </c>
      <c r="K67" s="192">
        <f t="shared" si="18"/>
        <v>0</v>
      </c>
    </row>
    <row r="68" spans="1:11">
      <c r="A68" s="191"/>
      <c r="B68" s="191"/>
      <c r="C68" s="192">
        <v>3478562.3664000002</v>
      </c>
      <c r="D68" s="193">
        <v>42795</v>
      </c>
      <c r="E68" s="192">
        <v>6.4000003039836884E-3</v>
      </c>
      <c r="F68" s="192">
        <v>6.4000003039836884E-3</v>
      </c>
      <c r="G68" s="191">
        <f t="shared" si="14"/>
        <v>-274</v>
      </c>
      <c r="H68" s="192">
        <f t="shared" si="15"/>
        <v>0</v>
      </c>
      <c r="I68" s="192">
        <f t="shared" si="16"/>
        <v>0</v>
      </c>
      <c r="J68" s="192">
        <f t="shared" si="17"/>
        <v>6.4000003039836884E-3</v>
      </c>
      <c r="K68" s="192">
        <f t="shared" si="18"/>
        <v>0</v>
      </c>
    </row>
    <row r="69" spans="1:11">
      <c r="A69" s="191"/>
      <c r="B69" s="191"/>
      <c r="C69" s="192">
        <v>5784113.7072000001</v>
      </c>
      <c r="D69" s="193">
        <v>42854</v>
      </c>
      <c r="E69" s="192">
        <v>-2.79999990016222E-3</v>
      </c>
      <c r="F69" s="192">
        <v>-2.79999990016222E-3</v>
      </c>
      <c r="G69" s="191">
        <f t="shared" si="14"/>
        <v>-215</v>
      </c>
      <c r="H69" s="192">
        <f t="shared" si="15"/>
        <v>0</v>
      </c>
      <c r="I69" s="192">
        <f t="shared" si="16"/>
        <v>0</v>
      </c>
      <c r="J69" s="192">
        <f t="shared" si="17"/>
        <v>-2.79999990016222E-3</v>
      </c>
      <c r="K69" s="192">
        <f t="shared" si="18"/>
        <v>0</v>
      </c>
    </row>
    <row r="70" spans="1:11">
      <c r="A70" s="191"/>
      <c r="B70" s="191"/>
      <c r="C70" s="192">
        <v>8471477.7287999988</v>
      </c>
      <c r="D70" s="193">
        <v>42885</v>
      </c>
      <c r="E70" s="192">
        <v>8.7999980896711349E-3</v>
      </c>
      <c r="F70" s="192">
        <v>8.7999980896711349E-3</v>
      </c>
      <c r="G70" s="191">
        <f t="shared" si="14"/>
        <v>-184</v>
      </c>
      <c r="H70" s="192">
        <f t="shared" si="15"/>
        <v>0</v>
      </c>
      <c r="I70" s="192">
        <f t="shared" si="16"/>
        <v>0</v>
      </c>
      <c r="J70" s="192">
        <f t="shared" si="17"/>
        <v>8.7999980896711349E-3</v>
      </c>
      <c r="K70" s="192">
        <f t="shared" si="18"/>
        <v>0</v>
      </c>
    </row>
    <row r="71" spans="1:11">
      <c r="A71" s="191"/>
      <c r="B71" s="191"/>
      <c r="C71" s="192">
        <v>5777119.7759999996</v>
      </c>
      <c r="D71" s="193">
        <v>42915</v>
      </c>
      <c r="E71" s="192">
        <v>-4.0000006556510925E-3</v>
      </c>
      <c r="F71" s="192">
        <v>-4.0000006556510925E-3</v>
      </c>
      <c r="G71" s="191">
        <f t="shared" si="14"/>
        <v>-154</v>
      </c>
      <c r="H71" s="192">
        <f t="shared" si="15"/>
        <v>0</v>
      </c>
      <c r="I71" s="192">
        <f t="shared" si="16"/>
        <v>-4.0000006556510925E-3</v>
      </c>
      <c r="J71" s="192">
        <f t="shared" si="17"/>
        <v>0</v>
      </c>
      <c r="K71" s="192">
        <f t="shared" si="18"/>
        <v>0</v>
      </c>
    </row>
    <row r="72" spans="1:11">
      <c r="A72" s="191"/>
      <c r="B72" s="191"/>
      <c r="C72" s="192">
        <v>14925810.4056</v>
      </c>
      <c r="D72" s="193">
        <v>42946</v>
      </c>
      <c r="E72" s="192">
        <v>-4.3999999761581421E-3</v>
      </c>
      <c r="F72" s="192">
        <v>-4.3999999761581421E-3</v>
      </c>
      <c r="G72" s="191">
        <f t="shared" si="14"/>
        <v>-123</v>
      </c>
      <c r="H72" s="192">
        <f t="shared" si="15"/>
        <v>0</v>
      </c>
      <c r="I72" s="192">
        <f t="shared" si="16"/>
        <v>-4.3999999761581421E-3</v>
      </c>
      <c r="J72" s="192">
        <f t="shared" si="17"/>
        <v>0</v>
      </c>
      <c r="K72" s="192">
        <f t="shared" si="18"/>
        <v>0</v>
      </c>
    </row>
    <row r="73" spans="1:11">
      <c r="A73" s="191"/>
      <c r="B73" s="191"/>
      <c r="C73" s="192">
        <v>13856199.288000001</v>
      </c>
      <c r="D73" s="193">
        <v>43052</v>
      </c>
      <c r="E73" s="192">
        <v>13856199.288000001</v>
      </c>
      <c r="F73" s="192">
        <v>13856199.288000001</v>
      </c>
      <c r="G73" s="191">
        <f t="shared" si="14"/>
        <v>-17</v>
      </c>
      <c r="H73" s="192">
        <f t="shared" si="15"/>
        <v>13856199.288000001</v>
      </c>
      <c r="I73" s="192">
        <f t="shared" si="16"/>
        <v>0</v>
      </c>
      <c r="J73" s="192">
        <f t="shared" si="17"/>
        <v>0</v>
      </c>
      <c r="K73" s="192">
        <f t="shared" si="18"/>
        <v>0</v>
      </c>
    </row>
    <row r="74" spans="1:11">
      <c r="A74" s="191"/>
      <c r="B74" s="191"/>
      <c r="C74" s="192">
        <v>8714772.4607999995</v>
      </c>
      <c r="D74" s="193">
        <v>43086</v>
      </c>
      <c r="E74" s="192">
        <v>8714772.4607999995</v>
      </c>
      <c r="F74" s="192">
        <v>0</v>
      </c>
      <c r="G74" s="191">
        <f t="shared" si="14"/>
        <v>17</v>
      </c>
      <c r="H74" s="192">
        <f t="shared" si="15"/>
        <v>0</v>
      </c>
      <c r="I74" s="192">
        <f t="shared" si="16"/>
        <v>0</v>
      </c>
      <c r="J74" s="192">
        <f t="shared" si="17"/>
        <v>0</v>
      </c>
      <c r="K74" s="192">
        <f t="shared" si="18"/>
        <v>0</v>
      </c>
    </row>
    <row r="75" spans="1:11">
      <c r="A75" s="189" t="s">
        <v>94</v>
      </c>
      <c r="B75" s="190">
        <f>SUM(B46:B74)</f>
        <v>309210377</v>
      </c>
      <c r="C75" s="189"/>
      <c r="D75" s="189"/>
      <c r="E75" s="190">
        <f t="shared" ref="E75:F75" si="19">SUM(E46:E74)</f>
        <v>22570971.747200005</v>
      </c>
      <c r="F75" s="190">
        <f t="shared" si="19"/>
        <v>13856199.286400003</v>
      </c>
      <c r="G75" s="189"/>
      <c r="H75" s="190">
        <f t="shared" ref="H75:K75" si="20">SUM(H46:H74)</f>
        <v>13856199.288000001</v>
      </c>
      <c r="I75" s="190">
        <f t="shared" si="20"/>
        <v>-8.4000006318092346E-3</v>
      </c>
      <c r="J75" s="190">
        <f t="shared" si="20"/>
        <v>1.759999617934227E-2</v>
      </c>
      <c r="K75" s="190">
        <f t="shared" si="20"/>
        <v>-1.0799992014653981E-2</v>
      </c>
    </row>
    <row r="76" spans="1:11">
      <c r="A76" s="191" t="s">
        <v>86</v>
      </c>
      <c r="B76" s="192">
        <v>328000000</v>
      </c>
      <c r="C76" s="191"/>
      <c r="D76" s="191"/>
      <c r="E76" s="191"/>
      <c r="F76" s="191"/>
      <c r="G76" s="191"/>
      <c r="H76" s="191"/>
      <c r="I76" s="191"/>
      <c r="J76" s="191"/>
      <c r="K76" s="191"/>
    </row>
    <row r="77" spans="1:11">
      <c r="A77" s="191"/>
      <c r="B77" s="191"/>
      <c r="C77" s="192">
        <v>6811842</v>
      </c>
      <c r="D77" s="193">
        <v>42907</v>
      </c>
      <c r="E77" s="192">
        <v>6811842</v>
      </c>
      <c r="F77" s="192">
        <v>6811842</v>
      </c>
      <c r="G77" s="191">
        <f>D77-$B$9</f>
        <v>-162</v>
      </c>
      <c r="H77" s="192">
        <f>IF(G77&gt;0,0,(IF(-G77&lt;=30,E77,0)))</f>
        <v>0</v>
      </c>
      <c r="I77" s="192">
        <f>IF(G77&gt;=0,0,(IF(G77&gt;=-30,0,IF(-30&gt;=G77,IF(G77&gt;=-180,E77,0)))))</f>
        <v>6811842</v>
      </c>
      <c r="J77" s="192">
        <f>IF(G77&gt;=0,0,(IF(G77&gt;-60,0,IF(-60&gt;=G77,IF(G77&gt;-120,0,IF(G77&gt;=-180,0,IF(G77&gt;=-360,E77,0)))))))</f>
        <v>0</v>
      </c>
      <c r="K77" s="192">
        <f>IF(G77&gt;=0,0,IF(360&lt;-G77,E77,0))</f>
        <v>0</v>
      </c>
    </row>
    <row r="78" spans="1:11">
      <c r="A78" s="191"/>
      <c r="B78" s="191"/>
      <c r="C78" s="192">
        <v>15048000</v>
      </c>
      <c r="D78" s="193">
        <v>42943</v>
      </c>
      <c r="E78" s="192">
        <v>8048000</v>
      </c>
      <c r="F78" s="192">
        <v>8048000</v>
      </c>
      <c r="G78" s="191">
        <f>D78-$B$9</f>
        <v>-126</v>
      </c>
      <c r="H78" s="192">
        <f>IF(G78&gt;0,0,(IF(-G78&lt;=30,E78,0)))</f>
        <v>0</v>
      </c>
      <c r="I78" s="192">
        <f>IF(G78&gt;=0,0,(IF(G78&gt;=-30,0,IF(-30&gt;=G78,IF(G78&gt;=-180,E78,0)))))</f>
        <v>8048000</v>
      </c>
      <c r="J78" s="192">
        <f>IF(G78&gt;=0,0,(IF(G78&gt;-60,0,IF(-60&gt;=G78,IF(G78&gt;-120,0,IF(G78&gt;=-180,0,IF(G78&gt;=-360,E78,0)))))))</f>
        <v>0</v>
      </c>
      <c r="K78" s="192">
        <f>IF(G78&gt;=0,0,IF(360&lt;-G78,E78,0))</f>
        <v>0</v>
      </c>
    </row>
    <row r="79" spans="1:11">
      <c r="A79" s="189" t="s">
        <v>94</v>
      </c>
      <c r="B79" s="190">
        <f>SUM(B76:B78)</f>
        <v>328000000</v>
      </c>
      <c r="C79" s="189"/>
      <c r="D79" s="189"/>
      <c r="E79" s="190">
        <f t="shared" ref="E79:F79" si="21">SUM(E76:E78)</f>
        <v>14859842</v>
      </c>
      <c r="F79" s="190">
        <f t="shared" si="21"/>
        <v>14859842</v>
      </c>
      <c r="G79" s="189"/>
      <c r="H79" s="190">
        <f t="shared" ref="H79:K79" si="22">SUM(H76:H78)</f>
        <v>0</v>
      </c>
      <c r="I79" s="190">
        <f t="shared" si="22"/>
        <v>14859842</v>
      </c>
      <c r="J79" s="190">
        <f t="shared" si="22"/>
        <v>0</v>
      </c>
      <c r="K79" s="190">
        <f t="shared" si="22"/>
        <v>0</v>
      </c>
    </row>
    <row r="80" spans="1:11">
      <c r="A80" s="191" t="s">
        <v>86</v>
      </c>
      <c r="B80" s="192">
        <v>345000000</v>
      </c>
      <c r="C80" s="191"/>
      <c r="D80" s="191"/>
      <c r="E80" s="191"/>
      <c r="F80" s="191"/>
      <c r="G80" s="191"/>
      <c r="H80" s="191"/>
      <c r="I80" s="191"/>
      <c r="J80" s="191"/>
      <c r="K80" s="191"/>
    </row>
    <row r="81" spans="1:11">
      <c r="A81" s="191"/>
      <c r="B81" s="191"/>
      <c r="C81" s="192">
        <v>14820000</v>
      </c>
      <c r="D81" s="193">
        <v>42745</v>
      </c>
      <c r="E81" s="192">
        <v>3540000</v>
      </c>
      <c r="F81" s="192">
        <v>3540000</v>
      </c>
      <c r="G81" s="191">
        <f>D81-$B$9</f>
        <v>-324</v>
      </c>
      <c r="H81" s="192">
        <f>IF(G81&gt;0,0,(IF(-G81&lt;=30,E81,0)))</f>
        <v>0</v>
      </c>
      <c r="I81" s="192">
        <f>IF(G81&gt;=0,0,(IF(G81&gt;=-30,0,IF(-30&gt;=G81,IF(G81&gt;=-180,E81,0)))))</f>
        <v>0</v>
      </c>
      <c r="J81" s="192">
        <f>IF(G81&gt;=0,0,(IF(G81&gt;-60,0,IF(-60&gt;=G81,IF(G81&gt;-120,0,IF(G81&gt;=-180,0,IF(G81&gt;=-360,E81,0)))))))</f>
        <v>3540000</v>
      </c>
      <c r="K81" s="192">
        <f>IF(G81&gt;=0,0,IF(360&lt;-G81,E81,0))</f>
        <v>0</v>
      </c>
    </row>
    <row r="82" spans="1:11">
      <c r="A82" s="191"/>
      <c r="B82" s="191"/>
      <c r="C82" s="192">
        <v>7672200</v>
      </c>
      <c r="D82" s="193">
        <v>42907</v>
      </c>
      <c r="E82" s="192">
        <v>7672200</v>
      </c>
      <c r="F82" s="192">
        <v>7672200</v>
      </c>
      <c r="G82" s="191">
        <f>D82-$B$9</f>
        <v>-162</v>
      </c>
      <c r="H82" s="192">
        <f>IF(G82&gt;0,0,(IF(-G82&lt;=30,E82,0)))</f>
        <v>0</v>
      </c>
      <c r="I82" s="192">
        <f>IF(G82&gt;=0,0,(IF(G82&gt;=-30,0,IF(-30&gt;=G82,IF(G82&gt;=-180,E82,0)))))</f>
        <v>7672200</v>
      </c>
      <c r="J82" s="192">
        <f>IF(G82&gt;=0,0,(IF(G82&gt;-60,0,IF(-60&gt;=G82,IF(G82&gt;-120,0,IF(G82&gt;=-180,0,IF(G82&gt;=-360,E82,0)))))))</f>
        <v>0</v>
      </c>
      <c r="K82" s="192">
        <f>IF(G82&gt;=0,0,IF(360&lt;-G82,E82,0))</f>
        <v>0</v>
      </c>
    </row>
    <row r="83" spans="1:11">
      <c r="A83" s="191"/>
      <c r="B83" s="191"/>
      <c r="C83" s="192">
        <v>15048000</v>
      </c>
      <c r="D83" s="193">
        <v>42943</v>
      </c>
      <c r="E83" s="192">
        <v>8048000</v>
      </c>
      <c r="F83" s="192">
        <v>8048000</v>
      </c>
      <c r="G83" s="191">
        <f>D83-$B$9</f>
        <v>-126</v>
      </c>
      <c r="H83" s="192">
        <f>IF(G83&gt;0,0,(IF(-G83&lt;=30,E83,0)))</f>
        <v>0</v>
      </c>
      <c r="I83" s="192">
        <f>IF(G83&gt;=0,0,(IF(G83&gt;=-30,0,IF(-30&gt;=G83,IF(G83&gt;=-180,E83,0)))))</f>
        <v>8048000</v>
      </c>
      <c r="J83" s="192">
        <f>IF(G83&gt;=0,0,(IF(G83&gt;-60,0,IF(-60&gt;=G83,IF(G83&gt;-120,0,IF(G83&gt;=-180,0,IF(G83&gt;=-360,E83,0)))))))</f>
        <v>0</v>
      </c>
      <c r="K83" s="192">
        <f>IF(G83&gt;=0,0,IF(360&lt;-G83,E83,0))</f>
        <v>0</v>
      </c>
    </row>
    <row r="84" spans="1:11">
      <c r="A84" s="189" t="s">
        <v>94</v>
      </c>
      <c r="B84" s="190">
        <f>SUM(B80:B83)</f>
        <v>345000000</v>
      </c>
      <c r="C84" s="189"/>
      <c r="D84" s="189"/>
      <c r="E84" s="190">
        <f t="shared" ref="E84:F84" si="23">SUM(E80:E83)</f>
        <v>19260200</v>
      </c>
      <c r="F84" s="190">
        <f t="shared" si="23"/>
        <v>19260200</v>
      </c>
      <c r="G84" s="189"/>
      <c r="H84" s="190">
        <f t="shared" ref="H84:K84" si="24">SUM(H80:H83)</f>
        <v>0</v>
      </c>
      <c r="I84" s="190">
        <f t="shared" si="24"/>
        <v>15720200</v>
      </c>
      <c r="J84" s="190">
        <f t="shared" si="24"/>
        <v>3540000</v>
      </c>
      <c r="K84" s="190">
        <f t="shared" si="24"/>
        <v>0</v>
      </c>
    </row>
    <row r="85" spans="1:11">
      <c r="A85" s="191" t="s">
        <v>86</v>
      </c>
      <c r="B85" s="192">
        <v>345000000</v>
      </c>
      <c r="C85" s="191"/>
      <c r="D85" s="191"/>
      <c r="E85" s="191"/>
      <c r="F85" s="191"/>
      <c r="G85" s="191"/>
      <c r="H85" s="191"/>
      <c r="I85" s="191"/>
      <c r="J85" s="191"/>
      <c r="K85" s="191"/>
    </row>
    <row r="86" spans="1:11">
      <c r="A86" s="191"/>
      <c r="B86" s="191"/>
      <c r="C86" s="192">
        <v>14820000</v>
      </c>
      <c r="D86" s="193">
        <v>42745</v>
      </c>
      <c r="E86" s="192">
        <v>3540000</v>
      </c>
      <c r="F86" s="192">
        <v>3540000</v>
      </c>
      <c r="G86" s="191">
        <f>D86-$B$9</f>
        <v>-324</v>
      </c>
      <c r="H86" s="192">
        <f>IF(G86&gt;0,0,(IF(-G86&lt;=30,E86,0)))</f>
        <v>0</v>
      </c>
      <c r="I86" s="192">
        <f>IF(G86&gt;=0,0,(IF(G86&gt;=-30,0,IF(-30&gt;=G86,IF(G86&gt;=-180,E86,0)))))</f>
        <v>0</v>
      </c>
      <c r="J86" s="192">
        <f>IF(G86&gt;=0,0,(IF(G86&gt;-60,0,IF(-60&gt;=G86,IF(G86&gt;-120,0,IF(G86&gt;=-180,0,IF(G86&gt;=-360,E86,0)))))))</f>
        <v>3540000</v>
      </c>
      <c r="K86" s="192">
        <f>IF(G86&gt;=0,0,IF(360&lt;-G86,E86,0))</f>
        <v>0</v>
      </c>
    </row>
    <row r="87" spans="1:11">
      <c r="A87" s="191"/>
      <c r="B87" s="191"/>
      <c r="C87" s="192">
        <v>7672200</v>
      </c>
      <c r="D87" s="193">
        <v>42907</v>
      </c>
      <c r="E87" s="192">
        <v>7672200</v>
      </c>
      <c r="F87" s="192">
        <v>7672200</v>
      </c>
      <c r="G87" s="191">
        <f>D87-$B$9</f>
        <v>-162</v>
      </c>
      <c r="H87" s="192">
        <f>IF(G87&gt;0,0,(IF(-G87&lt;=30,E87,0)))</f>
        <v>0</v>
      </c>
      <c r="I87" s="192">
        <f>IF(G87&gt;=0,0,(IF(G87&gt;=-30,0,IF(-30&gt;=G87,IF(G87&gt;=-180,E87,0)))))</f>
        <v>7672200</v>
      </c>
      <c r="J87" s="192">
        <f>IF(G87&gt;=0,0,(IF(G87&gt;-60,0,IF(-60&gt;=G87,IF(G87&gt;-120,0,IF(G87&gt;=-180,0,IF(G87&gt;=-360,E87,0)))))))</f>
        <v>0</v>
      </c>
      <c r="K87" s="192">
        <f>IF(G87&gt;=0,0,IF(360&lt;-G87,E87,0))</f>
        <v>0</v>
      </c>
    </row>
    <row r="88" spans="1:11">
      <c r="A88" s="191"/>
      <c r="B88" s="191"/>
      <c r="C88" s="192">
        <v>15048000</v>
      </c>
      <c r="D88" s="193">
        <v>42943</v>
      </c>
      <c r="E88" s="192">
        <v>8048000</v>
      </c>
      <c r="F88" s="192">
        <v>8048000</v>
      </c>
      <c r="G88" s="191">
        <f>D88-$B$9</f>
        <v>-126</v>
      </c>
      <c r="H88" s="192">
        <f>IF(G88&gt;0,0,(IF(-G88&lt;=30,E88,0)))</f>
        <v>0</v>
      </c>
      <c r="I88" s="192">
        <f>IF(G88&gt;=0,0,(IF(G88&gt;=-30,0,IF(-30&gt;=G88,IF(G88&gt;=-180,E88,0)))))</f>
        <v>8048000</v>
      </c>
      <c r="J88" s="192">
        <f>IF(G88&gt;=0,0,(IF(G88&gt;-60,0,IF(-60&gt;=G88,IF(G88&gt;-120,0,IF(G88&gt;=-180,0,IF(G88&gt;=-360,E88,0)))))))</f>
        <v>0</v>
      </c>
      <c r="K88" s="192">
        <f>IF(G88&gt;=0,0,IF(360&lt;-G88,E88,0))</f>
        <v>0</v>
      </c>
    </row>
    <row r="89" spans="1:11">
      <c r="A89" s="189" t="s">
        <v>94</v>
      </c>
      <c r="B89" s="190">
        <f>SUM(B85:B88)</f>
        <v>345000000</v>
      </c>
      <c r="C89" s="189"/>
      <c r="D89" s="189"/>
      <c r="E89" s="190">
        <f t="shared" ref="E89:F89" si="25">SUM(E85:E88)</f>
        <v>19260200</v>
      </c>
      <c r="F89" s="190">
        <f t="shared" si="25"/>
        <v>19260200</v>
      </c>
      <c r="G89" s="189"/>
      <c r="H89" s="190">
        <f t="shared" ref="H89:K89" si="26">SUM(H85:H88)</f>
        <v>0</v>
      </c>
      <c r="I89" s="190">
        <f t="shared" si="26"/>
        <v>15720200</v>
      </c>
      <c r="J89" s="190">
        <f t="shared" si="26"/>
        <v>3540000</v>
      </c>
      <c r="K89" s="190">
        <f t="shared" si="26"/>
        <v>0</v>
      </c>
    </row>
    <row r="90" spans="1:11">
      <c r="A90" s="191" t="s">
        <v>108</v>
      </c>
      <c r="B90" s="192">
        <v>128967954.74000001</v>
      </c>
      <c r="C90" s="191"/>
      <c r="D90" s="191"/>
      <c r="E90" s="191"/>
      <c r="F90" s="191"/>
      <c r="G90" s="191"/>
      <c r="H90" s="191"/>
      <c r="I90" s="191"/>
      <c r="J90" s="191"/>
      <c r="K90" s="191"/>
    </row>
    <row r="91" spans="1:11">
      <c r="A91" s="191"/>
      <c r="B91" s="191"/>
      <c r="C91" s="192">
        <v>12759699.097650804</v>
      </c>
      <c r="D91" s="193">
        <v>42988</v>
      </c>
      <c r="E91" s="192">
        <v>-2.3491960018873215E-3</v>
      </c>
      <c r="F91" s="192">
        <v>-2.3491960018873215E-3</v>
      </c>
      <c r="G91" s="191">
        <f>D91-$B$9</f>
        <v>-81</v>
      </c>
      <c r="H91" s="192">
        <f>IF(G91&gt;0,0,(IF(-G91&lt;=30,E91,0)))</f>
        <v>0</v>
      </c>
      <c r="I91" s="192">
        <f>IF(G91&gt;=0,0,(IF(G91&gt;=-30,0,IF(-30&gt;=G91,IF(G91&gt;=-180,E91,0)))))</f>
        <v>-2.3491960018873215E-3</v>
      </c>
      <c r="J91" s="192">
        <f>IF(G91&gt;=0,0,(IF(G91&gt;-60,0,IF(-60&gt;=G91,IF(G91&gt;-120,0,IF(G91&gt;=-180,0,IF(G91&gt;=-360,E91,0)))))))</f>
        <v>0</v>
      </c>
      <c r="K91" s="192">
        <f>IF(G91&gt;=0,0,IF(360&lt;-G91,E91,0))</f>
        <v>0</v>
      </c>
    </row>
    <row r="92" spans="1:11">
      <c r="A92" s="191"/>
      <c r="B92" s="191"/>
      <c r="C92" s="192">
        <v>610000</v>
      </c>
      <c r="D92" s="193">
        <v>43064</v>
      </c>
      <c r="E92" s="192">
        <v>610000</v>
      </c>
      <c r="F92" s="192">
        <v>610000</v>
      </c>
      <c r="G92" s="191">
        <f>D92-$B$9</f>
        <v>-5</v>
      </c>
      <c r="H92" s="192">
        <f>IF(G92&gt;0,0,(IF(-G92&lt;=30,E92,0)))</f>
        <v>610000</v>
      </c>
      <c r="I92" s="192">
        <f>IF(G92&gt;=0,0,(IF(G92&gt;=-30,0,IF(-30&gt;=G92,IF(G92&gt;=-180,E92,0)))))</f>
        <v>0</v>
      </c>
      <c r="J92" s="192">
        <f>IF(G92&gt;=0,0,(IF(G92&gt;-60,0,IF(-60&gt;=G92,IF(G92&gt;-120,0,IF(G92&gt;=-180,0,IF(G92&gt;=-360,E92,0)))))))</f>
        <v>0</v>
      </c>
      <c r="K92" s="192">
        <f>IF(G92&gt;=0,0,IF(360&lt;-G92,E92,0))</f>
        <v>0</v>
      </c>
    </row>
    <row r="93" spans="1:11">
      <c r="A93" s="191"/>
      <c r="B93" s="191"/>
      <c r="C93" s="192">
        <v>16238940.07</v>
      </c>
      <c r="D93" s="193">
        <v>43084</v>
      </c>
      <c r="E93" s="192">
        <v>16238940.07</v>
      </c>
      <c r="F93" s="192">
        <v>0</v>
      </c>
      <c r="G93" s="191">
        <f>D93-$B$9</f>
        <v>15</v>
      </c>
      <c r="H93" s="192">
        <f>IF(G93&gt;0,0,(IF(-G93&lt;=30,E93,0)))</f>
        <v>0</v>
      </c>
      <c r="I93" s="192">
        <f>IF(G93&gt;=0,0,(IF(G93&gt;=-30,0,IF(-30&gt;=G93,IF(G93&gt;=-180,E93,0)))))</f>
        <v>0</v>
      </c>
      <c r="J93" s="192">
        <f>IF(G93&gt;=0,0,(IF(G93&gt;-60,0,IF(-60&gt;=G93,IF(G93&gt;-120,0,IF(G93&gt;=-180,0,IF(G93&gt;=-360,E93,0)))))))</f>
        <v>0</v>
      </c>
      <c r="K93" s="192">
        <f>IF(G93&gt;=0,0,IF(360&lt;-G93,E93,0))</f>
        <v>0</v>
      </c>
    </row>
    <row r="94" spans="1:11">
      <c r="A94" s="191"/>
      <c r="B94" s="191"/>
      <c r="C94" s="192">
        <v>263092.8</v>
      </c>
      <c r="D94" s="193">
        <v>42808</v>
      </c>
      <c r="E94" s="192">
        <v>263092.8</v>
      </c>
      <c r="F94" s="192">
        <v>263092.8</v>
      </c>
      <c r="G94" s="191">
        <f>D94-$B$9</f>
        <v>-261</v>
      </c>
      <c r="H94" s="192">
        <f>IF(G94&gt;0,0,(IF(-G94&lt;=30,E94,0)))</f>
        <v>0</v>
      </c>
      <c r="I94" s="192">
        <f>IF(G94&gt;=0,0,(IF(G94&gt;=-30,0,IF(-30&gt;=G94,IF(G94&gt;=-180,E94,0)))))</f>
        <v>0</v>
      </c>
      <c r="J94" s="192">
        <f>IF(G94&gt;=0,0,(IF(G94&gt;-60,0,IF(-60&gt;=G94,IF(G94&gt;-120,0,IF(G94&gt;=-180,0,IF(G94&gt;=-360,E94,0)))))))</f>
        <v>263092.8</v>
      </c>
      <c r="K94" s="192">
        <f>IF(G94&gt;=0,0,IF(360&lt;-G94,E94,0))</f>
        <v>0</v>
      </c>
    </row>
    <row r="95" spans="1:11">
      <c r="A95" s="191"/>
      <c r="B95" s="191"/>
      <c r="C95" s="192">
        <v>250083.85199999998</v>
      </c>
      <c r="D95" s="193">
        <v>42811</v>
      </c>
      <c r="E95" s="192">
        <v>250083.85199999998</v>
      </c>
      <c r="F95" s="192">
        <v>250083.85199999998</v>
      </c>
      <c r="G95" s="191">
        <f>D95-$B$9</f>
        <v>-258</v>
      </c>
      <c r="H95" s="192">
        <f>IF(G95&gt;0,0,(IF(-G95&lt;=30,E95,0)))</f>
        <v>0</v>
      </c>
      <c r="I95" s="192">
        <f>IF(G95&gt;=0,0,(IF(G95&gt;=-30,0,IF(-30&gt;=G95,IF(G95&gt;=-180,E95,0)))))</f>
        <v>0</v>
      </c>
      <c r="J95" s="192">
        <f>IF(G95&gt;=0,0,(IF(G95&gt;-60,0,IF(-60&gt;=G95,IF(G95&gt;-120,0,IF(G95&gt;=-180,0,IF(G95&gt;=-360,E95,0)))))))</f>
        <v>250083.85199999998</v>
      </c>
      <c r="K95" s="192">
        <f>IF(G95&gt;=0,0,IF(360&lt;-G95,E95,0))</f>
        <v>0</v>
      </c>
    </row>
    <row r="96" spans="1:11">
      <c r="A96" s="189" t="s">
        <v>94</v>
      </c>
      <c r="B96" s="190">
        <f>SUM(B90:B95)</f>
        <v>128967954.74000001</v>
      </c>
      <c r="C96" s="189"/>
      <c r="D96" s="189"/>
      <c r="E96" s="190">
        <f t="shared" ref="E96:F96" si="27">SUM(E90:E95)</f>
        <v>17362116.719650805</v>
      </c>
      <c r="F96" s="190">
        <f t="shared" si="27"/>
        <v>1123176.649650804</v>
      </c>
      <c r="G96" s="189"/>
      <c r="H96" s="190">
        <f t="shared" ref="H96:K96" si="28">SUM(H90:H95)</f>
        <v>610000</v>
      </c>
      <c r="I96" s="190">
        <f t="shared" si="28"/>
        <v>-2.3491960018873215E-3</v>
      </c>
      <c r="J96" s="190">
        <f t="shared" si="28"/>
        <v>513176.652</v>
      </c>
      <c r="K96" s="190">
        <f t="shared" si="28"/>
        <v>0</v>
      </c>
    </row>
    <row r="97" spans="1:11">
      <c r="A97" s="191" t="s">
        <v>18</v>
      </c>
      <c r="B97" s="192">
        <v>264876705.00959998</v>
      </c>
      <c r="C97" s="191"/>
      <c r="D97" s="191"/>
      <c r="E97" s="191"/>
      <c r="F97" s="191"/>
      <c r="G97" s="191"/>
      <c r="H97" s="191"/>
      <c r="I97" s="191"/>
      <c r="J97" s="191"/>
      <c r="K97" s="191"/>
    </row>
    <row r="98" spans="1:11">
      <c r="A98" s="191"/>
      <c r="B98" s="191"/>
      <c r="C98" s="192">
        <v>11362625.74296</v>
      </c>
      <c r="D98" s="193">
        <v>42888</v>
      </c>
      <c r="E98" s="192">
        <v>11362625.74296</v>
      </c>
      <c r="F98" s="192">
        <v>11362625.74296</v>
      </c>
      <c r="G98" s="191">
        <f t="shared" ref="G98:G103" si="29">D98-$B$9</f>
        <v>-181</v>
      </c>
      <c r="H98" s="192">
        <f t="shared" ref="H98:H103" si="30">IF(G98&gt;0,0,(IF(-G98&lt;=30,E98,0)))</f>
        <v>0</v>
      </c>
      <c r="I98" s="192">
        <f t="shared" ref="I98:I103" si="31">IF(G98&gt;=0,0,(IF(G98&gt;=-30,0,IF(-30&gt;=G98,IF(G98&gt;=-180,E98,0)))))</f>
        <v>0</v>
      </c>
      <c r="J98" s="192">
        <f t="shared" ref="J98:J103" si="32">IF(G98&gt;=0,0,(IF(G98&gt;-60,0,IF(-60&gt;=G98,IF(G98&gt;-120,0,IF(G98&gt;=-180,0,IF(G98&gt;=-360,E98,0)))))))</f>
        <v>11362625.74296</v>
      </c>
      <c r="K98" s="192">
        <f t="shared" ref="K98:K103" si="33">IF(G98&gt;=0,0,IF(360&lt;-G98,E98,0))</f>
        <v>0</v>
      </c>
    </row>
    <row r="99" spans="1:11">
      <c r="A99" s="191"/>
      <c r="B99" s="191"/>
      <c r="C99" s="192">
        <v>12204389.600820001</v>
      </c>
      <c r="D99" s="193">
        <v>42912</v>
      </c>
      <c r="E99" s="192">
        <v>12204389.600820001</v>
      </c>
      <c r="F99" s="192">
        <v>12204389.600820001</v>
      </c>
      <c r="G99" s="191">
        <f t="shared" si="29"/>
        <v>-157</v>
      </c>
      <c r="H99" s="192">
        <f t="shared" si="30"/>
        <v>0</v>
      </c>
      <c r="I99" s="192">
        <f t="shared" si="31"/>
        <v>12204389.600820001</v>
      </c>
      <c r="J99" s="192">
        <f t="shared" si="32"/>
        <v>0</v>
      </c>
      <c r="K99" s="192">
        <f t="shared" si="33"/>
        <v>0</v>
      </c>
    </row>
    <row r="100" spans="1:11">
      <c r="A100" s="191"/>
      <c r="B100" s="191"/>
      <c r="C100" s="192">
        <v>11653584.31206</v>
      </c>
      <c r="D100" s="193">
        <v>42931</v>
      </c>
      <c r="E100" s="192">
        <v>11653584.31206</v>
      </c>
      <c r="F100" s="192">
        <v>11653584.31206</v>
      </c>
      <c r="G100" s="191">
        <f t="shared" si="29"/>
        <v>-138</v>
      </c>
      <c r="H100" s="192">
        <f t="shared" si="30"/>
        <v>0</v>
      </c>
      <c r="I100" s="192">
        <f t="shared" si="31"/>
        <v>11653584.31206</v>
      </c>
      <c r="J100" s="192">
        <f t="shared" si="32"/>
        <v>0</v>
      </c>
      <c r="K100" s="192">
        <f t="shared" si="33"/>
        <v>0</v>
      </c>
    </row>
    <row r="101" spans="1:11">
      <c r="A101" s="191"/>
      <c r="B101" s="191"/>
      <c r="C101" s="192">
        <v>-11362625.74296</v>
      </c>
      <c r="D101" s="193">
        <v>42888</v>
      </c>
      <c r="E101" s="192">
        <v>-11362625.74296</v>
      </c>
      <c r="F101" s="192">
        <v>-11362625.74296</v>
      </c>
      <c r="G101" s="191">
        <f t="shared" si="29"/>
        <v>-181</v>
      </c>
      <c r="H101" s="192">
        <f t="shared" si="30"/>
        <v>0</v>
      </c>
      <c r="I101" s="192">
        <f t="shared" si="31"/>
        <v>0</v>
      </c>
      <c r="J101" s="192">
        <f t="shared" si="32"/>
        <v>-11362625.74296</v>
      </c>
      <c r="K101" s="192">
        <f t="shared" si="33"/>
        <v>0</v>
      </c>
    </row>
    <row r="102" spans="1:11">
      <c r="A102" s="191"/>
      <c r="B102" s="191"/>
      <c r="C102" s="192">
        <v>-12204389.600820001</v>
      </c>
      <c r="D102" s="193">
        <v>42912</v>
      </c>
      <c r="E102" s="192">
        <v>-12204389.600820001</v>
      </c>
      <c r="F102" s="192">
        <v>-12204389.600820001</v>
      </c>
      <c r="G102" s="191">
        <f t="shared" si="29"/>
        <v>-157</v>
      </c>
      <c r="H102" s="192">
        <f t="shared" si="30"/>
        <v>0</v>
      </c>
      <c r="I102" s="192">
        <f t="shared" si="31"/>
        <v>-12204389.600820001</v>
      </c>
      <c r="J102" s="192">
        <f t="shared" si="32"/>
        <v>0</v>
      </c>
      <c r="K102" s="192">
        <f t="shared" si="33"/>
        <v>0</v>
      </c>
    </row>
    <row r="103" spans="1:11">
      <c r="A103" s="191"/>
      <c r="B103" s="191"/>
      <c r="C103" s="192">
        <v>-11653584.31206</v>
      </c>
      <c r="D103" s="193">
        <v>43084</v>
      </c>
      <c r="E103" s="192">
        <v>-11653584.31206</v>
      </c>
      <c r="F103" s="192">
        <v>0</v>
      </c>
      <c r="G103" s="191">
        <f t="shared" si="29"/>
        <v>15</v>
      </c>
      <c r="H103" s="192">
        <f t="shared" si="30"/>
        <v>0</v>
      </c>
      <c r="I103" s="192">
        <f t="shared" si="31"/>
        <v>0</v>
      </c>
      <c r="J103" s="192">
        <f t="shared" si="32"/>
        <v>0</v>
      </c>
      <c r="K103" s="192">
        <f t="shared" si="33"/>
        <v>0</v>
      </c>
    </row>
    <row r="104" spans="1:11">
      <c r="A104" s="189" t="s">
        <v>94</v>
      </c>
      <c r="B104" s="190">
        <f>SUM(B97:B103)</f>
        <v>264876705.00959998</v>
      </c>
      <c r="C104" s="189"/>
      <c r="D104" s="189"/>
      <c r="E104" s="190">
        <f t="shared" ref="E104:F104" si="34">SUM(E97:E103)</f>
        <v>0</v>
      </c>
      <c r="F104" s="190">
        <f t="shared" si="34"/>
        <v>11653584.312060002</v>
      </c>
      <c r="G104" s="189"/>
      <c r="H104" s="190">
        <f t="shared" ref="H104:K104" si="35">SUM(H97:H103)</f>
        <v>0</v>
      </c>
      <c r="I104" s="190">
        <f t="shared" si="35"/>
        <v>11653584.312060002</v>
      </c>
      <c r="J104" s="190">
        <f t="shared" si="35"/>
        <v>0</v>
      </c>
      <c r="K104" s="190">
        <f t="shared" si="35"/>
        <v>0</v>
      </c>
    </row>
  </sheetData>
  <mergeCells count="1">
    <mergeCell ref="A5:K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"/>
  <sheetViews>
    <sheetView workbookViewId="0">
      <selection sqref="A1:B2"/>
    </sheetView>
  </sheetViews>
  <sheetFormatPr baseColWidth="10" defaultColWidth="11.42578125" defaultRowHeight="16.5"/>
  <cols>
    <col min="1" max="4" width="11.7109375" style="5" customWidth="1"/>
    <col min="5" max="5" width="13.28515625" style="5" bestFit="1" customWidth="1"/>
    <col min="6" max="6" width="12.42578125" style="5" customWidth="1"/>
    <col min="7" max="8" width="11.7109375" style="5" customWidth="1"/>
    <col min="9" max="9" width="13.28515625" style="5" bestFit="1" customWidth="1"/>
    <col min="10" max="10" width="13.5703125" style="5" customWidth="1"/>
    <col min="11" max="11" width="13" style="5" customWidth="1"/>
    <col min="12" max="14" width="11.7109375" style="5" customWidth="1"/>
    <col min="15" max="15" width="12.85546875" style="5" bestFit="1" customWidth="1"/>
    <col min="16" max="16" width="12.7109375" style="5" customWidth="1"/>
    <col min="17" max="22" width="11.7109375" style="5" customWidth="1"/>
    <col min="23" max="23" width="11.42578125" style="5"/>
    <col min="24" max="24" width="12.7109375" style="5" bestFit="1" customWidth="1"/>
    <col min="25" max="16384" width="11.42578125" style="5"/>
  </cols>
  <sheetData>
    <row r="1" spans="1:24" ht="21" customHeight="1">
      <c r="A1" s="259" t="s">
        <v>11</v>
      </c>
      <c r="B1" s="260"/>
      <c r="C1" s="263" t="s">
        <v>73</v>
      </c>
      <c r="D1" s="263"/>
      <c r="E1" s="263"/>
      <c r="F1" s="265" t="s">
        <v>74</v>
      </c>
      <c r="G1" s="267" t="s">
        <v>12</v>
      </c>
      <c r="H1" s="268"/>
      <c r="I1" s="268"/>
      <c r="J1" s="269"/>
      <c r="K1" s="1" t="s">
        <v>13</v>
      </c>
      <c r="L1" s="2"/>
      <c r="M1" s="270">
        <v>259394877.09959999</v>
      </c>
      <c r="N1" s="270"/>
      <c r="O1" s="3" t="s">
        <v>14</v>
      </c>
      <c r="P1" s="4">
        <v>33364</v>
      </c>
    </row>
    <row r="2" spans="1:24" ht="21">
      <c r="A2" s="261"/>
      <c r="B2" s="262"/>
      <c r="C2" s="264"/>
      <c r="D2" s="264"/>
      <c r="E2" s="264"/>
      <c r="F2" s="266"/>
      <c r="G2" s="6" t="s">
        <v>15</v>
      </c>
      <c r="H2" s="7"/>
      <c r="I2" s="8">
        <v>45</v>
      </c>
      <c r="J2" s="9"/>
      <c r="K2" s="10" t="s">
        <v>16</v>
      </c>
      <c r="L2" s="11"/>
      <c r="M2" s="258"/>
      <c r="N2" s="258"/>
      <c r="O2" s="11"/>
      <c r="P2" s="12"/>
    </row>
    <row r="3" spans="1:24" ht="16.5" customHeight="1">
      <c r="A3" s="261" t="s">
        <v>17</v>
      </c>
      <c r="B3" s="262"/>
      <c r="C3" s="264" t="s">
        <v>18</v>
      </c>
      <c r="D3" s="264"/>
      <c r="E3" s="264"/>
      <c r="F3" s="13"/>
      <c r="G3" s="6" t="s">
        <v>19</v>
      </c>
      <c r="H3" s="7"/>
      <c r="I3" s="14" t="s">
        <v>20</v>
      </c>
      <c r="J3" s="15"/>
      <c r="K3" s="10" t="s">
        <v>21</v>
      </c>
      <c r="L3" s="11"/>
      <c r="M3" s="258">
        <v>3167960.99</v>
      </c>
      <c r="N3" s="258"/>
      <c r="O3" s="11"/>
      <c r="P3" s="12"/>
    </row>
    <row r="4" spans="1:24">
      <c r="A4" s="261"/>
      <c r="B4" s="262"/>
      <c r="C4" s="264"/>
      <c r="D4" s="264"/>
      <c r="E4" s="264"/>
      <c r="F4" s="16"/>
      <c r="G4" s="6" t="s">
        <v>22</v>
      </c>
      <c r="H4" s="7"/>
      <c r="I4" s="17">
        <v>0.2</v>
      </c>
      <c r="J4" s="15"/>
      <c r="K4" s="10" t="s">
        <v>23</v>
      </c>
      <c r="L4" s="11"/>
      <c r="M4" s="258">
        <v>2313866.92</v>
      </c>
      <c r="N4" s="258"/>
      <c r="O4" s="11"/>
      <c r="P4" s="12"/>
    </row>
    <row r="5" spans="1:24">
      <c r="A5" s="194" t="s">
        <v>24</v>
      </c>
      <c r="B5" s="18"/>
      <c r="C5" s="18"/>
      <c r="D5" s="19" t="s">
        <v>75</v>
      </c>
      <c r="E5" s="20"/>
      <c r="F5" s="21"/>
      <c r="G5" s="6" t="s">
        <v>25</v>
      </c>
      <c r="H5" s="7"/>
      <c r="I5" s="14"/>
      <c r="J5" s="15" t="s">
        <v>26</v>
      </c>
      <c r="K5" s="10" t="s">
        <v>27</v>
      </c>
      <c r="L5" s="11"/>
      <c r="M5" s="258"/>
      <c r="N5" s="258"/>
      <c r="O5" s="11"/>
      <c r="P5" s="12"/>
    </row>
    <row r="6" spans="1:24">
      <c r="A6" s="194" t="s">
        <v>76</v>
      </c>
      <c r="B6" s="18"/>
      <c r="C6" s="18"/>
      <c r="D6" s="22" t="s">
        <v>79</v>
      </c>
      <c r="E6" s="23"/>
      <c r="F6" s="24"/>
      <c r="G6" s="6"/>
      <c r="H6" s="14" t="s">
        <v>28</v>
      </c>
      <c r="I6" s="25">
        <v>0.125</v>
      </c>
      <c r="J6" s="15" t="s">
        <v>29</v>
      </c>
      <c r="K6" s="26"/>
      <c r="L6" s="11"/>
      <c r="M6" s="258"/>
      <c r="N6" s="258"/>
      <c r="O6" s="11"/>
      <c r="P6" s="12"/>
    </row>
    <row r="7" spans="1:24">
      <c r="A7" s="194" t="s">
        <v>77</v>
      </c>
      <c r="B7" s="18"/>
      <c r="C7" s="18"/>
      <c r="D7" s="22" t="s">
        <v>80</v>
      </c>
      <c r="E7" s="23"/>
      <c r="F7" s="24"/>
      <c r="G7" s="6"/>
      <c r="H7" s="14" t="s">
        <v>30</v>
      </c>
      <c r="I7" s="27">
        <v>7.0000000000000007E-2</v>
      </c>
      <c r="J7" s="15" t="s">
        <v>29</v>
      </c>
      <c r="K7" s="28" t="s">
        <v>31</v>
      </c>
      <c r="L7" s="29"/>
      <c r="M7" s="274">
        <f>SUM(M1:M6)</f>
        <v>264876705.00959998</v>
      </c>
      <c r="N7" s="274"/>
      <c r="O7" s="11"/>
      <c r="P7" s="12"/>
    </row>
    <row r="8" spans="1:24">
      <c r="A8" s="30" t="s">
        <v>78</v>
      </c>
      <c r="B8" s="31"/>
      <c r="C8" s="31"/>
      <c r="D8" s="32" t="s">
        <v>81</v>
      </c>
      <c r="E8" s="33"/>
      <c r="F8" s="34"/>
      <c r="G8" s="35"/>
      <c r="H8" s="36" t="s">
        <v>32</v>
      </c>
      <c r="I8" s="37">
        <v>0.03</v>
      </c>
      <c r="J8" s="38" t="s">
        <v>29</v>
      </c>
      <c r="K8" s="39" t="s">
        <v>33</v>
      </c>
      <c r="L8" s="40"/>
      <c r="M8" s="275">
        <f>+M7*(1+$I$4)</f>
        <v>317852046.01151997</v>
      </c>
      <c r="N8" s="275"/>
      <c r="O8" s="41"/>
      <c r="P8" s="42"/>
    </row>
    <row r="10" spans="1:24">
      <c r="B10" s="5" t="s">
        <v>34</v>
      </c>
      <c r="C10" s="43">
        <v>43069</v>
      </c>
      <c r="E10" s="44"/>
      <c r="F10" s="45"/>
      <c r="G10" s="46">
        <v>0.1</v>
      </c>
      <c r="H10" s="47">
        <v>0.02</v>
      </c>
      <c r="O10" s="276" t="s">
        <v>35</v>
      </c>
      <c r="P10" s="277"/>
    </row>
    <row r="11" spans="1:24" ht="60">
      <c r="A11" s="48" t="s">
        <v>36</v>
      </c>
      <c r="B11" s="49" t="s">
        <v>37</v>
      </c>
      <c r="C11" s="49" t="s">
        <v>38</v>
      </c>
      <c r="D11" s="48" t="s">
        <v>39</v>
      </c>
      <c r="E11" s="49" t="s">
        <v>40</v>
      </c>
      <c r="F11" s="49" t="s">
        <v>41</v>
      </c>
      <c r="G11" s="49" t="s">
        <v>42</v>
      </c>
      <c r="H11" s="49" t="s">
        <v>43</v>
      </c>
      <c r="I11" s="49" t="s">
        <v>44</v>
      </c>
      <c r="J11" s="49" t="s">
        <v>45</v>
      </c>
      <c r="K11" s="49" t="s">
        <v>46</v>
      </c>
      <c r="L11" s="49" t="s">
        <v>47</v>
      </c>
      <c r="M11" s="49" t="s">
        <v>48</v>
      </c>
      <c r="N11" s="49" t="s">
        <v>49</v>
      </c>
      <c r="O11" s="49" t="s">
        <v>50</v>
      </c>
      <c r="P11" s="49" t="s">
        <v>51</v>
      </c>
      <c r="R11" s="50" t="s">
        <v>52</v>
      </c>
      <c r="S11" s="50" t="s">
        <v>53</v>
      </c>
      <c r="T11" s="50" t="s">
        <v>54</v>
      </c>
      <c r="U11" s="50" t="s">
        <v>55</v>
      </c>
      <c r="V11" s="50" t="s">
        <v>56</v>
      </c>
      <c r="X11" s="50" t="s">
        <v>57</v>
      </c>
    </row>
    <row r="12" spans="1:24">
      <c r="A12" s="56">
        <v>1</v>
      </c>
      <c r="B12" s="56">
        <v>1133000010</v>
      </c>
      <c r="C12" s="58">
        <v>42674</v>
      </c>
      <c r="D12" s="59">
        <v>42644</v>
      </c>
      <c r="E12" s="51">
        <v>3730304.77</v>
      </c>
      <c r="F12" s="51">
        <v>-1016288.09</v>
      </c>
      <c r="G12" s="51">
        <v>0</v>
      </c>
      <c r="H12" s="51">
        <f t="shared" ref="H12:H22" si="0">+E12*$H$10</f>
        <v>74606.095400000006</v>
      </c>
      <c r="I12" s="51">
        <f t="shared" ref="I12:I18" si="1">+E12+F12-G12-H12</f>
        <v>2639410.5846000002</v>
      </c>
      <c r="J12" s="51">
        <f t="shared" ref="J12:J22" si="2">+I12+(I12*$I$4)</f>
        <v>3167292.7015200001</v>
      </c>
      <c r="K12" s="51">
        <f>+J12</f>
        <v>3167292.7015200001</v>
      </c>
      <c r="L12" s="52">
        <v>42735</v>
      </c>
      <c r="M12" s="52">
        <v>42741</v>
      </c>
      <c r="N12" s="53">
        <f t="shared" ref="N12:N22" si="3">-IF(L12=0,,IF(M12=0,($C$10-L12),M12-L12))</f>
        <v>-6</v>
      </c>
      <c r="O12" s="51">
        <f t="shared" ref="O12:O22" si="4">+J12-K12</f>
        <v>0</v>
      </c>
      <c r="P12" s="51">
        <f t="shared" ref="P12:P22" si="5">+IF($C$10&lt;L12,0,O12)</f>
        <v>0</v>
      </c>
      <c r="Q12" s="54"/>
      <c r="R12" s="55">
        <f t="shared" ref="R12:R22" si="6">IF(N12&gt;=0,0,(IF(-N12&lt;=60,O12,0)))</f>
        <v>0</v>
      </c>
      <c r="S12" s="55">
        <f t="shared" ref="S12:S22" si="7">IF(N12&gt;=0,0,(IF(N12&gt;=-60,0,IF(-60&gt;=N12,IF(N12&gt;=-120,O12,0)))))</f>
        <v>0</v>
      </c>
      <c r="T12" s="55">
        <f t="shared" ref="T12:T22" si="8">IF(N12&gt;=0,0,(IF(N12&gt;-60,0,IF(-60&gt;=N12,IF(N12&gt;=-120,0,IF(N12&gt;=-180,O12,0))))))</f>
        <v>0</v>
      </c>
      <c r="U12" s="55">
        <f t="shared" ref="U12:U22" si="9">IF(N12&gt;=0,0,(IF(N12&gt;-60,0,IF(-60&gt;=N12,IF(N12&gt;-120,0,IF(N12&gt;=-180,0,IF(N12&gt;=-365,O12,0)))))))</f>
        <v>0</v>
      </c>
      <c r="V12" s="55">
        <f t="shared" ref="V12:V22" si="10">IF(N12&gt;=0,0,IF(365&lt;-N12,O12,0))</f>
        <v>0</v>
      </c>
      <c r="X12" s="60">
        <f t="shared" ref="X12:X16" si="11">+(J12*N12*(2.25+3)/100)/(365)</f>
        <v>-2733.4169889830141</v>
      </c>
    </row>
    <row r="13" spans="1:24">
      <c r="A13" s="56">
        <v>2</v>
      </c>
      <c r="B13" s="56">
        <v>1133000011</v>
      </c>
      <c r="C13" s="58">
        <v>42704</v>
      </c>
      <c r="D13" s="59">
        <v>42675</v>
      </c>
      <c r="E13" s="51">
        <v>4590101</v>
      </c>
      <c r="F13" s="51">
        <v>-923762.62454242073</v>
      </c>
      <c r="G13" s="51">
        <v>0</v>
      </c>
      <c r="H13" s="51">
        <f t="shared" si="0"/>
        <v>91802.02</v>
      </c>
      <c r="I13" s="51">
        <f t="shared" si="1"/>
        <v>3574536.3554575793</v>
      </c>
      <c r="J13" s="51">
        <f t="shared" si="2"/>
        <v>4289443.6265490949</v>
      </c>
      <c r="K13" s="51">
        <f>+J13</f>
        <v>4289443.6265490949</v>
      </c>
      <c r="L13" s="52">
        <v>42768</v>
      </c>
      <c r="M13" s="52">
        <v>42769</v>
      </c>
      <c r="N13" s="53">
        <f t="shared" si="3"/>
        <v>-1</v>
      </c>
      <c r="O13" s="51">
        <f t="shared" si="4"/>
        <v>0</v>
      </c>
      <c r="P13" s="51">
        <f t="shared" si="5"/>
        <v>0</v>
      </c>
      <c r="Q13" s="54"/>
      <c r="R13" s="55">
        <f t="shared" si="6"/>
        <v>0</v>
      </c>
      <c r="S13" s="55">
        <f t="shared" si="7"/>
        <v>0</v>
      </c>
      <c r="T13" s="55">
        <f t="shared" si="8"/>
        <v>0</v>
      </c>
      <c r="U13" s="55">
        <f t="shared" si="9"/>
        <v>0</v>
      </c>
      <c r="V13" s="55">
        <f t="shared" si="10"/>
        <v>0</v>
      </c>
      <c r="X13" s="60">
        <f t="shared" si="11"/>
        <v>-616.97476820226711</v>
      </c>
    </row>
    <row r="14" spans="1:24">
      <c r="A14" s="56">
        <v>3</v>
      </c>
      <c r="B14" s="56">
        <v>1133000012</v>
      </c>
      <c r="C14" s="58">
        <v>42735</v>
      </c>
      <c r="D14" s="59">
        <v>42705</v>
      </c>
      <c r="E14" s="51">
        <v>8626044.8608809095</v>
      </c>
      <c r="F14" s="51">
        <v>-665755.60761011392</v>
      </c>
      <c r="G14" s="51">
        <v>0</v>
      </c>
      <c r="H14" s="51">
        <f t="shared" si="0"/>
        <v>172520.89721761819</v>
      </c>
      <c r="I14" s="51">
        <f t="shared" si="1"/>
        <v>7787768.3560531773</v>
      </c>
      <c r="J14" s="51">
        <f t="shared" si="2"/>
        <v>9345322.0272638127</v>
      </c>
      <c r="K14" s="51">
        <f>+J14</f>
        <v>9345322.0272638127</v>
      </c>
      <c r="L14" s="52">
        <v>42797</v>
      </c>
      <c r="M14" s="52">
        <v>42811</v>
      </c>
      <c r="N14" s="53">
        <f t="shared" si="3"/>
        <v>-14</v>
      </c>
      <c r="O14" s="51">
        <f t="shared" si="4"/>
        <v>0</v>
      </c>
      <c r="P14" s="51">
        <f t="shared" si="5"/>
        <v>0</v>
      </c>
      <c r="Q14" s="54"/>
      <c r="R14" s="55">
        <f t="shared" si="6"/>
        <v>0</v>
      </c>
      <c r="S14" s="55">
        <f t="shared" si="7"/>
        <v>0</v>
      </c>
      <c r="T14" s="55">
        <f t="shared" si="8"/>
        <v>0</v>
      </c>
      <c r="U14" s="55">
        <f t="shared" si="9"/>
        <v>0</v>
      </c>
      <c r="V14" s="55">
        <f t="shared" si="10"/>
        <v>0</v>
      </c>
      <c r="X14" s="60">
        <f t="shared" si="11"/>
        <v>-18818.662164490146</v>
      </c>
    </row>
    <row r="15" spans="1:24">
      <c r="A15" s="56">
        <v>4</v>
      </c>
      <c r="B15" s="56">
        <v>1133000013</v>
      </c>
      <c r="C15" s="58">
        <v>42766</v>
      </c>
      <c r="D15" s="59">
        <v>42736</v>
      </c>
      <c r="E15" s="51">
        <v>6280153.9800000004</v>
      </c>
      <c r="F15" s="51">
        <f>-0.125*E15</f>
        <v>-785019.24750000006</v>
      </c>
      <c r="G15" s="51">
        <v>0</v>
      </c>
      <c r="H15" s="51">
        <f t="shared" si="0"/>
        <v>125603.07960000001</v>
      </c>
      <c r="I15" s="51">
        <f t="shared" si="1"/>
        <v>5369531.6529000001</v>
      </c>
      <c r="J15" s="51">
        <f t="shared" si="2"/>
        <v>6443437.9834799999</v>
      </c>
      <c r="K15" s="51">
        <f t="shared" ref="K15:K16" si="12">+J15</f>
        <v>6443437.9834799999</v>
      </c>
      <c r="L15" s="52">
        <v>42818</v>
      </c>
      <c r="M15" s="52">
        <v>42829</v>
      </c>
      <c r="N15" s="53">
        <f t="shared" si="3"/>
        <v>-11</v>
      </c>
      <c r="O15" s="51">
        <f t="shared" si="4"/>
        <v>0</v>
      </c>
      <c r="P15" s="51">
        <f t="shared" si="5"/>
        <v>0</v>
      </c>
      <c r="Q15" s="54"/>
      <c r="R15" s="55">
        <f t="shared" si="6"/>
        <v>0</v>
      </c>
      <c r="S15" s="55">
        <f t="shared" si="7"/>
        <v>0</v>
      </c>
      <c r="T15" s="55">
        <f t="shared" si="8"/>
        <v>0</v>
      </c>
      <c r="U15" s="55">
        <f t="shared" si="9"/>
        <v>0</v>
      </c>
      <c r="V15" s="55">
        <f t="shared" si="10"/>
        <v>0</v>
      </c>
      <c r="X15" s="60">
        <f t="shared" si="11"/>
        <v>-10194.754617697807</v>
      </c>
    </row>
    <row r="16" spans="1:24">
      <c r="A16" s="56">
        <v>5</v>
      </c>
      <c r="B16" s="56">
        <v>1133000014</v>
      </c>
      <c r="C16" s="58">
        <v>42794</v>
      </c>
      <c r="D16" s="59">
        <v>42767</v>
      </c>
      <c r="E16" s="51">
        <v>7532934.4500000002</v>
      </c>
      <c r="F16" s="51">
        <f>-0.125*E16</f>
        <v>-941616.80625000002</v>
      </c>
      <c r="G16" s="51">
        <v>0</v>
      </c>
      <c r="H16" s="51">
        <f t="shared" si="0"/>
        <v>150658.68900000001</v>
      </c>
      <c r="I16" s="51">
        <f t="shared" si="1"/>
        <v>6440658.9547499996</v>
      </c>
      <c r="J16" s="51">
        <f t="shared" si="2"/>
        <v>7728790.7456999999</v>
      </c>
      <c r="K16" s="51">
        <f t="shared" si="12"/>
        <v>7728790.7456999999</v>
      </c>
      <c r="L16" s="52">
        <v>42849</v>
      </c>
      <c r="M16" s="52">
        <v>42849</v>
      </c>
      <c r="N16" s="53">
        <f t="shared" si="3"/>
        <v>0</v>
      </c>
      <c r="O16" s="51">
        <f t="shared" si="4"/>
        <v>0</v>
      </c>
      <c r="P16" s="51">
        <f t="shared" si="5"/>
        <v>0</v>
      </c>
      <c r="Q16" s="54"/>
      <c r="R16" s="55">
        <f t="shared" si="6"/>
        <v>0</v>
      </c>
      <c r="S16" s="55">
        <f t="shared" si="7"/>
        <v>0</v>
      </c>
      <c r="T16" s="55">
        <f t="shared" si="8"/>
        <v>0</v>
      </c>
      <c r="U16" s="55">
        <f t="shared" si="9"/>
        <v>0</v>
      </c>
      <c r="V16" s="55">
        <f t="shared" si="10"/>
        <v>0</v>
      </c>
      <c r="X16" s="60">
        <f t="shared" si="11"/>
        <v>0</v>
      </c>
    </row>
    <row r="17" spans="1:24">
      <c r="A17" s="56">
        <v>6</v>
      </c>
      <c r="B17" s="56">
        <v>1133000015</v>
      </c>
      <c r="C17" s="58">
        <v>42825</v>
      </c>
      <c r="D17" s="59">
        <v>42795</v>
      </c>
      <c r="E17" s="51">
        <v>11074683.960000001</v>
      </c>
      <c r="F17" s="51">
        <f>-0.125*E17</f>
        <v>-1384335.4950000001</v>
      </c>
      <c r="G17" s="51">
        <v>0</v>
      </c>
      <c r="H17" s="51">
        <f t="shared" si="0"/>
        <v>221493.67920000001</v>
      </c>
      <c r="I17" s="51">
        <f t="shared" si="1"/>
        <v>9468854.7858000007</v>
      </c>
      <c r="J17" s="51">
        <f t="shared" si="2"/>
        <v>11362625.74296</v>
      </c>
      <c r="K17" s="51"/>
      <c r="L17" s="52">
        <v>42888</v>
      </c>
      <c r="M17" s="52"/>
      <c r="N17" s="53">
        <f t="shared" si="3"/>
        <v>-181</v>
      </c>
      <c r="O17" s="51">
        <f t="shared" si="4"/>
        <v>11362625.74296</v>
      </c>
      <c r="P17" s="51">
        <f t="shared" si="5"/>
        <v>11362625.74296</v>
      </c>
      <c r="Q17" s="54"/>
      <c r="R17" s="55">
        <f t="shared" si="6"/>
        <v>0</v>
      </c>
      <c r="S17" s="55">
        <f t="shared" si="7"/>
        <v>0</v>
      </c>
      <c r="T17" s="55">
        <f t="shared" si="8"/>
        <v>0</v>
      </c>
      <c r="U17" s="55">
        <f t="shared" si="9"/>
        <v>11362625.74296</v>
      </c>
      <c r="V17" s="55">
        <f t="shared" si="10"/>
        <v>0</v>
      </c>
      <c r="X17" s="60"/>
    </row>
    <row r="18" spans="1:24">
      <c r="A18" s="56">
        <v>7</v>
      </c>
      <c r="B18" s="56">
        <v>1133000016</v>
      </c>
      <c r="C18" s="61">
        <v>42855</v>
      </c>
      <c r="D18" s="59">
        <v>42826</v>
      </c>
      <c r="E18" s="51">
        <v>11895116.57</v>
      </c>
      <c r="F18" s="51">
        <f>-0.125*E18</f>
        <v>-1486889.57125</v>
      </c>
      <c r="G18" s="51">
        <v>0</v>
      </c>
      <c r="H18" s="51">
        <f t="shared" si="0"/>
        <v>237902.33140000002</v>
      </c>
      <c r="I18" s="51">
        <f t="shared" si="1"/>
        <v>10170324.667350002</v>
      </c>
      <c r="J18" s="51">
        <f t="shared" si="2"/>
        <v>12204389.600820001</v>
      </c>
      <c r="K18" s="51"/>
      <c r="L18" s="52">
        <v>42912</v>
      </c>
      <c r="M18" s="52"/>
      <c r="N18" s="53">
        <f t="shared" si="3"/>
        <v>-157</v>
      </c>
      <c r="O18" s="51">
        <f t="shared" si="4"/>
        <v>12204389.600820001</v>
      </c>
      <c r="P18" s="51">
        <f t="shared" si="5"/>
        <v>12204389.600820001</v>
      </c>
      <c r="Q18" s="54"/>
      <c r="R18" s="55">
        <f t="shared" si="6"/>
        <v>0</v>
      </c>
      <c r="S18" s="55">
        <f t="shared" si="7"/>
        <v>0</v>
      </c>
      <c r="T18" s="55">
        <f t="shared" si="8"/>
        <v>12204389.600820001</v>
      </c>
      <c r="U18" s="55">
        <f t="shared" si="9"/>
        <v>0</v>
      </c>
      <c r="V18" s="55">
        <f t="shared" si="10"/>
        <v>0</v>
      </c>
      <c r="X18" s="60"/>
    </row>
    <row r="19" spans="1:24">
      <c r="A19" s="56">
        <v>8</v>
      </c>
      <c r="B19" s="56">
        <v>1133000017</v>
      </c>
      <c r="C19" s="52">
        <v>42886</v>
      </c>
      <c r="D19" s="59">
        <v>42856</v>
      </c>
      <c r="E19" s="51">
        <v>11358269.310000001</v>
      </c>
      <c r="F19" s="51">
        <f>-0.125*E19</f>
        <v>-1419783.6637500001</v>
      </c>
      <c r="G19" s="51">
        <v>0</v>
      </c>
      <c r="H19" s="51">
        <f t="shared" si="0"/>
        <v>227165.38620000001</v>
      </c>
      <c r="I19" s="51">
        <f>+E19+F19-G19-H19</f>
        <v>9711320.2600500006</v>
      </c>
      <c r="J19" s="51">
        <f t="shared" si="2"/>
        <v>11653584.31206</v>
      </c>
      <c r="K19" s="51"/>
      <c r="L19" s="52">
        <v>42931</v>
      </c>
      <c r="M19" s="52"/>
      <c r="N19" s="53">
        <f t="shared" si="3"/>
        <v>-138</v>
      </c>
      <c r="O19" s="51">
        <f t="shared" si="4"/>
        <v>11653584.31206</v>
      </c>
      <c r="P19" s="51">
        <f t="shared" si="5"/>
        <v>11653584.31206</v>
      </c>
      <c r="Q19" s="54"/>
      <c r="R19" s="55">
        <f t="shared" si="6"/>
        <v>0</v>
      </c>
      <c r="S19" s="55">
        <f t="shared" si="7"/>
        <v>0</v>
      </c>
      <c r="T19" s="55">
        <f t="shared" si="8"/>
        <v>11653584.31206</v>
      </c>
      <c r="U19" s="55">
        <f t="shared" si="9"/>
        <v>0</v>
      </c>
      <c r="V19" s="55">
        <f t="shared" si="10"/>
        <v>0</v>
      </c>
      <c r="X19" s="60"/>
    </row>
    <row r="20" spans="1:24">
      <c r="A20" s="56">
        <v>9</v>
      </c>
      <c r="B20" s="56">
        <v>1133000018</v>
      </c>
      <c r="C20" s="52">
        <v>42916</v>
      </c>
      <c r="D20" s="59">
        <v>42795</v>
      </c>
      <c r="E20" s="51">
        <f t="shared" ref="E20:F22" si="13">-E17</f>
        <v>-11074683.960000001</v>
      </c>
      <c r="F20" s="51">
        <f t="shared" si="13"/>
        <v>1384335.4950000001</v>
      </c>
      <c r="G20" s="51">
        <v>0</v>
      </c>
      <c r="H20" s="51">
        <f t="shared" si="0"/>
        <v>-221493.67920000001</v>
      </c>
      <c r="I20" s="51">
        <f>+E20+F20-G20-H20</f>
        <v>-9468854.7858000007</v>
      </c>
      <c r="J20" s="51">
        <f t="shared" si="2"/>
        <v>-11362625.74296</v>
      </c>
      <c r="K20" s="51"/>
      <c r="L20" s="52">
        <v>42888</v>
      </c>
      <c r="M20" s="52"/>
      <c r="N20" s="53">
        <f t="shared" si="3"/>
        <v>-181</v>
      </c>
      <c r="O20" s="51">
        <f t="shared" si="4"/>
        <v>-11362625.74296</v>
      </c>
      <c r="P20" s="51">
        <f t="shared" si="5"/>
        <v>-11362625.74296</v>
      </c>
      <c r="Q20" s="54"/>
      <c r="R20" s="55">
        <f t="shared" si="6"/>
        <v>0</v>
      </c>
      <c r="S20" s="55">
        <f t="shared" si="7"/>
        <v>0</v>
      </c>
      <c r="T20" s="55">
        <f t="shared" si="8"/>
        <v>0</v>
      </c>
      <c r="U20" s="55">
        <f t="shared" si="9"/>
        <v>-11362625.74296</v>
      </c>
      <c r="V20" s="55">
        <f t="shared" si="10"/>
        <v>0</v>
      </c>
      <c r="X20" s="60"/>
    </row>
    <row r="21" spans="1:24">
      <c r="A21" s="56">
        <v>10</v>
      </c>
      <c r="B21" s="56">
        <v>1133000019</v>
      </c>
      <c r="C21" s="52">
        <v>42916</v>
      </c>
      <c r="D21" s="59">
        <v>42826</v>
      </c>
      <c r="E21" s="51">
        <f t="shared" si="13"/>
        <v>-11895116.57</v>
      </c>
      <c r="F21" s="51">
        <f t="shared" si="13"/>
        <v>1486889.57125</v>
      </c>
      <c r="G21" s="51">
        <v>0</v>
      </c>
      <c r="H21" s="51">
        <f t="shared" si="0"/>
        <v>-237902.33140000002</v>
      </c>
      <c r="I21" s="51">
        <f t="shared" ref="I21:I22" si="14">+E21+F21-G21-H21</f>
        <v>-10170324.667350002</v>
      </c>
      <c r="J21" s="51">
        <f t="shared" si="2"/>
        <v>-12204389.600820001</v>
      </c>
      <c r="K21" s="51"/>
      <c r="L21" s="52">
        <v>42912</v>
      </c>
      <c r="M21" s="52"/>
      <c r="N21" s="53">
        <f t="shared" si="3"/>
        <v>-157</v>
      </c>
      <c r="O21" s="51">
        <f t="shared" si="4"/>
        <v>-12204389.600820001</v>
      </c>
      <c r="P21" s="51">
        <f t="shared" si="5"/>
        <v>-12204389.600820001</v>
      </c>
      <c r="Q21" s="54"/>
      <c r="R21" s="55">
        <f t="shared" si="6"/>
        <v>0</v>
      </c>
      <c r="S21" s="55">
        <f t="shared" si="7"/>
        <v>0</v>
      </c>
      <c r="T21" s="55">
        <f t="shared" si="8"/>
        <v>-12204389.600820001</v>
      </c>
      <c r="U21" s="55">
        <f t="shared" si="9"/>
        <v>0</v>
      </c>
      <c r="V21" s="55">
        <f t="shared" si="10"/>
        <v>0</v>
      </c>
      <c r="X21" s="60"/>
    </row>
    <row r="22" spans="1:24">
      <c r="A22" s="56">
        <v>11</v>
      </c>
      <c r="B22" s="56">
        <v>1133000020</v>
      </c>
      <c r="C22" s="52">
        <v>42916</v>
      </c>
      <c r="D22" s="59">
        <v>42856</v>
      </c>
      <c r="E22" s="51">
        <f t="shared" si="13"/>
        <v>-11358269.310000001</v>
      </c>
      <c r="F22" s="51">
        <f t="shared" si="13"/>
        <v>1419783.6637500001</v>
      </c>
      <c r="G22" s="51">
        <v>0</v>
      </c>
      <c r="H22" s="51">
        <f t="shared" si="0"/>
        <v>-227165.38620000001</v>
      </c>
      <c r="I22" s="51">
        <f t="shared" si="14"/>
        <v>-9711320.2600500006</v>
      </c>
      <c r="J22" s="51">
        <f t="shared" si="2"/>
        <v>-11653584.31206</v>
      </c>
      <c r="K22" s="51"/>
      <c r="L22" s="52">
        <v>43084</v>
      </c>
      <c r="M22" s="52"/>
      <c r="N22" s="53">
        <f t="shared" si="3"/>
        <v>15</v>
      </c>
      <c r="O22" s="51">
        <f t="shared" si="4"/>
        <v>-11653584.31206</v>
      </c>
      <c r="P22" s="51">
        <f t="shared" si="5"/>
        <v>0</v>
      </c>
      <c r="Q22" s="54"/>
      <c r="R22" s="55">
        <f t="shared" si="6"/>
        <v>0</v>
      </c>
      <c r="S22" s="55">
        <f t="shared" si="7"/>
        <v>0</v>
      </c>
      <c r="T22" s="55">
        <f t="shared" si="8"/>
        <v>0</v>
      </c>
      <c r="U22" s="55">
        <f t="shared" si="9"/>
        <v>0</v>
      </c>
      <c r="V22" s="55">
        <f t="shared" si="10"/>
        <v>0</v>
      </c>
      <c r="X22" s="60"/>
    </row>
    <row r="23" spans="1:24" ht="17.25" thickBot="1">
      <c r="A23" s="56"/>
      <c r="B23" s="57"/>
      <c r="C23" s="58"/>
      <c r="D23" s="59"/>
      <c r="E23" s="51"/>
      <c r="F23" s="51"/>
      <c r="G23" s="51"/>
      <c r="H23" s="51"/>
      <c r="I23" s="51"/>
      <c r="J23" s="51"/>
      <c r="K23" s="51"/>
      <c r="L23" s="52"/>
      <c r="M23" s="52"/>
      <c r="N23" s="62"/>
      <c r="O23" s="51"/>
      <c r="P23" s="57"/>
      <c r="Q23" s="54"/>
      <c r="R23" s="55"/>
      <c r="S23" s="55"/>
      <c r="T23" s="55"/>
      <c r="U23" s="55"/>
      <c r="V23" s="55"/>
      <c r="X23" s="60"/>
    </row>
    <row r="24" spans="1:24" s="54" customFormat="1" ht="20.100000000000001" customHeight="1" thickBot="1">
      <c r="A24" s="63"/>
      <c r="B24" s="64" t="s">
        <v>58</v>
      </c>
      <c r="C24" s="64"/>
      <c r="D24" s="64"/>
      <c r="E24" s="65">
        <f t="shared" ref="E24:K24" si="15">SUM(E12:E23)</f>
        <v>30759539.060880907</v>
      </c>
      <c r="F24" s="65">
        <f t="shared" si="15"/>
        <v>-4332442.3759025335</v>
      </c>
      <c r="G24" s="65">
        <f t="shared" si="15"/>
        <v>0</v>
      </c>
      <c r="H24" s="65">
        <f t="shared" si="15"/>
        <v>615190.78121761791</v>
      </c>
      <c r="I24" s="65">
        <f t="shared" si="15"/>
        <v>25811905.903760754</v>
      </c>
      <c r="J24" s="65">
        <f t="shared" si="15"/>
        <v>30974287.084512904</v>
      </c>
      <c r="K24" s="65">
        <f t="shared" si="15"/>
        <v>30974287.084512904</v>
      </c>
      <c r="L24" s="66"/>
      <c r="M24" s="66"/>
      <c r="N24" s="66"/>
      <c r="O24" s="65">
        <f>SUM(O12:O23)</f>
        <v>0</v>
      </c>
      <c r="P24" s="67">
        <f>SUM(P12:P23)</f>
        <v>11653584.312060002</v>
      </c>
      <c r="R24" s="68">
        <f>SUM(R12:R23)</f>
        <v>0</v>
      </c>
      <c r="S24" s="68">
        <f>SUM(S12:S23)</f>
        <v>0</v>
      </c>
      <c r="T24" s="68">
        <f>SUM(T12:T23)</f>
        <v>11653584.312060002</v>
      </c>
      <c r="U24" s="68">
        <f>SUM(U12:U23)</f>
        <v>0</v>
      </c>
      <c r="V24" s="68">
        <f>SUM(V12:V23)</f>
        <v>0</v>
      </c>
      <c r="X24" s="68">
        <f>+SUM(X12:X23)</f>
        <v>-32363.808539373233</v>
      </c>
    </row>
    <row r="25" spans="1:24">
      <c r="A25" s="69"/>
      <c r="B25" s="70"/>
      <c r="C25" s="70"/>
      <c r="D25" s="71" t="s">
        <v>59</v>
      </c>
      <c r="E25" s="72">
        <f>+E24/$M$7</f>
        <v>0.11612776238577145</v>
      </c>
      <c r="F25" s="70"/>
      <c r="G25" s="70"/>
      <c r="H25" s="70">
        <f>+H24*1.2</f>
        <v>738228.9374611415</v>
      </c>
      <c r="I25" s="70"/>
      <c r="J25" s="71" t="s">
        <v>60</v>
      </c>
      <c r="K25" s="72">
        <f>+K24/J24</f>
        <v>1</v>
      </c>
      <c r="L25" s="70"/>
      <c r="M25" s="70"/>
      <c r="N25" s="70"/>
      <c r="O25" s="70"/>
      <c r="P25" s="73"/>
      <c r="Q25" s="54"/>
      <c r="R25" s="54"/>
      <c r="S25" s="54"/>
      <c r="T25" s="54"/>
      <c r="U25" s="54"/>
      <c r="V25" s="54"/>
    </row>
    <row r="26" spans="1:24" ht="17.25" thickBot="1">
      <c r="A26" s="74"/>
      <c r="B26" s="75"/>
      <c r="C26" s="75"/>
      <c r="D26" s="76" t="s">
        <v>61</v>
      </c>
      <c r="E26" s="77">
        <f>+$M$7-$E$24</f>
        <v>234117165.94871908</v>
      </c>
      <c r="F26" s="78">
        <f>+E26/M7</f>
        <v>0.88387223761422862</v>
      </c>
      <c r="G26" s="75"/>
      <c r="H26" s="75"/>
      <c r="I26" s="75"/>
      <c r="J26" s="75"/>
      <c r="K26" s="75"/>
      <c r="L26" s="75"/>
      <c r="M26" s="75"/>
      <c r="N26" s="75"/>
      <c r="O26" s="75"/>
      <c r="P26" s="79"/>
      <c r="Q26" s="54"/>
      <c r="R26" s="54"/>
      <c r="S26" s="54"/>
      <c r="T26" s="54"/>
      <c r="U26" s="54"/>
      <c r="V26" s="54"/>
    </row>
    <row r="27" spans="1:24">
      <c r="A27" s="54"/>
      <c r="B27" s="80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2"/>
      <c r="O27" s="54"/>
      <c r="P27" s="54"/>
      <c r="Q27" s="54"/>
      <c r="R27" s="54"/>
      <c r="S27" s="54"/>
      <c r="T27" s="54"/>
      <c r="U27" s="54"/>
      <c r="V27" s="54"/>
    </row>
    <row r="28" spans="1:24" ht="21">
      <c r="A28" s="54"/>
      <c r="B28" s="83"/>
      <c r="C28" s="84" t="s">
        <v>62</v>
      </c>
      <c r="D28" s="84"/>
      <c r="E28" s="84"/>
      <c r="F28" s="84"/>
      <c r="G28" s="84"/>
      <c r="H28" s="84"/>
      <c r="I28" s="85"/>
      <c r="J28" s="85"/>
      <c r="K28" s="85"/>
      <c r="L28" s="85"/>
      <c r="M28" s="85"/>
      <c r="N28" s="86"/>
      <c r="O28" s="54"/>
      <c r="P28" s="87"/>
      <c r="Q28" s="54"/>
      <c r="R28" s="54"/>
      <c r="S28" s="54"/>
      <c r="T28" s="54"/>
      <c r="U28" s="54"/>
      <c r="V28" s="54"/>
    </row>
    <row r="29" spans="1:24" ht="17.25" thickBot="1">
      <c r="A29" s="54"/>
      <c r="B29" s="83"/>
      <c r="C29" s="85"/>
      <c r="D29" s="85"/>
      <c r="E29" s="85"/>
      <c r="F29" s="85"/>
      <c r="G29" s="88"/>
      <c r="H29" s="85"/>
      <c r="I29" s="85"/>
      <c r="J29" s="85"/>
      <c r="K29" s="85"/>
      <c r="L29" s="85"/>
      <c r="M29" s="85"/>
      <c r="N29" s="86"/>
      <c r="O29" s="54"/>
      <c r="P29" s="87"/>
      <c r="Q29" s="54"/>
      <c r="R29" s="54"/>
      <c r="S29" s="54"/>
      <c r="T29" s="54"/>
      <c r="U29" s="54"/>
      <c r="V29" s="54"/>
    </row>
    <row r="30" spans="1:24" ht="17.25" thickBot="1">
      <c r="A30" s="54"/>
      <c r="B30" s="83"/>
      <c r="C30" s="278" t="s">
        <v>63</v>
      </c>
      <c r="D30" s="279"/>
      <c r="E30" s="280"/>
      <c r="F30" s="89" t="s">
        <v>64</v>
      </c>
      <c r="G30" s="90">
        <f>+M7</f>
        <v>264876705.00959998</v>
      </c>
      <c r="H30" s="89"/>
      <c r="I30" s="91"/>
      <c r="J30" s="89"/>
      <c r="K30" s="89"/>
      <c r="L30" s="89"/>
      <c r="M30" s="92"/>
      <c r="N30" s="93"/>
      <c r="O30" s="54"/>
      <c r="P30" s="54"/>
      <c r="Q30" s="54"/>
      <c r="R30" s="54"/>
      <c r="S30" s="54"/>
      <c r="T30" s="54"/>
      <c r="U30" s="54"/>
      <c r="V30" s="54"/>
    </row>
    <row r="31" spans="1:24" ht="17.25" thickBot="1">
      <c r="A31" s="54"/>
      <c r="B31" s="83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92"/>
      <c r="N31" s="93"/>
      <c r="O31" s="54"/>
      <c r="P31" s="54"/>
      <c r="Q31" s="54"/>
      <c r="R31" s="54"/>
      <c r="S31" s="54"/>
      <c r="T31" s="54"/>
      <c r="U31" s="54"/>
      <c r="V31" s="54"/>
    </row>
    <row r="32" spans="1:24" ht="17.25" thickBot="1">
      <c r="A32" s="54"/>
      <c r="B32" s="83"/>
      <c r="C32" s="281" t="s">
        <v>65</v>
      </c>
      <c r="D32" s="282"/>
      <c r="E32" s="283"/>
      <c r="F32" s="89" t="s">
        <v>64</v>
      </c>
      <c r="G32" s="94">
        <f>+E24</f>
        <v>30759539.060880907</v>
      </c>
      <c r="H32" s="89"/>
      <c r="I32" s="89"/>
      <c r="J32" s="95">
        <f>G32/G30</f>
        <v>0.11612776238577145</v>
      </c>
      <c r="K32" s="96" t="s">
        <v>66</v>
      </c>
      <c r="L32" s="97"/>
      <c r="M32" s="98"/>
      <c r="N32" s="93"/>
      <c r="O32" s="54"/>
      <c r="P32" s="54"/>
      <c r="Q32" s="54"/>
      <c r="R32" s="54"/>
      <c r="S32" s="54"/>
      <c r="T32" s="54"/>
      <c r="U32" s="54"/>
      <c r="V32" s="54"/>
    </row>
    <row r="33" spans="2:14" ht="17.25" thickBot="1">
      <c r="B33" s="99"/>
      <c r="C33" s="89"/>
      <c r="D33" s="89"/>
      <c r="E33" s="89"/>
      <c r="F33" s="89"/>
      <c r="G33" s="89"/>
      <c r="H33" s="89"/>
      <c r="I33" s="89"/>
      <c r="J33" s="89"/>
      <c r="K33" s="100"/>
      <c r="L33" s="89"/>
      <c r="M33" s="92"/>
      <c r="N33" s="93"/>
    </row>
    <row r="34" spans="2:14" ht="17.25" thickBot="1">
      <c r="B34" s="99"/>
      <c r="C34" s="271" t="s">
        <v>67</v>
      </c>
      <c r="D34" s="272"/>
      <c r="E34" s="273"/>
      <c r="F34" s="89" t="s">
        <v>68</v>
      </c>
      <c r="G34" s="101">
        <f>+K24</f>
        <v>30974287.084512904</v>
      </c>
      <c r="H34" s="89"/>
      <c r="I34" s="89"/>
      <c r="J34" s="102">
        <f>+G34/J24</f>
        <v>1</v>
      </c>
      <c r="K34" s="103" t="s">
        <v>69</v>
      </c>
      <c r="L34" s="104"/>
      <c r="M34" s="105"/>
      <c r="N34" s="93"/>
    </row>
    <row r="35" spans="2:14" ht="17.25" thickBot="1">
      <c r="B35" s="99"/>
      <c r="C35" s="89"/>
      <c r="D35" s="89"/>
      <c r="E35" s="89"/>
      <c r="F35" s="89"/>
      <c r="G35" s="89"/>
      <c r="H35" s="89"/>
      <c r="I35" s="89"/>
      <c r="J35" s="89"/>
      <c r="K35" s="100"/>
      <c r="L35" s="89"/>
      <c r="M35" s="92"/>
      <c r="N35" s="93"/>
    </row>
    <row r="36" spans="2:14" ht="17.25" thickBot="1">
      <c r="B36" s="99"/>
      <c r="C36" s="271" t="s">
        <v>70</v>
      </c>
      <c r="D36" s="272"/>
      <c r="E36" s="273"/>
      <c r="F36" s="89" t="s">
        <v>68</v>
      </c>
      <c r="G36" s="106">
        <f>+O24</f>
        <v>0</v>
      </c>
      <c r="H36" s="89"/>
      <c r="I36" s="89"/>
      <c r="J36" s="107">
        <f>+G36/J24</f>
        <v>0</v>
      </c>
      <c r="K36" s="103" t="s">
        <v>69</v>
      </c>
      <c r="L36" s="108"/>
      <c r="M36" s="109"/>
      <c r="N36" s="93"/>
    </row>
    <row r="37" spans="2:14" ht="17.25" thickBot="1">
      <c r="B37" s="99"/>
      <c r="C37" s="89"/>
      <c r="D37" s="89"/>
      <c r="E37" s="89"/>
      <c r="F37" s="89"/>
      <c r="G37" s="89"/>
      <c r="H37" s="89"/>
      <c r="I37" s="89"/>
      <c r="J37" s="89"/>
      <c r="K37" s="100"/>
      <c r="L37" s="89"/>
      <c r="M37" s="92"/>
      <c r="N37" s="93"/>
    </row>
    <row r="38" spans="2:14" ht="17.25" thickBot="1">
      <c r="B38" s="99"/>
      <c r="C38" s="271" t="s">
        <v>71</v>
      </c>
      <c r="D38" s="272"/>
      <c r="E38" s="273"/>
      <c r="F38" s="89" t="s">
        <v>68</v>
      </c>
      <c r="G38" s="110">
        <f>+P24</f>
        <v>11653584.312060002</v>
      </c>
      <c r="H38" s="89"/>
      <c r="I38" s="89"/>
      <c r="J38" s="111">
        <f>+G38/I24</f>
        <v>0.45148096988692699</v>
      </c>
      <c r="K38" s="103" t="s">
        <v>69</v>
      </c>
      <c r="L38" s="104"/>
      <c r="M38" s="105"/>
      <c r="N38" s="93"/>
    </row>
    <row r="39" spans="2:14" ht="17.25" thickBot="1">
      <c r="B39" s="112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4"/>
    </row>
    <row r="41" spans="2:14">
      <c r="H41" s="115"/>
    </row>
    <row r="42" spans="2:14">
      <c r="G42" s="116"/>
      <c r="H42" s="116"/>
    </row>
    <row r="43" spans="2:14">
      <c r="G43" s="116"/>
      <c r="H43" s="116"/>
    </row>
    <row r="44" spans="2:14">
      <c r="G44" s="116"/>
      <c r="H44" s="116"/>
    </row>
    <row r="45" spans="2:14">
      <c r="H45" s="115"/>
    </row>
    <row r="46" spans="2:14">
      <c r="H46" s="116"/>
    </row>
    <row r="47" spans="2:14">
      <c r="H47" s="115"/>
    </row>
  </sheetData>
  <mergeCells count="20">
    <mergeCell ref="C36:E36"/>
    <mergeCell ref="C38:E38"/>
    <mergeCell ref="M7:N7"/>
    <mergeCell ref="M8:N8"/>
    <mergeCell ref="O10:P10"/>
    <mergeCell ref="C30:E30"/>
    <mergeCell ref="C32:E32"/>
    <mergeCell ref="C34:E34"/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/>
  </sheetViews>
  <sheetFormatPr baseColWidth="10" defaultColWidth="11.42578125" defaultRowHeight="16.5"/>
  <cols>
    <col min="1" max="1" width="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3.5703125" style="5" customWidth="1"/>
    <col min="11" max="12" width="13.7109375" style="5" customWidth="1"/>
    <col min="13" max="13" width="11.42578125" style="5"/>
    <col min="14" max="14" width="7" style="5" customWidth="1"/>
    <col min="15" max="15" width="13.42578125" style="5" customWidth="1"/>
    <col min="16" max="16" width="13.5703125" style="5" customWidth="1"/>
    <col min="17" max="17" width="6.140625" style="5" customWidth="1"/>
    <col min="18" max="18" width="8.5703125" style="5" customWidth="1"/>
    <col min="19" max="19" width="8.7109375" style="5" customWidth="1"/>
    <col min="20" max="20" width="8.7109375" style="5" bestFit="1" customWidth="1"/>
    <col min="21" max="21" width="10.5703125" style="5" bestFit="1" customWidth="1"/>
    <col min="22" max="22" width="7.5703125" style="5" bestFit="1" customWidth="1"/>
    <col min="23" max="16384" width="11.42578125" style="5"/>
  </cols>
  <sheetData>
    <row r="1" spans="1:22" ht="21" customHeight="1">
      <c r="A1" s="195" t="s">
        <v>11</v>
      </c>
      <c r="B1" s="199"/>
      <c r="C1" s="286" t="s">
        <v>98</v>
      </c>
      <c r="D1" s="286"/>
      <c r="E1" s="286"/>
      <c r="F1" s="288" t="s">
        <v>99</v>
      </c>
      <c r="G1" s="290" t="s">
        <v>12</v>
      </c>
      <c r="H1" s="291"/>
      <c r="I1" s="291"/>
      <c r="J1" s="292"/>
      <c r="K1" s="118" t="s">
        <v>13</v>
      </c>
      <c r="L1" s="119"/>
      <c r="M1" s="293">
        <v>235568156.80000001</v>
      </c>
      <c r="N1" s="293"/>
      <c r="O1" s="120" t="s">
        <v>14</v>
      </c>
      <c r="P1" s="200"/>
    </row>
    <row r="2" spans="1:22" ht="21">
      <c r="A2" s="196"/>
      <c r="B2" s="127"/>
      <c r="C2" s="287"/>
      <c r="D2" s="287"/>
      <c r="E2" s="287"/>
      <c r="F2" s="289"/>
      <c r="G2" s="201" t="s">
        <v>15</v>
      </c>
      <c r="H2" s="202"/>
      <c r="I2" s="203">
        <v>60</v>
      </c>
      <c r="J2" s="204"/>
      <c r="K2" s="122" t="s">
        <v>16</v>
      </c>
      <c r="L2" s="123"/>
      <c r="M2" s="294">
        <v>4076350.32</v>
      </c>
      <c r="N2" s="294"/>
      <c r="O2" s="123"/>
      <c r="P2" s="124"/>
    </row>
    <row r="3" spans="1:22" ht="21" customHeight="1">
      <c r="A3" s="196" t="s">
        <v>17</v>
      </c>
      <c r="B3" s="127"/>
      <c r="C3" s="287" t="s">
        <v>100</v>
      </c>
      <c r="D3" s="287"/>
      <c r="E3" s="287"/>
      <c r="F3" s="125"/>
      <c r="G3" s="201" t="s">
        <v>19</v>
      </c>
      <c r="H3" s="202"/>
      <c r="I3" s="205" t="s">
        <v>20</v>
      </c>
      <c r="J3" s="206"/>
      <c r="K3" s="122" t="s">
        <v>21</v>
      </c>
      <c r="L3" s="123"/>
      <c r="M3" s="294">
        <v>5398000</v>
      </c>
      <c r="N3" s="294"/>
      <c r="O3" s="123"/>
      <c r="P3" s="124"/>
    </row>
    <row r="4" spans="1:22">
      <c r="A4" s="196"/>
      <c r="B4" s="127"/>
      <c r="C4" s="287"/>
      <c r="D4" s="287"/>
      <c r="E4" s="287"/>
      <c r="F4" s="126"/>
      <c r="G4" s="201" t="s">
        <v>22</v>
      </c>
      <c r="H4" s="202"/>
      <c r="I4" s="207">
        <v>0.2</v>
      </c>
      <c r="J4" s="206"/>
      <c r="K4" s="122" t="s">
        <v>23</v>
      </c>
      <c r="L4" s="123"/>
      <c r="M4" s="294">
        <v>0</v>
      </c>
      <c r="N4" s="294"/>
      <c r="O4" s="123"/>
      <c r="P4" s="124"/>
    </row>
    <row r="5" spans="1:22">
      <c r="A5" s="196" t="s">
        <v>24</v>
      </c>
      <c r="B5" s="127"/>
      <c r="C5" s="127" t="s">
        <v>101</v>
      </c>
      <c r="D5" s="128"/>
      <c r="E5" s="129"/>
      <c r="F5" s="130"/>
      <c r="G5" s="201" t="s">
        <v>25</v>
      </c>
      <c r="H5" s="202"/>
      <c r="I5" s="205"/>
      <c r="J5" s="206" t="s">
        <v>26</v>
      </c>
      <c r="K5" s="122" t="s">
        <v>27</v>
      </c>
      <c r="L5" s="123"/>
      <c r="M5" s="294">
        <v>0</v>
      </c>
      <c r="N5" s="294"/>
      <c r="O5" s="123"/>
      <c r="P5" s="124"/>
    </row>
    <row r="6" spans="1:22">
      <c r="A6" s="196" t="s">
        <v>87</v>
      </c>
      <c r="B6" s="127"/>
      <c r="C6" s="295">
        <v>42025</v>
      </c>
      <c r="D6" s="295"/>
      <c r="E6" s="132"/>
      <c r="F6" s="133"/>
      <c r="G6" s="201"/>
      <c r="H6" s="205" t="s">
        <v>28</v>
      </c>
      <c r="I6" s="208">
        <v>0.1</v>
      </c>
      <c r="J6" s="206"/>
      <c r="K6" s="134"/>
      <c r="L6" s="123"/>
      <c r="M6" s="294"/>
      <c r="N6" s="294"/>
      <c r="O6" s="123"/>
      <c r="P6" s="124"/>
    </row>
    <row r="7" spans="1:22">
      <c r="A7" s="196" t="s">
        <v>88</v>
      </c>
      <c r="B7" s="127"/>
      <c r="C7" s="127"/>
      <c r="D7" s="209" t="s">
        <v>102</v>
      </c>
      <c r="E7" s="132"/>
      <c r="F7" s="133"/>
      <c r="G7" s="201"/>
      <c r="H7" s="205" t="s">
        <v>30</v>
      </c>
      <c r="I7" s="208" t="s">
        <v>103</v>
      </c>
      <c r="J7" s="206" t="s">
        <v>29</v>
      </c>
      <c r="K7" s="135" t="s">
        <v>31</v>
      </c>
      <c r="L7" s="136"/>
      <c r="M7" s="296">
        <f>SUM(M1:M6)</f>
        <v>245042507.12</v>
      </c>
      <c r="N7" s="296"/>
      <c r="O7" s="123"/>
      <c r="P7" s="124"/>
    </row>
    <row r="8" spans="1:22">
      <c r="A8" s="137" t="s">
        <v>89</v>
      </c>
      <c r="B8" s="138"/>
      <c r="C8" s="138"/>
      <c r="D8" s="210" t="s">
        <v>102</v>
      </c>
      <c r="E8" s="140"/>
      <c r="F8" s="141"/>
      <c r="G8" s="211"/>
      <c r="H8" s="212" t="s">
        <v>32</v>
      </c>
      <c r="I8" s="213"/>
      <c r="J8" s="214"/>
      <c r="K8" s="142" t="s">
        <v>33</v>
      </c>
      <c r="L8" s="143"/>
      <c r="M8" s="297">
        <f>+M7*(1+$I$4)</f>
        <v>294051008.54399997</v>
      </c>
      <c r="N8" s="297"/>
      <c r="O8" s="144"/>
      <c r="P8" s="145"/>
    </row>
    <row r="10" spans="1:22" ht="21" customHeight="1">
      <c r="B10" s="5" t="s">
        <v>34</v>
      </c>
      <c r="C10" s="146">
        <v>43069</v>
      </c>
      <c r="E10" s="44"/>
      <c r="F10" s="45">
        <v>0.1</v>
      </c>
      <c r="G10" s="46"/>
      <c r="O10" s="284" t="s">
        <v>35</v>
      </c>
      <c r="P10" s="285"/>
    </row>
    <row r="11" spans="1:22" ht="60">
      <c r="A11" s="215" t="s">
        <v>36</v>
      </c>
      <c r="B11" s="216" t="s">
        <v>37</v>
      </c>
      <c r="C11" s="216" t="s">
        <v>38</v>
      </c>
      <c r="D11" s="215" t="s">
        <v>39</v>
      </c>
      <c r="E11" s="216" t="s">
        <v>40</v>
      </c>
      <c r="F11" s="216" t="s">
        <v>41</v>
      </c>
      <c r="G11" s="216" t="s">
        <v>42</v>
      </c>
      <c r="H11" s="216" t="s">
        <v>43</v>
      </c>
      <c r="I11" s="216" t="s">
        <v>44</v>
      </c>
      <c r="J11" s="216" t="s">
        <v>45</v>
      </c>
      <c r="K11" s="216" t="s">
        <v>46</v>
      </c>
      <c r="L11" s="216" t="s">
        <v>47</v>
      </c>
      <c r="M11" s="216" t="s">
        <v>48</v>
      </c>
      <c r="N11" s="216" t="s">
        <v>49</v>
      </c>
      <c r="O11" s="216" t="s">
        <v>50</v>
      </c>
      <c r="P11" s="216" t="s">
        <v>51</v>
      </c>
      <c r="R11" s="217" t="s">
        <v>52</v>
      </c>
      <c r="S11" s="217" t="s">
        <v>53</v>
      </c>
      <c r="T11" s="217" t="s">
        <v>54</v>
      </c>
      <c r="U11" s="217" t="s">
        <v>55</v>
      </c>
      <c r="V11" s="217" t="s">
        <v>56</v>
      </c>
    </row>
    <row r="12" spans="1:22" ht="19.5" customHeight="1">
      <c r="A12" s="56" t="s">
        <v>28</v>
      </c>
      <c r="B12" s="149">
        <v>1133001588</v>
      </c>
      <c r="C12" s="58">
        <v>42128</v>
      </c>
      <c r="D12" s="59" t="s">
        <v>28</v>
      </c>
      <c r="E12" s="51"/>
      <c r="F12" s="51">
        <v>23556812.100000001</v>
      </c>
      <c r="G12" s="51">
        <f t="shared" ref="G12:G39" si="0">E12*$G$10</f>
        <v>0</v>
      </c>
      <c r="H12" s="51"/>
      <c r="I12" s="51">
        <f t="shared" ref="I12:I42" si="1">+E12+F12-G12-H12</f>
        <v>23556812.100000001</v>
      </c>
      <c r="J12" s="51">
        <f t="shared" ref="J12:J32" si="2">+I12+(I12*$I$4)</f>
        <v>28268174.520000003</v>
      </c>
      <c r="K12" s="51">
        <v>28268174.52</v>
      </c>
      <c r="L12" s="52">
        <v>42137</v>
      </c>
      <c r="M12" s="52">
        <v>42137</v>
      </c>
      <c r="N12" s="53">
        <f t="shared" ref="N12:N42" si="3">-IF(L12=0,,IF(M12=0,($C$10-L12),M12-L12))</f>
        <v>0</v>
      </c>
      <c r="O12" s="51">
        <f t="shared" ref="O12" si="4">+J12-K12</f>
        <v>0</v>
      </c>
      <c r="P12" s="51">
        <f t="shared" ref="P12:P42" si="5">+IF($C$10&lt;L12,0,O12)</f>
        <v>0</v>
      </c>
      <c r="Q12" s="54"/>
      <c r="R12" s="223">
        <f t="shared" ref="R12:R42" si="6">IF(N12&gt;=0,0,(IF(-N12&lt;=60,O12,0)))</f>
        <v>0</v>
      </c>
      <c r="S12" s="223">
        <f t="shared" ref="S12:S42" si="7">IF(N12&gt;=0,0,(IF(N12&gt;=-60,0,IF(-60&gt;=N12,IF(N12&gt;=-120,O12,0)))))</f>
        <v>0</v>
      </c>
      <c r="T12" s="223">
        <f t="shared" ref="T12:T42" si="8">IF(N12&gt;=0,0,(IF(N12&gt;-60,0,IF(-60&gt;=N12,IF(N12&gt;=-120,0,IF(N12&gt;=-180,O12,0))))))</f>
        <v>0</v>
      </c>
      <c r="U12" s="223">
        <f t="shared" ref="U12:U42" si="9">IF(N12&gt;=0,0,(IF(N12&gt;-60,0,IF(-60&gt;=N12,IF(N12&gt;-120,0,IF(N12&gt;=-180,0,IF(N12&gt;=-365,O12,0)))))))</f>
        <v>0</v>
      </c>
      <c r="V12" s="223">
        <f t="shared" ref="V12:V42" si="10">IF(N12&gt;=0,0,IF(365&lt;-N12,O12,0))</f>
        <v>0</v>
      </c>
    </row>
    <row r="13" spans="1:22" ht="19.5" customHeight="1">
      <c r="A13" s="56">
        <v>1</v>
      </c>
      <c r="B13" s="149">
        <v>1133001616</v>
      </c>
      <c r="C13" s="58">
        <v>42138</v>
      </c>
      <c r="D13" s="59">
        <v>42095</v>
      </c>
      <c r="E13" s="51">
        <v>4036296.62</v>
      </c>
      <c r="F13" s="51">
        <f t="shared" ref="F13:F20" si="11">-E13*$F$10</f>
        <v>-403629.66200000001</v>
      </c>
      <c r="G13" s="51">
        <f t="shared" si="0"/>
        <v>0</v>
      </c>
      <c r="H13" s="51"/>
      <c r="I13" s="51">
        <f t="shared" si="1"/>
        <v>3632666.9580000001</v>
      </c>
      <c r="J13" s="51">
        <f t="shared" si="2"/>
        <v>4359200.3496000003</v>
      </c>
      <c r="K13" s="51">
        <v>4359200.3499999996</v>
      </c>
      <c r="L13" s="52">
        <f t="shared" ref="L13:L20" si="12">+C13+45</f>
        <v>42183</v>
      </c>
      <c r="M13" s="52">
        <v>42165</v>
      </c>
      <c r="N13" s="53">
        <f t="shared" si="3"/>
        <v>18</v>
      </c>
      <c r="O13" s="51">
        <f>+J13-K13</f>
        <v>-3.9999932050704956E-4</v>
      </c>
      <c r="P13" s="51">
        <f t="shared" si="5"/>
        <v>-3.9999932050704956E-4</v>
      </c>
      <c r="Q13" s="54"/>
      <c r="R13" s="223">
        <f t="shared" si="6"/>
        <v>0</v>
      </c>
      <c r="S13" s="223">
        <f t="shared" si="7"/>
        <v>0</v>
      </c>
      <c r="T13" s="223">
        <f t="shared" si="8"/>
        <v>0</v>
      </c>
      <c r="U13" s="223">
        <f t="shared" si="9"/>
        <v>0</v>
      </c>
      <c r="V13" s="223">
        <f t="shared" si="10"/>
        <v>0</v>
      </c>
    </row>
    <row r="14" spans="1:22" ht="19.5" customHeight="1">
      <c r="A14" s="56">
        <v>2</v>
      </c>
      <c r="B14" s="159">
        <v>1133001679</v>
      </c>
      <c r="C14" s="58">
        <v>42180</v>
      </c>
      <c r="D14" s="59">
        <v>42125</v>
      </c>
      <c r="E14" s="51">
        <v>18923312.739999998</v>
      </c>
      <c r="F14" s="51">
        <f t="shared" si="11"/>
        <v>-1892331.274</v>
      </c>
      <c r="G14" s="51">
        <f t="shared" si="0"/>
        <v>0</v>
      </c>
      <c r="H14" s="51"/>
      <c r="I14" s="51">
        <f t="shared" si="1"/>
        <v>17030981.465999998</v>
      </c>
      <c r="J14" s="51">
        <f t="shared" si="2"/>
        <v>20437177.759199999</v>
      </c>
      <c r="K14" s="51">
        <v>20437177.760000002</v>
      </c>
      <c r="L14" s="52">
        <f t="shared" si="12"/>
        <v>42225</v>
      </c>
      <c r="M14" s="52">
        <v>42219</v>
      </c>
      <c r="N14" s="53">
        <f t="shared" si="3"/>
        <v>6</v>
      </c>
      <c r="O14" s="51">
        <f t="shared" ref="O14:O42" si="13">+J14-K14</f>
        <v>-8.0000236630439758E-4</v>
      </c>
      <c r="P14" s="51">
        <f t="shared" si="5"/>
        <v>-8.0000236630439758E-4</v>
      </c>
      <c r="Q14" s="54"/>
      <c r="R14" s="223">
        <f t="shared" si="6"/>
        <v>0</v>
      </c>
      <c r="S14" s="223">
        <f t="shared" si="7"/>
        <v>0</v>
      </c>
      <c r="T14" s="223">
        <f t="shared" si="8"/>
        <v>0</v>
      </c>
      <c r="U14" s="223">
        <f t="shared" si="9"/>
        <v>0</v>
      </c>
      <c r="V14" s="223">
        <f t="shared" si="10"/>
        <v>0</v>
      </c>
    </row>
    <row r="15" spans="1:22" ht="19.5" hidden="1" customHeight="1">
      <c r="A15" s="56">
        <v>3</v>
      </c>
      <c r="B15" s="159">
        <v>1133001716</v>
      </c>
      <c r="C15" s="58">
        <v>42200</v>
      </c>
      <c r="D15" s="59">
        <v>42156</v>
      </c>
      <c r="E15" s="51">
        <v>7997449.9900000002</v>
      </c>
      <c r="F15" s="51">
        <f t="shared" si="11"/>
        <v>-799744.99900000007</v>
      </c>
      <c r="G15" s="51">
        <f t="shared" si="0"/>
        <v>0</v>
      </c>
      <c r="H15" s="51"/>
      <c r="I15" s="51">
        <f t="shared" si="1"/>
        <v>7197704.9910000004</v>
      </c>
      <c r="J15" s="51">
        <f t="shared" si="2"/>
        <v>8637245.9891999997</v>
      </c>
      <c r="K15" s="51">
        <v>9096125.0600000005</v>
      </c>
      <c r="L15" s="52">
        <f t="shared" si="12"/>
        <v>42245</v>
      </c>
      <c r="M15" s="52">
        <v>42242</v>
      </c>
      <c r="N15" s="53">
        <f t="shared" si="3"/>
        <v>3</v>
      </c>
      <c r="O15" s="51">
        <f t="shared" si="13"/>
        <v>-458879.0708000008</v>
      </c>
      <c r="P15" s="51">
        <f t="shared" si="5"/>
        <v>-458879.0708000008</v>
      </c>
      <c r="Q15" s="54"/>
      <c r="R15" s="223">
        <f t="shared" si="6"/>
        <v>0</v>
      </c>
      <c r="S15" s="223">
        <f t="shared" si="7"/>
        <v>0</v>
      </c>
      <c r="T15" s="223">
        <f t="shared" si="8"/>
        <v>0</v>
      </c>
      <c r="U15" s="223">
        <f t="shared" si="9"/>
        <v>0</v>
      </c>
      <c r="V15" s="223">
        <f t="shared" si="10"/>
        <v>0</v>
      </c>
    </row>
    <row r="16" spans="1:22" ht="19.5" hidden="1" customHeight="1">
      <c r="A16" s="56">
        <v>4</v>
      </c>
      <c r="B16" s="159">
        <v>1133001793</v>
      </c>
      <c r="C16" s="58">
        <v>42232</v>
      </c>
      <c r="D16" s="59">
        <v>42186</v>
      </c>
      <c r="E16" s="51">
        <v>13281484.689999999</v>
      </c>
      <c r="F16" s="51">
        <f t="shared" si="11"/>
        <v>-1328148.469</v>
      </c>
      <c r="G16" s="51">
        <f t="shared" si="0"/>
        <v>0</v>
      </c>
      <c r="H16" s="51"/>
      <c r="I16" s="51">
        <f t="shared" si="1"/>
        <v>11953336.220999999</v>
      </c>
      <c r="J16" s="51">
        <f t="shared" si="2"/>
        <v>14344003.4652</v>
      </c>
      <c r="K16" s="51">
        <v>13885124.380000001</v>
      </c>
      <c r="L16" s="52">
        <f t="shared" si="12"/>
        <v>42277</v>
      </c>
      <c r="M16" s="52">
        <v>42277</v>
      </c>
      <c r="N16" s="53">
        <f t="shared" si="3"/>
        <v>0</v>
      </c>
      <c r="O16" s="51">
        <f t="shared" si="13"/>
        <v>458879.08519999869</v>
      </c>
      <c r="P16" s="51">
        <f t="shared" si="5"/>
        <v>458879.08519999869</v>
      </c>
      <c r="Q16" s="54"/>
      <c r="R16" s="223">
        <f t="shared" si="6"/>
        <v>0</v>
      </c>
      <c r="S16" s="223">
        <f t="shared" si="7"/>
        <v>0</v>
      </c>
      <c r="T16" s="223">
        <f t="shared" si="8"/>
        <v>0</v>
      </c>
      <c r="U16" s="223">
        <f t="shared" si="9"/>
        <v>0</v>
      </c>
      <c r="V16" s="223">
        <f t="shared" si="10"/>
        <v>0</v>
      </c>
    </row>
    <row r="17" spans="1:22" ht="19.5" customHeight="1">
      <c r="A17" s="56">
        <v>5</v>
      </c>
      <c r="B17" s="56">
        <v>1133001826</v>
      </c>
      <c r="C17" s="58">
        <v>42247</v>
      </c>
      <c r="D17" s="59">
        <v>42217</v>
      </c>
      <c r="E17" s="51">
        <v>14429480.49</v>
      </c>
      <c r="F17" s="51">
        <f t="shared" si="11"/>
        <v>-1442948.0490000001</v>
      </c>
      <c r="G17" s="51">
        <f t="shared" si="0"/>
        <v>0</v>
      </c>
      <c r="H17" s="51"/>
      <c r="I17" s="51">
        <f t="shared" si="1"/>
        <v>12986532.441</v>
      </c>
      <c r="J17" s="51">
        <f t="shared" si="2"/>
        <v>15583838.929199999</v>
      </c>
      <c r="K17" s="51">
        <v>15583838.93</v>
      </c>
      <c r="L17" s="52">
        <f t="shared" si="12"/>
        <v>42292</v>
      </c>
      <c r="M17" s="52">
        <v>42297</v>
      </c>
      <c r="N17" s="53">
        <f t="shared" si="3"/>
        <v>-5</v>
      </c>
      <c r="O17" s="51">
        <f t="shared" si="13"/>
        <v>-8.0000050365924835E-4</v>
      </c>
      <c r="P17" s="51">
        <f t="shared" si="5"/>
        <v>-8.0000050365924835E-4</v>
      </c>
      <c r="Q17" s="54"/>
      <c r="R17" s="223">
        <f t="shared" si="6"/>
        <v>-8.0000050365924835E-4</v>
      </c>
      <c r="S17" s="223">
        <f t="shared" si="7"/>
        <v>0</v>
      </c>
      <c r="T17" s="223">
        <f t="shared" si="8"/>
        <v>0</v>
      </c>
      <c r="U17" s="223">
        <f t="shared" si="9"/>
        <v>0</v>
      </c>
      <c r="V17" s="223">
        <f t="shared" si="10"/>
        <v>0</v>
      </c>
    </row>
    <row r="18" spans="1:22" ht="19.5" customHeight="1">
      <c r="A18" s="56">
        <v>6</v>
      </c>
      <c r="B18" s="56">
        <v>1133001891</v>
      </c>
      <c r="C18" s="58">
        <v>42318</v>
      </c>
      <c r="D18" s="59">
        <v>42248</v>
      </c>
      <c r="E18" s="51">
        <f>15855279.55+2170486.34</f>
        <v>18025765.890000001</v>
      </c>
      <c r="F18" s="51">
        <f t="shared" si="11"/>
        <v>-1802576.5890000002</v>
      </c>
      <c r="G18" s="51">
        <f t="shared" si="0"/>
        <v>0</v>
      </c>
      <c r="H18" s="51"/>
      <c r="I18" s="51">
        <f t="shared" si="1"/>
        <v>16223189.301000001</v>
      </c>
      <c r="J18" s="51">
        <f t="shared" si="2"/>
        <v>19467827.161200002</v>
      </c>
      <c r="K18" s="51">
        <f>+J18</f>
        <v>19467827.161200002</v>
      </c>
      <c r="L18" s="52">
        <f t="shared" si="12"/>
        <v>42363</v>
      </c>
      <c r="M18" s="52">
        <v>42333</v>
      </c>
      <c r="N18" s="53">
        <f t="shared" si="3"/>
        <v>30</v>
      </c>
      <c r="O18" s="51">
        <f t="shared" si="13"/>
        <v>0</v>
      </c>
      <c r="P18" s="51">
        <f t="shared" si="5"/>
        <v>0</v>
      </c>
      <c r="Q18" s="54"/>
      <c r="R18" s="223">
        <f t="shared" si="6"/>
        <v>0</v>
      </c>
      <c r="S18" s="223">
        <f t="shared" si="7"/>
        <v>0</v>
      </c>
      <c r="T18" s="223">
        <f t="shared" si="8"/>
        <v>0</v>
      </c>
      <c r="U18" s="223">
        <f t="shared" si="9"/>
        <v>0</v>
      </c>
      <c r="V18" s="223">
        <f t="shared" si="10"/>
        <v>0</v>
      </c>
    </row>
    <row r="19" spans="1:22" ht="19.5" customHeight="1">
      <c r="A19" s="56">
        <v>7</v>
      </c>
      <c r="B19" s="56">
        <v>1133001979</v>
      </c>
      <c r="C19" s="58">
        <v>42342</v>
      </c>
      <c r="D19" s="59">
        <v>42278</v>
      </c>
      <c r="E19" s="51">
        <f>18105467.67+2478522.7</f>
        <v>20583990.370000001</v>
      </c>
      <c r="F19" s="51">
        <f t="shared" si="11"/>
        <v>-2058399.0370000002</v>
      </c>
      <c r="G19" s="51">
        <f t="shared" si="0"/>
        <v>0</v>
      </c>
      <c r="H19" s="51"/>
      <c r="I19" s="51">
        <f t="shared" si="1"/>
        <v>18525591.333000001</v>
      </c>
      <c r="J19" s="51">
        <f t="shared" si="2"/>
        <v>22230709.599600002</v>
      </c>
      <c r="K19" s="51">
        <v>22230709.600000001</v>
      </c>
      <c r="L19" s="52">
        <f t="shared" si="12"/>
        <v>42387</v>
      </c>
      <c r="M19" s="52">
        <v>42360</v>
      </c>
      <c r="N19" s="53">
        <f t="shared" si="3"/>
        <v>27</v>
      </c>
      <c r="O19" s="51">
        <f t="shared" si="13"/>
        <v>-3.9999932050704956E-4</v>
      </c>
      <c r="P19" s="51">
        <f t="shared" si="5"/>
        <v>-3.9999932050704956E-4</v>
      </c>
      <c r="Q19" s="54"/>
      <c r="R19" s="223">
        <f t="shared" si="6"/>
        <v>0</v>
      </c>
      <c r="S19" s="223">
        <f t="shared" si="7"/>
        <v>0</v>
      </c>
      <c r="T19" s="223">
        <f t="shared" si="8"/>
        <v>0</v>
      </c>
      <c r="U19" s="223">
        <f t="shared" si="9"/>
        <v>0</v>
      </c>
      <c r="V19" s="223">
        <f t="shared" si="10"/>
        <v>0</v>
      </c>
    </row>
    <row r="20" spans="1:22" ht="19.5" customHeight="1">
      <c r="A20" s="56">
        <v>8</v>
      </c>
      <c r="B20" s="56">
        <v>1133002036</v>
      </c>
      <c r="C20" s="58">
        <v>42369</v>
      </c>
      <c r="D20" s="59">
        <v>42309</v>
      </c>
      <c r="E20" s="51">
        <f>15342980.46+2100355.88</f>
        <v>17443336.34</v>
      </c>
      <c r="F20" s="51">
        <f t="shared" si="11"/>
        <v>-1744333.6340000001</v>
      </c>
      <c r="G20" s="51">
        <f t="shared" si="0"/>
        <v>0</v>
      </c>
      <c r="H20" s="51"/>
      <c r="I20" s="51">
        <f t="shared" si="1"/>
        <v>15699002.706</v>
      </c>
      <c r="J20" s="51">
        <f t="shared" si="2"/>
        <v>18838803.247200001</v>
      </c>
      <c r="K20" s="51">
        <f>+J20</f>
        <v>18838803.247200001</v>
      </c>
      <c r="L20" s="52">
        <f t="shared" si="12"/>
        <v>42414</v>
      </c>
      <c r="M20" s="52">
        <v>42409</v>
      </c>
      <c r="N20" s="53">
        <f t="shared" si="3"/>
        <v>5</v>
      </c>
      <c r="O20" s="51">
        <f t="shared" si="13"/>
        <v>0</v>
      </c>
      <c r="P20" s="51">
        <f t="shared" si="5"/>
        <v>0</v>
      </c>
      <c r="Q20" s="54"/>
      <c r="R20" s="223">
        <f t="shared" si="6"/>
        <v>0</v>
      </c>
      <c r="S20" s="223">
        <f t="shared" si="7"/>
        <v>0</v>
      </c>
      <c r="T20" s="223">
        <f t="shared" si="8"/>
        <v>0</v>
      </c>
      <c r="U20" s="223">
        <f t="shared" si="9"/>
        <v>0</v>
      </c>
      <c r="V20" s="223">
        <f t="shared" si="10"/>
        <v>0</v>
      </c>
    </row>
    <row r="21" spans="1:22" ht="19.5" hidden="1" customHeight="1">
      <c r="A21" s="56">
        <v>9</v>
      </c>
      <c r="B21" s="56">
        <v>1133002063</v>
      </c>
      <c r="C21" s="58">
        <v>42384</v>
      </c>
      <c r="D21" s="59">
        <v>42368</v>
      </c>
      <c r="E21" s="51">
        <v>5869345.0199999996</v>
      </c>
      <c r="F21" s="51"/>
      <c r="G21" s="51">
        <f t="shared" si="0"/>
        <v>0</v>
      </c>
      <c r="H21" s="51"/>
      <c r="I21" s="51">
        <f t="shared" si="1"/>
        <v>5869345.0199999996</v>
      </c>
      <c r="J21" s="51">
        <f t="shared" si="2"/>
        <v>7043214.0239999993</v>
      </c>
      <c r="K21" s="51"/>
      <c r="L21" s="52">
        <f t="shared" ref="L21:L40" si="14">+D21+60</f>
        <v>42428</v>
      </c>
      <c r="M21" s="52"/>
      <c r="N21" s="53">
        <f t="shared" si="3"/>
        <v>-641</v>
      </c>
      <c r="O21" s="51">
        <f t="shared" si="13"/>
        <v>7043214.0239999993</v>
      </c>
      <c r="P21" s="51">
        <f t="shared" si="5"/>
        <v>7043214.0239999993</v>
      </c>
      <c r="Q21" s="54"/>
      <c r="R21" s="223">
        <f t="shared" si="6"/>
        <v>0</v>
      </c>
      <c r="S21" s="223">
        <f t="shared" si="7"/>
        <v>0</v>
      </c>
      <c r="T21" s="223">
        <f t="shared" si="8"/>
        <v>0</v>
      </c>
      <c r="U21" s="223">
        <f t="shared" si="9"/>
        <v>0</v>
      </c>
      <c r="V21" s="223">
        <f t="shared" si="10"/>
        <v>7043214.0239999993</v>
      </c>
    </row>
    <row r="22" spans="1:22" ht="19.5" hidden="1" customHeight="1">
      <c r="A22" s="56">
        <v>14</v>
      </c>
      <c r="B22" s="56">
        <v>1133002301</v>
      </c>
      <c r="C22" s="58">
        <v>42461</v>
      </c>
      <c r="D22" s="59">
        <v>42369</v>
      </c>
      <c r="E22" s="51">
        <v>-5869345.0199999996</v>
      </c>
      <c r="F22" s="51"/>
      <c r="G22" s="51">
        <f t="shared" si="0"/>
        <v>0</v>
      </c>
      <c r="H22" s="51"/>
      <c r="I22" s="51">
        <f t="shared" si="1"/>
        <v>-5869345.0199999996</v>
      </c>
      <c r="J22" s="51">
        <f t="shared" si="2"/>
        <v>-7043214.0239999993</v>
      </c>
      <c r="K22" s="51"/>
      <c r="L22" s="52">
        <f t="shared" si="14"/>
        <v>42429</v>
      </c>
      <c r="M22" s="52"/>
      <c r="N22" s="53">
        <f t="shared" si="3"/>
        <v>-640</v>
      </c>
      <c r="O22" s="51">
        <f t="shared" si="13"/>
        <v>-7043214.0239999993</v>
      </c>
      <c r="P22" s="51">
        <f t="shared" si="5"/>
        <v>-7043214.0239999993</v>
      </c>
      <c r="Q22" s="54"/>
      <c r="R22" s="223">
        <f t="shared" si="6"/>
        <v>0</v>
      </c>
      <c r="S22" s="223">
        <f t="shared" si="7"/>
        <v>0</v>
      </c>
      <c r="T22" s="223">
        <f t="shared" si="8"/>
        <v>0</v>
      </c>
      <c r="U22" s="223">
        <f t="shared" si="9"/>
        <v>0</v>
      </c>
      <c r="V22" s="223">
        <f t="shared" si="10"/>
        <v>-7043214.0239999993</v>
      </c>
    </row>
    <row r="23" spans="1:22" ht="19.5" customHeight="1">
      <c r="A23" s="56">
        <f>+A21+1</f>
        <v>10</v>
      </c>
      <c r="B23" s="56">
        <v>1133002152</v>
      </c>
      <c r="C23" s="58">
        <v>42404</v>
      </c>
      <c r="D23" s="59">
        <v>42368</v>
      </c>
      <c r="E23" s="51">
        <f>10729329.62+1468776.58</f>
        <v>12198106.199999999</v>
      </c>
      <c r="F23" s="51">
        <f t="shared" ref="F23:F26" si="15">-E23*$F$10</f>
        <v>-1219810.6199999999</v>
      </c>
      <c r="G23" s="51">
        <f t="shared" si="0"/>
        <v>0</v>
      </c>
      <c r="H23" s="51"/>
      <c r="I23" s="51">
        <f t="shared" si="1"/>
        <v>10978295.58</v>
      </c>
      <c r="J23" s="51">
        <f t="shared" si="2"/>
        <v>13173954.696</v>
      </c>
      <c r="K23" s="51">
        <v>13173954.699999999</v>
      </c>
      <c r="L23" s="52">
        <f t="shared" si="14"/>
        <v>42428</v>
      </c>
      <c r="M23" s="52">
        <v>42425</v>
      </c>
      <c r="N23" s="53">
        <f t="shared" si="3"/>
        <v>3</v>
      </c>
      <c r="O23" s="51">
        <f t="shared" si="13"/>
        <v>-3.9999987930059433E-3</v>
      </c>
      <c r="P23" s="51">
        <f t="shared" si="5"/>
        <v>-3.9999987930059433E-3</v>
      </c>
      <c r="Q23" s="54"/>
      <c r="R23" s="223">
        <f t="shared" si="6"/>
        <v>0</v>
      </c>
      <c r="S23" s="223">
        <f t="shared" si="7"/>
        <v>0</v>
      </c>
      <c r="T23" s="223">
        <f t="shared" si="8"/>
        <v>0</v>
      </c>
      <c r="U23" s="223">
        <f t="shared" si="9"/>
        <v>0</v>
      </c>
      <c r="V23" s="223">
        <f t="shared" si="10"/>
        <v>0</v>
      </c>
    </row>
    <row r="24" spans="1:22" ht="19.5" customHeight="1">
      <c r="A24" s="56">
        <f t="shared" ref="A24" si="16">+A23+1</f>
        <v>11</v>
      </c>
      <c r="B24" s="57">
        <v>1133003324</v>
      </c>
      <c r="C24" s="58">
        <v>42439</v>
      </c>
      <c r="D24" s="59">
        <v>42399</v>
      </c>
      <c r="E24" s="51">
        <f>17279495.07+2365452.34</f>
        <v>19644947.41</v>
      </c>
      <c r="F24" s="51">
        <f t="shared" si="15"/>
        <v>-1964494.7410000002</v>
      </c>
      <c r="G24" s="51">
        <f t="shared" si="0"/>
        <v>0</v>
      </c>
      <c r="H24" s="51"/>
      <c r="I24" s="51">
        <f t="shared" si="1"/>
        <v>17680452.669</v>
      </c>
      <c r="J24" s="51">
        <f t="shared" si="2"/>
        <v>21216543.202799998</v>
      </c>
      <c r="K24" s="51">
        <v>21216543.199999999</v>
      </c>
      <c r="L24" s="52">
        <f t="shared" si="14"/>
        <v>42459</v>
      </c>
      <c r="M24" s="52">
        <v>42460</v>
      </c>
      <c r="N24" s="53">
        <f t="shared" si="3"/>
        <v>-1</v>
      </c>
      <c r="O24" s="51">
        <f t="shared" si="13"/>
        <v>2.7999989688396454E-3</v>
      </c>
      <c r="P24" s="51">
        <f t="shared" si="5"/>
        <v>2.7999989688396454E-3</v>
      </c>
      <c r="Q24" s="54"/>
      <c r="R24" s="223">
        <f t="shared" si="6"/>
        <v>2.7999989688396454E-3</v>
      </c>
      <c r="S24" s="223">
        <f t="shared" si="7"/>
        <v>0</v>
      </c>
      <c r="T24" s="223">
        <f t="shared" si="8"/>
        <v>0</v>
      </c>
      <c r="U24" s="223">
        <f t="shared" si="9"/>
        <v>0</v>
      </c>
      <c r="V24" s="223">
        <f t="shared" si="10"/>
        <v>0</v>
      </c>
    </row>
    <row r="25" spans="1:22" ht="19.5" customHeight="1">
      <c r="A25" s="56">
        <f>+A4+1</f>
        <v>1</v>
      </c>
      <c r="B25" s="57">
        <v>1133002281</v>
      </c>
      <c r="C25" s="58">
        <v>42460</v>
      </c>
      <c r="D25" s="59">
        <v>42428</v>
      </c>
      <c r="E25" s="51">
        <f>8520598.34+1166415.41</f>
        <v>9687013.75</v>
      </c>
      <c r="F25" s="51">
        <f t="shared" si="15"/>
        <v>-968701.375</v>
      </c>
      <c r="G25" s="51">
        <f t="shared" si="0"/>
        <v>0</v>
      </c>
      <c r="H25" s="51"/>
      <c r="I25" s="51">
        <f t="shared" si="1"/>
        <v>8718312.375</v>
      </c>
      <c r="J25" s="51">
        <f t="shared" si="2"/>
        <v>10461974.85</v>
      </c>
      <c r="K25" s="51">
        <v>10461974.84</v>
      </c>
      <c r="L25" s="52">
        <f t="shared" si="14"/>
        <v>42488</v>
      </c>
      <c r="M25" s="52">
        <v>42488</v>
      </c>
      <c r="N25" s="53">
        <f t="shared" si="3"/>
        <v>0</v>
      </c>
      <c r="O25" s="51">
        <f t="shared" si="13"/>
        <v>9.9999997764825821E-3</v>
      </c>
      <c r="P25" s="51">
        <f t="shared" si="5"/>
        <v>9.9999997764825821E-3</v>
      </c>
      <c r="Q25" s="54"/>
      <c r="R25" s="223">
        <f t="shared" si="6"/>
        <v>0</v>
      </c>
      <c r="S25" s="223">
        <f t="shared" si="7"/>
        <v>0</v>
      </c>
      <c r="T25" s="223">
        <f t="shared" si="8"/>
        <v>0</v>
      </c>
      <c r="U25" s="223">
        <f t="shared" si="9"/>
        <v>0</v>
      </c>
      <c r="V25" s="223">
        <f t="shared" si="10"/>
        <v>0</v>
      </c>
    </row>
    <row r="26" spans="1:22" ht="19.5" customHeight="1">
      <c r="A26" s="56">
        <v>15</v>
      </c>
      <c r="B26" s="57">
        <v>1133002329</v>
      </c>
      <c r="C26" s="58">
        <v>42501</v>
      </c>
      <c r="D26" s="59">
        <v>42460</v>
      </c>
      <c r="E26" s="51">
        <f>12137753.94+1661580.87</f>
        <v>13799334.809999999</v>
      </c>
      <c r="F26" s="51">
        <f t="shared" si="15"/>
        <v>-1379933.4809999999</v>
      </c>
      <c r="G26" s="51">
        <f t="shared" si="0"/>
        <v>0</v>
      </c>
      <c r="H26" s="51"/>
      <c r="I26" s="51">
        <f t="shared" si="1"/>
        <v>12419401.328999998</v>
      </c>
      <c r="J26" s="51">
        <f t="shared" si="2"/>
        <v>14903281.594799997</v>
      </c>
      <c r="K26" s="51">
        <v>14903281.6</v>
      </c>
      <c r="L26" s="52">
        <f t="shared" si="14"/>
        <v>42520</v>
      </c>
      <c r="M26" s="52">
        <v>42520</v>
      </c>
      <c r="N26" s="53">
        <f t="shared" si="3"/>
        <v>0</v>
      </c>
      <c r="O26" s="51">
        <f t="shared" si="13"/>
        <v>-5.2000023424625397E-3</v>
      </c>
      <c r="P26" s="51">
        <f t="shared" si="5"/>
        <v>-5.2000023424625397E-3</v>
      </c>
      <c r="Q26" s="54"/>
      <c r="R26" s="223">
        <f t="shared" si="6"/>
        <v>0</v>
      </c>
      <c r="S26" s="223">
        <f t="shared" si="7"/>
        <v>0</v>
      </c>
      <c r="T26" s="223">
        <f t="shared" si="8"/>
        <v>0</v>
      </c>
      <c r="U26" s="223">
        <f t="shared" si="9"/>
        <v>0</v>
      </c>
      <c r="V26" s="223">
        <f t="shared" si="10"/>
        <v>0</v>
      </c>
    </row>
    <row r="27" spans="1:22" ht="19.5" customHeight="1">
      <c r="A27" s="56" t="s">
        <v>106</v>
      </c>
      <c r="B27" s="57">
        <v>1133002371</v>
      </c>
      <c r="C27" s="58">
        <v>42531</v>
      </c>
      <c r="D27" s="59">
        <v>42521</v>
      </c>
      <c r="E27" s="51">
        <v>1559950</v>
      </c>
      <c r="F27" s="51"/>
      <c r="G27" s="51">
        <f t="shared" si="0"/>
        <v>0</v>
      </c>
      <c r="H27" s="51"/>
      <c r="I27" s="51">
        <f t="shared" si="1"/>
        <v>1559950</v>
      </c>
      <c r="J27" s="51">
        <f t="shared" si="2"/>
        <v>1871940</v>
      </c>
      <c r="K27" s="51"/>
      <c r="L27" s="52">
        <f t="shared" si="14"/>
        <v>42581</v>
      </c>
      <c r="M27" s="52">
        <v>42520</v>
      </c>
      <c r="N27" s="53">
        <f t="shared" si="3"/>
        <v>61</v>
      </c>
      <c r="O27" s="51">
        <f t="shared" si="13"/>
        <v>1871940</v>
      </c>
      <c r="P27" s="51">
        <f t="shared" si="5"/>
        <v>1871940</v>
      </c>
      <c r="Q27" s="54"/>
      <c r="R27" s="223">
        <f t="shared" si="6"/>
        <v>0</v>
      </c>
      <c r="S27" s="223">
        <f t="shared" si="7"/>
        <v>0</v>
      </c>
      <c r="T27" s="223">
        <f t="shared" si="8"/>
        <v>0</v>
      </c>
      <c r="U27" s="223">
        <f t="shared" si="9"/>
        <v>0</v>
      </c>
      <c r="V27" s="223">
        <f t="shared" si="10"/>
        <v>0</v>
      </c>
    </row>
    <row r="28" spans="1:22" ht="19.5" customHeight="1">
      <c r="A28" s="56" t="s">
        <v>107</v>
      </c>
      <c r="B28" s="57">
        <v>1133002837</v>
      </c>
      <c r="C28" s="58">
        <v>42790</v>
      </c>
      <c r="D28" s="59">
        <v>42767</v>
      </c>
      <c r="E28" s="51">
        <v>-1559950</v>
      </c>
      <c r="F28" s="51"/>
      <c r="G28" s="51">
        <f t="shared" si="0"/>
        <v>0</v>
      </c>
      <c r="H28" s="51"/>
      <c r="I28" s="51">
        <f t="shared" si="1"/>
        <v>-1559950</v>
      </c>
      <c r="J28" s="51">
        <f t="shared" si="2"/>
        <v>-1871940</v>
      </c>
      <c r="K28" s="51"/>
      <c r="L28" s="52">
        <f>+L27</f>
        <v>42581</v>
      </c>
      <c r="M28" s="52">
        <v>42520</v>
      </c>
      <c r="N28" s="53">
        <f t="shared" si="3"/>
        <v>61</v>
      </c>
      <c r="O28" s="51">
        <f t="shared" si="13"/>
        <v>-1871940</v>
      </c>
      <c r="P28" s="51">
        <f t="shared" si="5"/>
        <v>-1871940</v>
      </c>
      <c r="Q28" s="54"/>
      <c r="R28" s="223">
        <f t="shared" si="6"/>
        <v>0</v>
      </c>
      <c r="S28" s="223">
        <f t="shared" si="7"/>
        <v>0</v>
      </c>
      <c r="T28" s="223">
        <f t="shared" si="8"/>
        <v>0</v>
      </c>
      <c r="U28" s="223">
        <f t="shared" si="9"/>
        <v>0</v>
      </c>
      <c r="V28" s="223">
        <f t="shared" si="10"/>
        <v>0</v>
      </c>
    </row>
    <row r="29" spans="1:22" ht="19.5" customHeight="1">
      <c r="A29" s="56">
        <v>17</v>
      </c>
      <c r="B29" s="57">
        <v>1133002374</v>
      </c>
      <c r="C29" s="58">
        <v>42531</v>
      </c>
      <c r="D29" s="59">
        <v>42490</v>
      </c>
      <c r="E29" s="51">
        <f>7478137+1023709.11</f>
        <v>8501846.1099999994</v>
      </c>
      <c r="F29" s="51">
        <f t="shared" ref="F29:F34" si="17">-E29*$F$10</f>
        <v>-850184.61100000003</v>
      </c>
      <c r="G29" s="51">
        <f t="shared" si="0"/>
        <v>0</v>
      </c>
      <c r="H29" s="51"/>
      <c r="I29" s="51">
        <f t="shared" si="1"/>
        <v>7651661.4989999998</v>
      </c>
      <c r="J29" s="51">
        <f t="shared" si="2"/>
        <v>9181993.7987999991</v>
      </c>
      <c r="K29" s="51">
        <v>9181993.8000000007</v>
      </c>
      <c r="L29" s="52">
        <f t="shared" si="14"/>
        <v>42550</v>
      </c>
      <c r="M29" s="52">
        <v>42549</v>
      </c>
      <c r="N29" s="53">
        <f t="shared" si="3"/>
        <v>1</v>
      </c>
      <c r="O29" s="51">
        <f t="shared" si="13"/>
        <v>-1.2000016868114471E-3</v>
      </c>
      <c r="P29" s="51">
        <f t="shared" si="5"/>
        <v>-1.2000016868114471E-3</v>
      </c>
      <c r="Q29" s="54"/>
      <c r="R29" s="223">
        <f t="shared" si="6"/>
        <v>0</v>
      </c>
      <c r="S29" s="223">
        <f t="shared" si="7"/>
        <v>0</v>
      </c>
      <c r="T29" s="223">
        <f t="shared" si="8"/>
        <v>0</v>
      </c>
      <c r="U29" s="223">
        <f t="shared" si="9"/>
        <v>0</v>
      </c>
      <c r="V29" s="223">
        <f t="shared" si="10"/>
        <v>0</v>
      </c>
    </row>
    <row r="30" spans="1:22" ht="19.5" customHeight="1">
      <c r="A30" s="56">
        <v>18</v>
      </c>
      <c r="B30" s="57">
        <v>1133002409</v>
      </c>
      <c r="C30" s="58">
        <v>42562</v>
      </c>
      <c r="D30" s="59">
        <v>42521</v>
      </c>
      <c r="E30" s="51">
        <v>7123503.5199999996</v>
      </c>
      <c r="F30" s="51">
        <f t="shared" si="17"/>
        <v>-712350.35199999996</v>
      </c>
      <c r="G30" s="51">
        <f t="shared" si="0"/>
        <v>0</v>
      </c>
      <c r="H30" s="51"/>
      <c r="I30" s="51">
        <f t="shared" si="1"/>
        <v>6411153.1679999996</v>
      </c>
      <c r="J30" s="51">
        <f t="shared" si="2"/>
        <v>7693383.8015999999</v>
      </c>
      <c r="K30" s="51">
        <v>7693383.7999999998</v>
      </c>
      <c r="L30" s="52">
        <f t="shared" si="14"/>
        <v>42581</v>
      </c>
      <c r="M30" s="52">
        <v>42592</v>
      </c>
      <c r="N30" s="53">
        <f t="shared" si="3"/>
        <v>-11</v>
      </c>
      <c r="O30" s="51">
        <f t="shared" si="13"/>
        <v>1.6000000759959221E-3</v>
      </c>
      <c r="P30" s="51">
        <f t="shared" si="5"/>
        <v>1.6000000759959221E-3</v>
      </c>
      <c r="Q30" s="54"/>
      <c r="R30" s="223">
        <f t="shared" si="6"/>
        <v>1.6000000759959221E-3</v>
      </c>
      <c r="S30" s="223">
        <f t="shared" si="7"/>
        <v>0</v>
      </c>
      <c r="T30" s="223">
        <f t="shared" si="8"/>
        <v>0</v>
      </c>
      <c r="U30" s="223">
        <f t="shared" si="9"/>
        <v>0</v>
      </c>
      <c r="V30" s="223">
        <f t="shared" si="10"/>
        <v>0</v>
      </c>
    </row>
    <row r="31" spans="1:22" ht="19.5" customHeight="1">
      <c r="A31" s="56">
        <v>19</v>
      </c>
      <c r="B31" s="57">
        <v>1133002448</v>
      </c>
      <c r="C31" s="58">
        <v>42594</v>
      </c>
      <c r="D31" s="59">
        <v>42551</v>
      </c>
      <c r="E31" s="51">
        <f>7203443.76+986105.37</f>
        <v>8189549.1299999999</v>
      </c>
      <c r="F31" s="51">
        <f t="shared" si="17"/>
        <v>-818954.91300000006</v>
      </c>
      <c r="G31" s="51">
        <f t="shared" si="0"/>
        <v>0</v>
      </c>
      <c r="H31" s="51"/>
      <c r="I31" s="51">
        <f t="shared" si="1"/>
        <v>7370594.2170000002</v>
      </c>
      <c r="J31" s="51">
        <f t="shared" si="2"/>
        <v>8844713.0603999998</v>
      </c>
      <c r="K31" s="51">
        <v>8844713.0600000005</v>
      </c>
      <c r="L31" s="52">
        <f t="shared" si="14"/>
        <v>42611</v>
      </c>
      <c r="M31" s="52">
        <v>42612</v>
      </c>
      <c r="N31" s="53">
        <f t="shared" si="3"/>
        <v>-1</v>
      </c>
      <c r="O31" s="51">
        <f t="shared" si="13"/>
        <v>3.9999932050704956E-4</v>
      </c>
      <c r="P31" s="51">
        <f t="shared" si="5"/>
        <v>3.9999932050704956E-4</v>
      </c>
      <c r="Q31" s="54"/>
      <c r="R31" s="223">
        <f t="shared" si="6"/>
        <v>3.9999932050704956E-4</v>
      </c>
      <c r="S31" s="223">
        <f t="shared" si="7"/>
        <v>0</v>
      </c>
      <c r="T31" s="223">
        <f t="shared" si="8"/>
        <v>0</v>
      </c>
      <c r="U31" s="223">
        <f t="shared" si="9"/>
        <v>0</v>
      </c>
      <c r="V31" s="223">
        <f t="shared" si="10"/>
        <v>0</v>
      </c>
    </row>
    <row r="32" spans="1:22" ht="19.5" customHeight="1">
      <c r="A32" s="56">
        <v>20</v>
      </c>
      <c r="B32" s="57">
        <v>1133002467</v>
      </c>
      <c r="C32" s="58">
        <v>42613</v>
      </c>
      <c r="D32" s="59">
        <v>42582</v>
      </c>
      <c r="E32" s="51">
        <f>4936500.54+675775.35</f>
        <v>5612275.8899999997</v>
      </c>
      <c r="F32" s="51">
        <f t="shared" si="17"/>
        <v>-561227.58900000004</v>
      </c>
      <c r="G32" s="51">
        <f t="shared" si="0"/>
        <v>0</v>
      </c>
      <c r="H32" s="51"/>
      <c r="I32" s="51">
        <f t="shared" si="1"/>
        <v>5051048.301</v>
      </c>
      <c r="J32" s="51">
        <f t="shared" si="2"/>
        <v>6061257.9611999998</v>
      </c>
      <c r="K32" s="51">
        <v>6061257.96</v>
      </c>
      <c r="L32" s="52">
        <f t="shared" si="14"/>
        <v>42642</v>
      </c>
      <c r="M32" s="52">
        <v>42641</v>
      </c>
      <c r="N32" s="53">
        <f t="shared" si="3"/>
        <v>1</v>
      </c>
      <c r="O32" s="51">
        <f t="shared" si="13"/>
        <v>1.1999998241662979E-3</v>
      </c>
      <c r="P32" s="51">
        <f t="shared" si="5"/>
        <v>1.1999998241662979E-3</v>
      </c>
      <c r="Q32" s="54"/>
      <c r="R32" s="223">
        <f t="shared" si="6"/>
        <v>0</v>
      </c>
      <c r="S32" s="223">
        <f t="shared" si="7"/>
        <v>0</v>
      </c>
      <c r="T32" s="223">
        <f t="shared" si="8"/>
        <v>0</v>
      </c>
      <c r="U32" s="223">
        <f t="shared" si="9"/>
        <v>0</v>
      </c>
      <c r="V32" s="223">
        <f t="shared" si="10"/>
        <v>0</v>
      </c>
    </row>
    <row r="33" spans="1:22" ht="19.5" customHeight="1">
      <c r="A33" s="56">
        <v>21</v>
      </c>
      <c r="B33" s="57">
        <v>1133002513</v>
      </c>
      <c r="C33" s="58">
        <v>42649</v>
      </c>
      <c r="D33" s="59">
        <v>42613</v>
      </c>
      <c r="E33" s="51">
        <f>7521253.11+1029611.43</f>
        <v>8550864.540000001</v>
      </c>
      <c r="F33" s="51">
        <f t="shared" si="17"/>
        <v>-855086.45400000014</v>
      </c>
      <c r="G33" s="51">
        <f t="shared" si="0"/>
        <v>0</v>
      </c>
      <c r="H33" s="51"/>
      <c r="I33" s="51">
        <f t="shared" si="1"/>
        <v>7695778.0860000011</v>
      </c>
      <c r="J33" s="51">
        <f>+I33+(I33*$I$4)</f>
        <v>9234933.7032000013</v>
      </c>
      <c r="K33" s="51">
        <v>9234933.7100000009</v>
      </c>
      <c r="L33" s="52">
        <f t="shared" si="14"/>
        <v>42673</v>
      </c>
      <c r="M33" s="52">
        <v>42674</v>
      </c>
      <c r="N33" s="53">
        <f t="shared" si="3"/>
        <v>-1</v>
      </c>
      <c r="O33" s="51">
        <f t="shared" si="13"/>
        <v>-6.7999996244907379E-3</v>
      </c>
      <c r="P33" s="51">
        <f t="shared" si="5"/>
        <v>-6.7999996244907379E-3</v>
      </c>
      <c r="Q33" s="54"/>
      <c r="R33" s="223">
        <f t="shared" si="6"/>
        <v>-6.7999996244907379E-3</v>
      </c>
      <c r="S33" s="223">
        <f t="shared" si="7"/>
        <v>0</v>
      </c>
      <c r="T33" s="223">
        <f t="shared" si="8"/>
        <v>0</v>
      </c>
      <c r="U33" s="223">
        <f t="shared" si="9"/>
        <v>0</v>
      </c>
      <c r="V33" s="223">
        <f t="shared" si="10"/>
        <v>0</v>
      </c>
    </row>
    <row r="34" spans="1:22" ht="19.5" customHeight="1">
      <c r="A34" s="56">
        <v>22</v>
      </c>
      <c r="B34" s="57">
        <v>1133002549</v>
      </c>
      <c r="C34" s="58">
        <v>42674</v>
      </c>
      <c r="D34" s="59">
        <v>42643</v>
      </c>
      <c r="E34" s="51">
        <v>3765475.19</v>
      </c>
      <c r="F34" s="51">
        <f t="shared" si="17"/>
        <v>-376547.51900000003</v>
      </c>
      <c r="G34" s="51">
        <f t="shared" si="0"/>
        <v>0</v>
      </c>
      <c r="H34" s="51"/>
      <c r="I34" s="51">
        <f t="shared" si="1"/>
        <v>3388927.6710000001</v>
      </c>
      <c r="J34" s="51">
        <f>+I34+(I34*$I$4)</f>
        <v>4066713.2052000002</v>
      </c>
      <c r="K34" s="51">
        <v>4066713.2</v>
      </c>
      <c r="L34" s="52">
        <f t="shared" si="14"/>
        <v>42703</v>
      </c>
      <c r="M34" s="52">
        <v>42704</v>
      </c>
      <c r="N34" s="53">
        <f t="shared" si="3"/>
        <v>-1</v>
      </c>
      <c r="O34" s="51">
        <f t="shared" si="13"/>
        <v>5.2000000141561031E-3</v>
      </c>
      <c r="P34" s="51">
        <f t="shared" si="5"/>
        <v>5.2000000141561031E-3</v>
      </c>
      <c r="Q34" s="54"/>
      <c r="R34" s="223">
        <f t="shared" si="6"/>
        <v>5.2000000141561031E-3</v>
      </c>
      <c r="S34" s="223">
        <f t="shared" si="7"/>
        <v>0</v>
      </c>
      <c r="T34" s="223">
        <f t="shared" si="8"/>
        <v>0</v>
      </c>
      <c r="U34" s="223">
        <f t="shared" si="9"/>
        <v>0</v>
      </c>
      <c r="V34" s="223">
        <f t="shared" si="10"/>
        <v>0</v>
      </c>
    </row>
    <row r="35" spans="1:22" ht="19.5" customHeight="1">
      <c r="A35" s="56">
        <v>23</v>
      </c>
      <c r="B35" s="57">
        <v>1133002666</v>
      </c>
      <c r="C35" s="58">
        <v>42718</v>
      </c>
      <c r="D35" s="59">
        <v>42674</v>
      </c>
      <c r="E35" s="51">
        <f>6561714.54+898256.74-494370-52000</f>
        <v>6913601.2800000003</v>
      </c>
      <c r="F35" s="51">
        <v>-745997.13</v>
      </c>
      <c r="G35" s="51">
        <f t="shared" si="0"/>
        <v>0</v>
      </c>
      <c r="H35" s="51"/>
      <c r="I35" s="51">
        <f t="shared" si="1"/>
        <v>6167604.1500000004</v>
      </c>
      <c r="J35" s="51">
        <f t="shared" ref="J35:J42" si="18">+I35+(I35*$I$4)</f>
        <v>7401124.9800000004</v>
      </c>
      <c r="K35" s="51">
        <v>7401124.9800000004</v>
      </c>
      <c r="L35" s="52">
        <f t="shared" si="14"/>
        <v>42734</v>
      </c>
      <c r="M35" s="52">
        <v>42739</v>
      </c>
      <c r="N35" s="53">
        <f t="shared" si="3"/>
        <v>-5</v>
      </c>
      <c r="O35" s="51">
        <f t="shared" si="13"/>
        <v>0</v>
      </c>
      <c r="P35" s="51">
        <f t="shared" si="5"/>
        <v>0</v>
      </c>
      <c r="Q35" s="54"/>
      <c r="R35" s="223">
        <f t="shared" si="6"/>
        <v>0</v>
      </c>
      <c r="S35" s="223">
        <f t="shared" si="7"/>
        <v>0</v>
      </c>
      <c r="T35" s="223">
        <f t="shared" si="8"/>
        <v>0</v>
      </c>
      <c r="U35" s="223">
        <f t="shared" si="9"/>
        <v>0</v>
      </c>
      <c r="V35" s="223">
        <f t="shared" si="10"/>
        <v>0</v>
      </c>
    </row>
    <row r="36" spans="1:22" ht="19.5" customHeight="1">
      <c r="A36" s="56">
        <v>24</v>
      </c>
      <c r="B36" s="57">
        <v>1133002735</v>
      </c>
      <c r="C36" s="58">
        <v>42727</v>
      </c>
      <c r="D36" s="59">
        <v>42704</v>
      </c>
      <c r="E36" s="51">
        <f>3920322.57+536667.09</f>
        <v>4456989.66</v>
      </c>
      <c r="F36" s="51">
        <f t="shared" ref="F36" si="19">-E36*$F$10</f>
        <v>-445698.96600000001</v>
      </c>
      <c r="G36" s="51">
        <f t="shared" si="0"/>
        <v>0</v>
      </c>
      <c r="H36" s="51"/>
      <c r="I36" s="51">
        <f t="shared" si="1"/>
        <v>4011290.6940000001</v>
      </c>
      <c r="J36" s="51">
        <f t="shared" si="18"/>
        <v>4813548.8328</v>
      </c>
      <c r="K36" s="51">
        <v>4813548.83</v>
      </c>
      <c r="L36" s="52">
        <f t="shared" si="14"/>
        <v>42764</v>
      </c>
      <c r="M36" s="52">
        <v>42765</v>
      </c>
      <c r="N36" s="53">
        <f t="shared" si="3"/>
        <v>-1</v>
      </c>
      <c r="O36" s="51">
        <f t="shared" si="13"/>
        <v>2.79999990016222E-3</v>
      </c>
      <c r="P36" s="51">
        <f t="shared" si="5"/>
        <v>2.79999990016222E-3</v>
      </c>
      <c r="Q36" s="54"/>
      <c r="R36" s="223">
        <f t="shared" si="6"/>
        <v>2.79999990016222E-3</v>
      </c>
      <c r="S36" s="223">
        <f t="shared" si="7"/>
        <v>0</v>
      </c>
      <c r="T36" s="223">
        <f t="shared" si="8"/>
        <v>0</v>
      </c>
      <c r="U36" s="223">
        <f t="shared" si="9"/>
        <v>0</v>
      </c>
      <c r="V36" s="223">
        <f t="shared" si="10"/>
        <v>0</v>
      </c>
    </row>
    <row r="37" spans="1:22" ht="19.5" customHeight="1">
      <c r="A37" s="56">
        <v>25</v>
      </c>
      <c r="B37" s="57">
        <v>1133002824</v>
      </c>
      <c r="C37" s="58">
        <v>42779</v>
      </c>
      <c r="D37" s="59">
        <v>42735</v>
      </c>
      <c r="E37" s="51">
        <f>2813211.43+385110.64-12690</f>
        <v>3185632.0700000003</v>
      </c>
      <c r="F37" s="51">
        <v>-319832.21000000002</v>
      </c>
      <c r="G37" s="51">
        <f t="shared" si="0"/>
        <v>0</v>
      </c>
      <c r="H37" s="51"/>
      <c r="I37" s="51">
        <f t="shared" si="1"/>
        <v>2865799.8600000003</v>
      </c>
      <c r="J37" s="51">
        <f t="shared" si="18"/>
        <v>3438959.8320000004</v>
      </c>
      <c r="K37" s="51">
        <v>3438959.83</v>
      </c>
      <c r="L37" s="52">
        <f t="shared" si="14"/>
        <v>42795</v>
      </c>
      <c r="M37" s="52">
        <v>42793</v>
      </c>
      <c r="N37" s="53">
        <f t="shared" si="3"/>
        <v>2</v>
      </c>
      <c r="O37" s="51">
        <f t="shared" si="13"/>
        <v>2.0000003278255463E-3</v>
      </c>
      <c r="P37" s="51">
        <f t="shared" si="5"/>
        <v>2.0000003278255463E-3</v>
      </c>
      <c r="Q37" s="54"/>
      <c r="R37" s="223">
        <f t="shared" si="6"/>
        <v>0</v>
      </c>
      <c r="S37" s="223">
        <f t="shared" si="7"/>
        <v>0</v>
      </c>
      <c r="T37" s="223">
        <f t="shared" si="8"/>
        <v>0</v>
      </c>
      <c r="U37" s="223">
        <f t="shared" si="9"/>
        <v>0</v>
      </c>
      <c r="V37" s="223">
        <f t="shared" si="10"/>
        <v>0</v>
      </c>
    </row>
    <row r="38" spans="1:22" ht="19.5" customHeight="1">
      <c r="A38" s="56">
        <v>26</v>
      </c>
      <c r="B38" s="57">
        <v>1133002873</v>
      </c>
      <c r="C38" s="58">
        <v>42807</v>
      </c>
      <c r="D38" s="59">
        <v>42766</v>
      </c>
      <c r="E38" s="51">
        <f>3352087.44+458879.33-12000</f>
        <v>3798966.77</v>
      </c>
      <c r="F38" s="51">
        <v>-381096.68</v>
      </c>
      <c r="G38" s="51">
        <f t="shared" si="0"/>
        <v>0</v>
      </c>
      <c r="H38" s="51"/>
      <c r="I38" s="51">
        <f t="shared" si="1"/>
        <v>3417870.09</v>
      </c>
      <c r="J38" s="51">
        <f t="shared" si="18"/>
        <v>4101444.108</v>
      </c>
      <c r="K38" s="51">
        <v>4101444.11</v>
      </c>
      <c r="L38" s="52">
        <f t="shared" si="14"/>
        <v>42826</v>
      </c>
      <c r="M38" s="52">
        <v>42818</v>
      </c>
      <c r="N38" s="53">
        <f t="shared" si="3"/>
        <v>8</v>
      </c>
      <c r="O38" s="51">
        <f t="shared" si="13"/>
        <v>-1.999999862164259E-3</v>
      </c>
      <c r="P38" s="51">
        <f t="shared" si="5"/>
        <v>-1.999999862164259E-3</v>
      </c>
      <c r="Q38" s="54"/>
      <c r="R38" s="223">
        <f t="shared" si="6"/>
        <v>0</v>
      </c>
      <c r="S38" s="223">
        <f t="shared" si="7"/>
        <v>0</v>
      </c>
      <c r="T38" s="223">
        <f t="shared" si="8"/>
        <v>0</v>
      </c>
      <c r="U38" s="223">
        <f t="shared" si="9"/>
        <v>0</v>
      </c>
      <c r="V38" s="223">
        <f t="shared" si="10"/>
        <v>0</v>
      </c>
    </row>
    <row r="39" spans="1:22" ht="19.5" customHeight="1">
      <c r="A39" s="56">
        <v>27</v>
      </c>
      <c r="B39" s="57">
        <v>1133003053</v>
      </c>
      <c r="C39" s="58">
        <v>42944</v>
      </c>
      <c r="D39" s="59">
        <v>42941</v>
      </c>
      <c r="E39" s="51">
        <f>4264103.71+583728.52-4000</f>
        <v>4843832.2300000004</v>
      </c>
      <c r="F39" s="51">
        <v>-484783.75</v>
      </c>
      <c r="G39" s="51">
        <f t="shared" si="0"/>
        <v>0</v>
      </c>
      <c r="H39" s="51"/>
      <c r="I39" s="51">
        <f t="shared" si="1"/>
        <v>4359048.4800000004</v>
      </c>
      <c r="J39" s="51">
        <f t="shared" si="18"/>
        <v>5230858.1760000009</v>
      </c>
      <c r="K39" s="51"/>
      <c r="L39" s="52">
        <f t="shared" si="14"/>
        <v>43001</v>
      </c>
      <c r="M39" s="52"/>
      <c r="N39" s="53">
        <f t="shared" si="3"/>
        <v>-68</v>
      </c>
      <c r="O39" s="51">
        <f t="shared" si="13"/>
        <v>5230858.1760000009</v>
      </c>
      <c r="P39" s="51">
        <f t="shared" si="5"/>
        <v>5230858.1760000009</v>
      </c>
      <c r="Q39" s="54"/>
      <c r="R39" s="223">
        <f t="shared" si="6"/>
        <v>0</v>
      </c>
      <c r="S39" s="223">
        <f t="shared" si="7"/>
        <v>5230858.1760000009</v>
      </c>
      <c r="T39" s="223">
        <f t="shared" si="8"/>
        <v>0</v>
      </c>
      <c r="U39" s="223">
        <f t="shared" si="9"/>
        <v>0</v>
      </c>
      <c r="V39" s="223">
        <f t="shared" si="10"/>
        <v>0</v>
      </c>
    </row>
    <row r="40" spans="1:22" ht="19.5" customHeight="1">
      <c r="A40" s="56">
        <v>28</v>
      </c>
      <c r="B40" s="57">
        <v>1133003130</v>
      </c>
      <c r="C40" s="58">
        <v>42965</v>
      </c>
      <c r="D40" s="59">
        <v>42965</v>
      </c>
      <c r="E40" s="51">
        <v>87835</v>
      </c>
      <c r="F40" s="51">
        <v>0</v>
      </c>
      <c r="G40" s="51"/>
      <c r="H40" s="51"/>
      <c r="I40" s="51">
        <f t="shared" si="1"/>
        <v>87835</v>
      </c>
      <c r="J40" s="51">
        <f t="shared" si="18"/>
        <v>105402</v>
      </c>
      <c r="K40" s="51">
        <f>+J40</f>
        <v>105402</v>
      </c>
      <c r="L40" s="52">
        <f t="shared" si="14"/>
        <v>43025</v>
      </c>
      <c r="M40" s="52">
        <v>42977</v>
      </c>
      <c r="N40" s="53">
        <f t="shared" si="3"/>
        <v>48</v>
      </c>
      <c r="O40" s="51">
        <f t="shared" si="13"/>
        <v>0</v>
      </c>
      <c r="P40" s="51">
        <f t="shared" si="5"/>
        <v>0</v>
      </c>
      <c r="Q40" s="54"/>
      <c r="R40" s="223">
        <f t="shared" si="6"/>
        <v>0</v>
      </c>
      <c r="S40" s="223">
        <f t="shared" si="7"/>
        <v>0</v>
      </c>
      <c r="T40" s="223">
        <f t="shared" si="8"/>
        <v>0</v>
      </c>
      <c r="U40" s="223">
        <f t="shared" si="9"/>
        <v>0</v>
      </c>
      <c r="V40" s="223">
        <f t="shared" si="10"/>
        <v>0</v>
      </c>
    </row>
    <row r="41" spans="1:22" ht="19.5" customHeight="1">
      <c r="A41" s="56"/>
      <c r="B41" s="57"/>
      <c r="C41" s="58"/>
      <c r="D41" s="59"/>
      <c r="E41" s="51"/>
      <c r="F41" s="51">
        <f t="shared" ref="F41:F42" si="20">-E41*$F$10</f>
        <v>0</v>
      </c>
      <c r="G41" s="51">
        <f t="shared" ref="G41:G42" si="21">E41*$G$10</f>
        <v>0</v>
      </c>
      <c r="H41" s="51"/>
      <c r="I41" s="51">
        <f t="shared" si="1"/>
        <v>0</v>
      </c>
      <c r="J41" s="51">
        <f t="shared" si="18"/>
        <v>0</v>
      </c>
      <c r="K41" s="51"/>
      <c r="L41" s="52"/>
      <c r="M41" s="52"/>
      <c r="N41" s="53">
        <f t="shared" si="3"/>
        <v>0</v>
      </c>
      <c r="O41" s="51">
        <f t="shared" si="13"/>
        <v>0</v>
      </c>
      <c r="P41" s="51">
        <f t="shared" si="5"/>
        <v>0</v>
      </c>
      <c r="Q41" s="54"/>
      <c r="R41" s="223">
        <f t="shared" si="6"/>
        <v>0</v>
      </c>
      <c r="S41" s="223">
        <f t="shared" si="7"/>
        <v>0</v>
      </c>
      <c r="T41" s="223">
        <f t="shared" si="8"/>
        <v>0</v>
      </c>
      <c r="U41" s="223">
        <f t="shared" si="9"/>
        <v>0</v>
      </c>
      <c r="V41" s="223">
        <f t="shared" si="10"/>
        <v>0</v>
      </c>
    </row>
    <row r="42" spans="1:22" ht="19.5" customHeight="1">
      <c r="A42" s="56"/>
      <c r="B42" s="57"/>
      <c r="C42" s="58"/>
      <c r="D42" s="59"/>
      <c r="E42" s="51"/>
      <c r="F42" s="51">
        <f t="shared" si="20"/>
        <v>0</v>
      </c>
      <c r="G42" s="51">
        <f t="shared" si="21"/>
        <v>0</v>
      </c>
      <c r="H42" s="51"/>
      <c r="I42" s="51">
        <f t="shared" si="1"/>
        <v>0</v>
      </c>
      <c r="J42" s="51">
        <f t="shared" si="18"/>
        <v>0</v>
      </c>
      <c r="K42" s="51"/>
      <c r="L42" s="52"/>
      <c r="M42" s="52"/>
      <c r="N42" s="53">
        <f t="shared" si="3"/>
        <v>0</v>
      </c>
      <c r="O42" s="51">
        <f t="shared" si="13"/>
        <v>0</v>
      </c>
      <c r="P42" s="51">
        <f t="shared" si="5"/>
        <v>0</v>
      </c>
      <c r="Q42" s="54"/>
      <c r="R42" s="223">
        <f t="shared" si="6"/>
        <v>0</v>
      </c>
      <c r="S42" s="223">
        <f t="shared" si="7"/>
        <v>0</v>
      </c>
      <c r="T42" s="223">
        <f t="shared" si="8"/>
        <v>0</v>
      </c>
      <c r="U42" s="223">
        <f t="shared" si="9"/>
        <v>0</v>
      </c>
      <c r="V42" s="223">
        <f t="shared" si="10"/>
        <v>0</v>
      </c>
    </row>
    <row r="43" spans="1:22" ht="19.5" customHeight="1" thickBot="1">
      <c r="A43" s="56"/>
      <c r="B43" s="57"/>
      <c r="C43" s="58"/>
      <c r="D43" s="59"/>
      <c r="E43" s="51"/>
      <c r="F43" s="51"/>
      <c r="G43" s="51"/>
      <c r="H43" s="51"/>
      <c r="I43" s="51"/>
      <c r="J43" s="51"/>
      <c r="K43" s="51"/>
      <c r="L43" s="52"/>
      <c r="M43" s="52"/>
      <c r="N43" s="53"/>
      <c r="O43" s="51"/>
      <c r="P43" s="51"/>
      <c r="Q43" s="54"/>
      <c r="R43" s="223"/>
      <c r="S43" s="223"/>
      <c r="T43" s="223"/>
      <c r="U43" s="223"/>
      <c r="V43" s="223"/>
    </row>
    <row r="44" spans="1:22" s="54" customFormat="1" ht="28.5" customHeight="1" thickBot="1">
      <c r="A44" s="234"/>
      <c r="B44" s="235" t="s">
        <v>58</v>
      </c>
      <c r="C44" s="235"/>
      <c r="D44" s="235"/>
      <c r="E44" s="236">
        <f t="shared" ref="E44:K44" si="22">SUM(E12:E43)</f>
        <v>235080890.69</v>
      </c>
      <c r="F44" s="236">
        <f t="shared" si="22"/>
        <v>-3.9999995497055352E-3</v>
      </c>
      <c r="G44" s="236">
        <f t="shared" si="22"/>
        <v>0</v>
      </c>
      <c r="H44" s="236">
        <f t="shared" si="22"/>
        <v>0</v>
      </c>
      <c r="I44" s="236">
        <f t="shared" si="22"/>
        <v>235080890.68600005</v>
      </c>
      <c r="J44" s="236">
        <f t="shared" si="22"/>
        <v>282097068.82319999</v>
      </c>
      <c r="K44" s="236">
        <f t="shared" si="22"/>
        <v>276866210.62840003</v>
      </c>
      <c r="L44" s="237"/>
      <c r="M44" s="237"/>
      <c r="N44" s="237"/>
      <c r="O44" s="236">
        <f>SUM(O12:O43)</f>
        <v>5230858.1947999932</v>
      </c>
      <c r="P44" s="238">
        <f>SUM(P12:P43)</f>
        <v>5230858.1947999932</v>
      </c>
      <c r="R44" s="68">
        <f>SUM(R12:R43)</f>
        <v>5.1999981515109539E-3</v>
      </c>
      <c r="S44" s="68">
        <f>SUM(S12:S43)</f>
        <v>5230858.1760000009</v>
      </c>
      <c r="T44" s="68">
        <f>SUM(T12:T43)</f>
        <v>0</v>
      </c>
      <c r="U44" s="68">
        <f>SUM(U12:U43)</f>
        <v>0</v>
      </c>
      <c r="V44" s="68">
        <f>SUM(V12:V43)</f>
        <v>0</v>
      </c>
    </row>
    <row r="45" spans="1:22" ht="21" customHeight="1">
      <c r="A45" s="69"/>
      <c r="B45" s="70"/>
      <c r="C45" s="70"/>
      <c r="D45" s="71" t="s">
        <v>59</v>
      </c>
      <c r="E45" s="72">
        <f>+E44/$M$7</f>
        <v>0.95934739426608262</v>
      </c>
      <c r="F45" s="70"/>
      <c r="G45" s="70"/>
      <c r="H45" s="70"/>
      <c r="I45" s="70"/>
      <c r="J45" s="71" t="s">
        <v>60</v>
      </c>
      <c r="K45" s="72">
        <f>+K44/J44</f>
        <v>0.98145724017402558</v>
      </c>
      <c r="L45" s="70"/>
      <c r="M45" s="70"/>
      <c r="N45" s="70"/>
      <c r="O45" s="70"/>
      <c r="P45" s="73"/>
      <c r="Q45" s="54"/>
      <c r="R45" s="54"/>
      <c r="S45" s="54"/>
      <c r="T45" s="54"/>
      <c r="U45" s="54"/>
      <c r="V45" s="54"/>
    </row>
    <row r="46" spans="1:22" ht="21" customHeight="1" thickBot="1">
      <c r="A46" s="74"/>
      <c r="B46" s="75"/>
      <c r="C46" s="75"/>
      <c r="D46" s="76" t="s">
        <v>61</v>
      </c>
      <c r="E46" s="77">
        <f>+$M$7-$E$44</f>
        <v>9961616.4300000072</v>
      </c>
      <c r="F46" s="78">
        <f>+E46/M7</f>
        <v>4.06526057339174E-2</v>
      </c>
      <c r="G46" s="75"/>
      <c r="H46" s="75"/>
      <c r="I46" s="75"/>
      <c r="J46" s="75"/>
      <c r="K46" s="75"/>
      <c r="L46" s="75"/>
      <c r="M46" s="75"/>
      <c r="N46" s="75"/>
      <c r="O46" s="75"/>
      <c r="P46" s="79"/>
      <c r="Q46" s="54"/>
      <c r="R46" s="54"/>
      <c r="S46" s="54"/>
      <c r="T46" s="54"/>
      <c r="U46" s="54"/>
      <c r="V46" s="54"/>
    </row>
    <row r="47" spans="1:22">
      <c r="A47" s="54"/>
      <c r="B47" s="69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3"/>
      <c r="O47" s="54"/>
      <c r="P47" s="54"/>
      <c r="Q47" s="54"/>
      <c r="R47" s="54"/>
      <c r="S47" s="54"/>
      <c r="T47" s="54"/>
      <c r="U47" s="54"/>
      <c r="V47" s="54"/>
    </row>
    <row r="48" spans="1:22" ht="21">
      <c r="A48" s="54"/>
      <c r="B48" s="165"/>
      <c r="C48" s="239" t="s">
        <v>62</v>
      </c>
      <c r="D48" s="239"/>
      <c r="E48" s="239"/>
      <c r="F48" s="239"/>
      <c r="G48" s="239"/>
      <c r="H48" s="239" t="s">
        <v>105</v>
      </c>
      <c r="I48" s="167"/>
      <c r="J48" s="167"/>
      <c r="K48" s="167"/>
      <c r="L48" s="167"/>
      <c r="M48" s="167"/>
      <c r="N48" s="168"/>
      <c r="O48" s="54"/>
      <c r="P48" s="54"/>
      <c r="Q48" s="54"/>
      <c r="R48" s="54"/>
      <c r="S48" s="54"/>
      <c r="T48" s="54"/>
      <c r="U48" s="54"/>
      <c r="V48" s="54"/>
    </row>
    <row r="49" spans="1:22" ht="17.25" thickBot="1">
      <c r="A49" s="54"/>
      <c r="B49" s="165"/>
      <c r="C49" s="167"/>
      <c r="D49" s="167"/>
      <c r="E49" s="167"/>
      <c r="F49" s="167"/>
      <c r="G49" s="169"/>
      <c r="H49" s="167"/>
      <c r="I49" s="167"/>
      <c r="J49" s="167"/>
      <c r="K49" s="167"/>
      <c r="L49" s="167"/>
      <c r="M49" s="167"/>
      <c r="N49" s="168"/>
      <c r="O49" s="54"/>
      <c r="P49" s="54"/>
      <c r="Q49" s="54"/>
      <c r="R49" s="54"/>
      <c r="S49" s="54"/>
      <c r="T49" s="54"/>
      <c r="U49" s="54"/>
      <c r="V49" s="54"/>
    </row>
    <row r="50" spans="1:22" ht="18" customHeight="1" thickBot="1">
      <c r="A50" s="54"/>
      <c r="B50" s="165"/>
      <c r="C50" s="298" t="s">
        <v>63</v>
      </c>
      <c r="D50" s="299"/>
      <c r="E50" s="300"/>
      <c r="F50" s="170" t="s">
        <v>64</v>
      </c>
      <c r="G50" s="171">
        <f>+M7</f>
        <v>245042507.12</v>
      </c>
      <c r="H50" s="172"/>
      <c r="I50" s="173"/>
      <c r="J50" s="172"/>
      <c r="K50" s="172"/>
      <c r="L50" s="172"/>
      <c r="M50" s="172"/>
      <c r="N50" s="174"/>
      <c r="O50" s="54"/>
      <c r="P50" s="87">
        <v>21484158.059999999</v>
      </c>
      <c r="Q50" s="54"/>
      <c r="R50" s="54"/>
      <c r="S50" s="54"/>
      <c r="T50" s="54"/>
      <c r="U50" s="54"/>
      <c r="V50" s="54"/>
    </row>
    <row r="51" spans="1:22" ht="17.25" thickBot="1">
      <c r="A51" s="54"/>
      <c r="B51" s="165"/>
      <c r="C51" s="170"/>
      <c r="D51" s="170"/>
      <c r="E51" s="170"/>
      <c r="F51" s="170"/>
      <c r="G51" s="172"/>
      <c r="H51" s="172"/>
      <c r="I51" s="172"/>
      <c r="J51" s="172"/>
      <c r="K51" s="172"/>
      <c r="L51" s="172"/>
      <c r="M51" s="172"/>
      <c r="N51" s="174"/>
      <c r="O51" s="54"/>
      <c r="P51" s="54"/>
      <c r="Q51" s="54"/>
      <c r="R51" s="54"/>
      <c r="S51" s="54"/>
      <c r="T51" s="54"/>
      <c r="U51" s="54"/>
      <c r="V51" s="54"/>
    </row>
    <row r="52" spans="1:22" ht="18" customHeight="1" thickBot="1">
      <c r="A52" s="54"/>
      <c r="B52" s="165"/>
      <c r="C52" s="301" t="s">
        <v>65</v>
      </c>
      <c r="D52" s="302"/>
      <c r="E52" s="303"/>
      <c r="F52" s="170" t="s">
        <v>64</v>
      </c>
      <c r="G52" s="176">
        <f>+E44</f>
        <v>235080890.69</v>
      </c>
      <c r="H52" s="172"/>
      <c r="I52" s="172"/>
      <c r="J52" s="95">
        <f>G52/G50</f>
        <v>0.95934739426608262</v>
      </c>
      <c r="K52" s="177" t="s">
        <v>66</v>
      </c>
      <c r="L52" s="178"/>
      <c r="M52" s="178"/>
      <c r="N52" s="174"/>
      <c r="O52" s="54"/>
      <c r="P52" s="87">
        <v>541800513.23000002</v>
      </c>
      <c r="Q52" s="54"/>
      <c r="R52" s="54"/>
      <c r="S52" s="54"/>
      <c r="T52" s="54"/>
      <c r="U52" s="54"/>
      <c r="V52" s="54"/>
    </row>
    <row r="53" spans="1:22" ht="17.25" thickBot="1">
      <c r="B53" s="179"/>
      <c r="C53" s="170"/>
      <c r="D53" s="170"/>
      <c r="E53" s="170"/>
      <c r="F53" s="170"/>
      <c r="G53" s="172"/>
      <c r="H53" s="172"/>
      <c r="I53" s="172"/>
      <c r="J53" s="172"/>
      <c r="K53" s="180"/>
      <c r="L53" s="172"/>
      <c r="M53" s="172"/>
      <c r="N53" s="174"/>
    </row>
    <row r="54" spans="1:22" ht="18" customHeight="1" thickBot="1">
      <c r="B54" s="179"/>
      <c r="C54" s="304" t="s">
        <v>92</v>
      </c>
      <c r="D54" s="305"/>
      <c r="E54" s="306"/>
      <c r="F54" s="170" t="s">
        <v>68</v>
      </c>
      <c r="G54" s="101">
        <f>+K44</f>
        <v>276866210.62840003</v>
      </c>
      <c r="H54" s="172"/>
      <c r="I54" s="172"/>
      <c r="J54" s="102">
        <f>G54/J44</f>
        <v>0.98145724017402558</v>
      </c>
      <c r="K54" s="181" t="s">
        <v>69</v>
      </c>
      <c r="L54" s="182"/>
      <c r="M54" s="182"/>
      <c r="N54" s="174"/>
    </row>
    <row r="55" spans="1:22" ht="17.25" thickBot="1">
      <c r="B55" s="179"/>
      <c r="C55" s="170"/>
      <c r="D55" s="170"/>
      <c r="E55" s="170"/>
      <c r="F55" s="170"/>
      <c r="G55" s="172"/>
      <c r="H55" s="172"/>
      <c r="I55" s="172"/>
      <c r="J55" s="172"/>
      <c r="K55" s="180"/>
      <c r="L55" s="172"/>
      <c r="M55" s="172"/>
      <c r="N55" s="174"/>
    </row>
    <row r="56" spans="1:22" ht="18" customHeight="1" thickBot="1">
      <c r="B56" s="179"/>
      <c r="C56" s="304" t="s">
        <v>70</v>
      </c>
      <c r="D56" s="305"/>
      <c r="E56" s="306"/>
      <c r="F56" s="170" t="s">
        <v>68</v>
      </c>
      <c r="G56" s="106">
        <f>+O44</f>
        <v>5230858.1947999932</v>
      </c>
      <c r="H56" s="172"/>
      <c r="I56" s="172"/>
      <c r="J56" s="107">
        <f>G56/J44</f>
        <v>1.8542759825974489E-2</v>
      </c>
      <c r="K56" s="181" t="s">
        <v>69</v>
      </c>
      <c r="L56" s="183"/>
      <c r="M56" s="183"/>
      <c r="N56" s="174"/>
    </row>
    <row r="57" spans="1:22" ht="17.25" thickBot="1">
      <c r="B57" s="179"/>
      <c r="C57" s="170"/>
      <c r="D57" s="170"/>
      <c r="E57" s="170"/>
      <c r="F57" s="170"/>
      <c r="G57" s="172"/>
      <c r="H57" s="172"/>
      <c r="I57" s="172"/>
      <c r="J57" s="172"/>
      <c r="K57" s="180"/>
      <c r="L57" s="172"/>
      <c r="M57" s="172"/>
      <c r="N57" s="174"/>
    </row>
    <row r="58" spans="1:22" ht="18" customHeight="1" thickBot="1">
      <c r="B58" s="179"/>
      <c r="C58" s="304" t="s">
        <v>93</v>
      </c>
      <c r="D58" s="305"/>
      <c r="E58" s="306"/>
      <c r="F58" s="170" t="s">
        <v>68</v>
      </c>
      <c r="G58" s="110">
        <f>+P44</f>
        <v>5230858.1947999932</v>
      </c>
      <c r="H58" s="172"/>
      <c r="I58" s="172"/>
      <c r="J58" s="111">
        <f>+G58/J44</f>
        <v>1.8542759825974489E-2</v>
      </c>
      <c r="K58" s="181" t="s">
        <v>69</v>
      </c>
      <c r="L58" s="182"/>
      <c r="M58" s="182"/>
      <c r="N58" s="174"/>
    </row>
    <row r="59" spans="1:22" ht="5.25" customHeight="1" thickBot="1">
      <c r="B59" s="184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6"/>
    </row>
  </sheetData>
  <mergeCells count="19">
    <mergeCell ref="C50:E50"/>
    <mergeCell ref="C52:E52"/>
    <mergeCell ref="C54:E54"/>
    <mergeCell ref="C56:E56"/>
    <mergeCell ref="C58:E58"/>
    <mergeCell ref="O10:P10"/>
    <mergeCell ref="C1:E2"/>
    <mergeCell ref="F1:F2"/>
    <mergeCell ref="G1:J1"/>
    <mergeCell ref="M1:N1"/>
    <mergeCell ref="M2:N2"/>
    <mergeCell ref="C3:E4"/>
    <mergeCell ref="M3:N3"/>
    <mergeCell ref="M4:N4"/>
    <mergeCell ref="M5:N5"/>
    <mergeCell ref="C6:D6"/>
    <mergeCell ref="M6:N6"/>
    <mergeCell ref="M7:N7"/>
    <mergeCell ref="M8:N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workbookViewId="0"/>
  </sheetViews>
  <sheetFormatPr baseColWidth="10" defaultColWidth="11.42578125" defaultRowHeight="16.5"/>
  <cols>
    <col min="1" max="1" width="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4.140625" style="5" bestFit="1" customWidth="1"/>
    <col min="10" max="10" width="13.5703125" style="5" customWidth="1"/>
    <col min="11" max="12" width="13.7109375" style="5" customWidth="1"/>
    <col min="13" max="13" width="11.42578125" style="5"/>
    <col min="14" max="14" width="7" style="5" customWidth="1"/>
    <col min="15" max="15" width="13.42578125" style="5" customWidth="1"/>
    <col min="16" max="16" width="13.5703125" style="5" customWidth="1"/>
    <col min="17" max="17" width="6.140625" style="5" customWidth="1"/>
    <col min="18" max="18" width="9.7109375" style="5" bestFit="1" customWidth="1"/>
    <col min="19" max="19" width="10.28515625" style="5" bestFit="1" customWidth="1"/>
    <col min="20" max="20" width="8.7109375" style="5" bestFit="1" customWidth="1"/>
    <col min="21" max="21" width="10.5703125" style="5" bestFit="1" customWidth="1"/>
    <col min="22" max="22" width="7.5703125" style="5" bestFit="1" customWidth="1"/>
    <col min="23" max="16384" width="11.42578125" style="5"/>
  </cols>
  <sheetData>
    <row r="1" spans="1:22" ht="21" customHeight="1">
      <c r="A1" s="195" t="s">
        <v>11</v>
      </c>
      <c r="B1" s="199"/>
      <c r="C1" s="286" t="s">
        <v>98</v>
      </c>
      <c r="D1" s="286"/>
      <c r="E1" s="286"/>
      <c r="F1" s="288" t="s">
        <v>99</v>
      </c>
      <c r="G1" s="290" t="s">
        <v>12</v>
      </c>
      <c r="H1" s="291"/>
      <c r="I1" s="291"/>
      <c r="J1" s="292"/>
      <c r="K1" s="118" t="s">
        <v>13</v>
      </c>
      <c r="L1" s="119"/>
      <c r="M1" s="293">
        <v>430376000</v>
      </c>
      <c r="N1" s="293"/>
      <c r="O1" s="120" t="s">
        <v>14</v>
      </c>
      <c r="P1" s="200">
        <v>25429</v>
      </c>
    </row>
    <row r="2" spans="1:22" ht="21">
      <c r="A2" s="196"/>
      <c r="B2" s="127"/>
      <c r="C2" s="287"/>
      <c r="D2" s="287"/>
      <c r="E2" s="287"/>
      <c r="F2" s="289"/>
      <c r="G2" s="201" t="s">
        <v>15</v>
      </c>
      <c r="H2" s="202"/>
      <c r="I2" s="203">
        <v>60</v>
      </c>
      <c r="J2" s="204"/>
      <c r="K2" s="122" t="s">
        <v>16</v>
      </c>
      <c r="L2" s="123"/>
      <c r="M2" s="294">
        <v>-121165623</v>
      </c>
      <c r="N2" s="294"/>
      <c r="O2" s="123"/>
      <c r="P2" s="124"/>
      <c r="S2" s="115"/>
    </row>
    <row r="3" spans="1:22" ht="21" customHeight="1">
      <c r="A3" s="196" t="s">
        <v>17</v>
      </c>
      <c r="B3" s="127"/>
      <c r="C3" s="287" t="s">
        <v>100</v>
      </c>
      <c r="D3" s="287"/>
      <c r="E3" s="287"/>
      <c r="F3" s="125"/>
      <c r="G3" s="201" t="s">
        <v>19</v>
      </c>
      <c r="H3" s="202"/>
      <c r="I3" s="205" t="s">
        <v>20</v>
      </c>
      <c r="J3" s="206"/>
      <c r="K3" s="122" t="s">
        <v>21</v>
      </c>
      <c r="L3" s="123"/>
      <c r="M3" s="294">
        <v>0</v>
      </c>
      <c r="N3" s="294"/>
      <c r="O3" s="123"/>
      <c r="P3" s="124"/>
    </row>
    <row r="4" spans="1:22">
      <c r="A4" s="196"/>
      <c r="B4" s="127"/>
      <c r="C4" s="287"/>
      <c r="D4" s="287"/>
      <c r="E4" s="287"/>
      <c r="F4" s="126"/>
      <c r="G4" s="201" t="s">
        <v>22</v>
      </c>
      <c r="H4" s="202"/>
      <c r="I4" s="207">
        <v>0.2</v>
      </c>
      <c r="J4" s="206"/>
      <c r="K4" s="122" t="s">
        <v>23</v>
      </c>
      <c r="L4" s="123"/>
      <c r="M4" s="294">
        <v>0</v>
      </c>
      <c r="N4" s="294"/>
      <c r="O4" s="123"/>
      <c r="P4" s="124"/>
    </row>
    <row r="5" spans="1:22">
      <c r="A5" s="196" t="s">
        <v>24</v>
      </c>
      <c r="B5" s="127"/>
      <c r="C5" s="127" t="s">
        <v>101</v>
      </c>
      <c r="D5" s="128"/>
      <c r="E5" s="129"/>
      <c r="F5" s="130"/>
      <c r="G5" s="201" t="s">
        <v>25</v>
      </c>
      <c r="H5" s="202"/>
      <c r="I5" s="205"/>
      <c r="J5" s="206" t="s">
        <v>26</v>
      </c>
      <c r="K5" s="122" t="s">
        <v>27</v>
      </c>
      <c r="L5" s="123"/>
      <c r="M5" s="294">
        <v>0</v>
      </c>
      <c r="N5" s="294"/>
      <c r="O5" s="123"/>
      <c r="P5" s="124"/>
    </row>
    <row r="6" spans="1:22">
      <c r="A6" s="196" t="s">
        <v>87</v>
      </c>
      <c r="B6" s="127"/>
      <c r="C6" s="295">
        <v>42025</v>
      </c>
      <c r="D6" s="295"/>
      <c r="E6" s="132"/>
      <c r="F6" s="133"/>
      <c r="G6" s="201"/>
      <c r="H6" s="205" t="s">
        <v>28</v>
      </c>
      <c r="I6" s="208">
        <v>0.1</v>
      </c>
      <c r="J6" s="206"/>
      <c r="K6" s="134"/>
      <c r="L6" s="123"/>
      <c r="M6" s="294"/>
      <c r="N6" s="294"/>
      <c r="O6" s="123"/>
      <c r="P6" s="124"/>
    </row>
    <row r="7" spans="1:22">
      <c r="A7" s="196" t="s">
        <v>88</v>
      </c>
      <c r="B7" s="127"/>
      <c r="C7" s="127"/>
      <c r="D7" s="209" t="s">
        <v>102</v>
      </c>
      <c r="E7" s="132"/>
      <c r="F7" s="133"/>
      <c r="G7" s="201"/>
      <c r="H7" s="205" t="s">
        <v>30</v>
      </c>
      <c r="I7" s="208" t="s">
        <v>103</v>
      </c>
      <c r="J7" s="206" t="s">
        <v>29</v>
      </c>
      <c r="K7" s="135" t="s">
        <v>31</v>
      </c>
      <c r="L7" s="136"/>
      <c r="M7" s="296">
        <f>SUM(M1:M6)</f>
        <v>309210377</v>
      </c>
      <c r="N7" s="296"/>
      <c r="O7" s="123"/>
      <c r="P7" s="124"/>
    </row>
    <row r="8" spans="1:22">
      <c r="A8" s="137" t="s">
        <v>89</v>
      </c>
      <c r="B8" s="138"/>
      <c r="C8" s="138"/>
      <c r="D8" s="210" t="s">
        <v>102</v>
      </c>
      <c r="E8" s="140"/>
      <c r="F8" s="141"/>
      <c r="G8" s="211"/>
      <c r="H8" s="212" t="s">
        <v>32</v>
      </c>
      <c r="I8" s="213"/>
      <c r="J8" s="214"/>
      <c r="K8" s="142" t="s">
        <v>33</v>
      </c>
      <c r="L8" s="143"/>
      <c r="M8" s="297">
        <f>+M7*(1+$I$4)</f>
        <v>371052452.39999998</v>
      </c>
      <c r="N8" s="297"/>
      <c r="O8" s="144"/>
      <c r="P8" s="145"/>
    </row>
    <row r="10" spans="1:22" ht="21" customHeight="1">
      <c r="B10" s="5" t="s">
        <v>34</v>
      </c>
      <c r="C10" s="146">
        <v>43069</v>
      </c>
      <c r="E10" s="44"/>
      <c r="F10" s="45">
        <v>0.1</v>
      </c>
      <c r="G10" s="46"/>
      <c r="O10" s="284" t="s">
        <v>35</v>
      </c>
      <c r="P10" s="285"/>
    </row>
    <row r="11" spans="1:22" ht="60">
      <c r="A11" s="215" t="s">
        <v>36</v>
      </c>
      <c r="B11" s="216" t="s">
        <v>37</v>
      </c>
      <c r="C11" s="216" t="s">
        <v>38</v>
      </c>
      <c r="D11" s="215" t="s">
        <v>39</v>
      </c>
      <c r="E11" s="216" t="s">
        <v>40</v>
      </c>
      <c r="F11" s="216" t="s">
        <v>41</v>
      </c>
      <c r="G11" s="216" t="s">
        <v>42</v>
      </c>
      <c r="H11" s="216" t="s">
        <v>43</v>
      </c>
      <c r="I11" s="216" t="s">
        <v>44</v>
      </c>
      <c r="J11" s="216" t="s">
        <v>45</v>
      </c>
      <c r="K11" s="216" t="s">
        <v>46</v>
      </c>
      <c r="L11" s="216" t="s">
        <v>47</v>
      </c>
      <c r="M11" s="216" t="s">
        <v>48</v>
      </c>
      <c r="N11" s="216" t="s">
        <v>49</v>
      </c>
      <c r="O11" s="216" t="s">
        <v>50</v>
      </c>
      <c r="P11" s="216" t="s">
        <v>51</v>
      </c>
      <c r="R11" s="217" t="s">
        <v>52</v>
      </c>
      <c r="S11" s="217" t="s">
        <v>53</v>
      </c>
      <c r="T11" s="217" t="s">
        <v>54</v>
      </c>
      <c r="U11" s="217" t="s">
        <v>55</v>
      </c>
      <c r="V11" s="217" t="s">
        <v>56</v>
      </c>
    </row>
    <row r="12" spans="1:22" ht="19.5" customHeight="1">
      <c r="A12" s="218" t="s">
        <v>28</v>
      </c>
      <c r="B12" s="219">
        <v>1133001429</v>
      </c>
      <c r="C12" s="220">
        <v>42046</v>
      </c>
      <c r="D12" s="221" t="s">
        <v>28</v>
      </c>
      <c r="E12" s="222"/>
      <c r="F12" s="222">
        <f>43037.6*1000</f>
        <v>43037600</v>
      </c>
      <c r="G12" s="51">
        <f t="shared" ref="G12:G25" si="0">E12*$G$10</f>
        <v>0</v>
      </c>
      <c r="H12" s="222"/>
      <c r="I12" s="51">
        <f>+E12+F12-G12-H12</f>
        <v>43037600</v>
      </c>
      <c r="J12" s="51">
        <f>+I12+(I12*$I$4)</f>
        <v>51645120</v>
      </c>
      <c r="K12" s="51">
        <f t="shared" ref="K12" si="1">+J12</f>
        <v>51645120</v>
      </c>
      <c r="L12" s="52">
        <v>42090</v>
      </c>
      <c r="M12" s="52">
        <v>42090</v>
      </c>
      <c r="N12" s="53">
        <f t="shared" ref="N12:N47" si="2">-IF(L12=0,,IF(M12=0,($C$10-L12),M12-L12))</f>
        <v>0</v>
      </c>
      <c r="O12" s="51">
        <f>+J12-K12</f>
        <v>0</v>
      </c>
      <c r="P12" s="222">
        <f t="shared" ref="P12:P47" si="3">+IF($C$10&lt;L12,0,O12)</f>
        <v>0</v>
      </c>
      <c r="Q12" s="54"/>
      <c r="R12" s="223">
        <f t="shared" ref="R12:R47" si="4">IF(N12&gt;=0,0,(IF(-N12&lt;=60,O12,0)))</f>
        <v>0</v>
      </c>
      <c r="S12" s="223">
        <f t="shared" ref="S12:S47" si="5">IF(N12&gt;=0,0,(IF(N12&gt;=-60,0,IF(-60&gt;=N12,IF(N12&gt;=-120,O12,0)))))</f>
        <v>0</v>
      </c>
      <c r="T12" s="223">
        <f t="shared" ref="T12:T47" si="6">IF(N12&gt;=0,0,(IF(N12&gt;-60,0,IF(-60&gt;=N12,IF(N12&gt;=-120,0,IF(N12&gt;=-180,O12,0))))))</f>
        <v>0</v>
      </c>
      <c r="U12" s="223">
        <f t="shared" ref="U12:U47" si="7">IF(N12&gt;=0,0,(IF(N12&gt;-60,0,IF(-60&gt;=N12,IF(N12&gt;-120,0,IF(N12&gt;=-180,0,IF(N12&gt;=-365,O12,0)))))))</f>
        <v>0</v>
      </c>
      <c r="V12" s="223">
        <f t="shared" ref="V12:V47" si="8">IF(N12&gt;=0,0,IF(365&lt;-N12,O12,0))</f>
        <v>0</v>
      </c>
    </row>
    <row r="13" spans="1:22" ht="19.5" customHeight="1">
      <c r="A13" s="56">
        <v>1</v>
      </c>
      <c r="B13" s="159">
        <v>1133001549</v>
      </c>
      <c r="C13" s="58">
        <v>42074</v>
      </c>
      <c r="D13" s="59">
        <v>42036</v>
      </c>
      <c r="E13" s="51">
        <v>317351.53999999998</v>
      </c>
      <c r="F13" s="51">
        <f>+E13*-$F$10</f>
        <v>-31735.153999999999</v>
      </c>
      <c r="G13" s="51">
        <f t="shared" si="0"/>
        <v>0</v>
      </c>
      <c r="H13" s="51"/>
      <c r="I13" s="51">
        <f>+E13+F13-G13-H13</f>
        <v>285616.386</v>
      </c>
      <c r="J13" s="51">
        <f>+I13+(I13*$I$4)</f>
        <v>342739.66320000001</v>
      </c>
      <c r="K13" s="51">
        <v>342739.67</v>
      </c>
      <c r="L13" s="52">
        <f t="shared" ref="L13:L25" si="9">+D13+60</f>
        <v>42096</v>
      </c>
      <c r="M13" s="52">
        <v>42165</v>
      </c>
      <c r="N13" s="53">
        <f t="shared" si="2"/>
        <v>-69</v>
      </c>
      <c r="O13" s="51">
        <f>+J13-K13</f>
        <v>-6.7999999737367034E-3</v>
      </c>
      <c r="P13" s="51">
        <f t="shared" si="3"/>
        <v>-6.7999999737367034E-3</v>
      </c>
      <c r="Q13" s="54"/>
      <c r="R13" s="223">
        <f t="shared" si="4"/>
        <v>0</v>
      </c>
      <c r="S13" s="223">
        <f t="shared" si="5"/>
        <v>-6.7999999737367034E-3</v>
      </c>
      <c r="T13" s="223">
        <f t="shared" si="6"/>
        <v>0</v>
      </c>
      <c r="U13" s="223">
        <f t="shared" si="7"/>
        <v>0</v>
      </c>
      <c r="V13" s="223">
        <f t="shared" si="8"/>
        <v>0</v>
      </c>
    </row>
    <row r="14" spans="1:22" ht="19.5" customHeight="1">
      <c r="A14" s="224">
        <v>2</v>
      </c>
      <c r="B14" s="225">
        <v>1133001600</v>
      </c>
      <c r="C14" s="226">
        <v>42131</v>
      </c>
      <c r="D14" s="227">
        <v>42064</v>
      </c>
      <c r="E14" s="155">
        <v>1561950.39</v>
      </c>
      <c r="F14" s="155">
        <f t="shared" ref="F14:F25" si="10">-E14*$F$10</f>
        <v>-156195.03899999999</v>
      </c>
      <c r="G14" s="155">
        <f t="shared" si="0"/>
        <v>0</v>
      </c>
      <c r="H14" s="155"/>
      <c r="I14" s="155">
        <f t="shared" ref="I14:I25" si="11">+E14+F14-G14-H14</f>
        <v>1405755.3509999998</v>
      </c>
      <c r="J14" s="155">
        <f t="shared" ref="J14:J25" si="12">+I14+(I14*$I$4)</f>
        <v>1686906.4211999997</v>
      </c>
      <c r="K14" s="155">
        <v>1686906.42</v>
      </c>
      <c r="L14" s="156">
        <f t="shared" si="9"/>
        <v>42124</v>
      </c>
      <c r="M14" s="156">
        <v>42180</v>
      </c>
      <c r="N14" s="53">
        <f t="shared" si="2"/>
        <v>-56</v>
      </c>
      <c r="O14" s="51">
        <f t="shared" ref="O14:O47" si="13">+J14-K14</f>
        <v>1.1999998241662979E-3</v>
      </c>
      <c r="P14" s="51">
        <f t="shared" si="3"/>
        <v>1.1999998241662979E-3</v>
      </c>
      <c r="Q14" s="54"/>
      <c r="R14" s="223">
        <f t="shared" si="4"/>
        <v>1.1999998241662979E-3</v>
      </c>
      <c r="S14" s="223">
        <f t="shared" si="5"/>
        <v>0</v>
      </c>
      <c r="T14" s="223">
        <f t="shared" si="6"/>
        <v>0</v>
      </c>
      <c r="U14" s="223">
        <f t="shared" si="7"/>
        <v>0</v>
      </c>
      <c r="V14" s="223">
        <f t="shared" si="8"/>
        <v>0</v>
      </c>
    </row>
    <row r="15" spans="1:22" ht="19.5" customHeight="1">
      <c r="A15" s="224">
        <v>3</v>
      </c>
      <c r="B15" s="228">
        <v>1133001625</v>
      </c>
      <c r="C15" s="226">
        <v>42139</v>
      </c>
      <c r="D15" s="227">
        <v>42095</v>
      </c>
      <c r="E15" s="155">
        <f>2826944.65+1057443.25</f>
        <v>3884387.9</v>
      </c>
      <c r="F15" s="155">
        <f t="shared" si="10"/>
        <v>-388438.79000000004</v>
      </c>
      <c r="G15" s="155">
        <f t="shared" si="0"/>
        <v>0</v>
      </c>
      <c r="H15" s="155"/>
      <c r="I15" s="155">
        <f t="shared" si="11"/>
        <v>3495949.11</v>
      </c>
      <c r="J15" s="155">
        <f t="shared" si="12"/>
        <v>4195138.932</v>
      </c>
      <c r="K15" s="155">
        <v>4195138.9400000004</v>
      </c>
      <c r="L15" s="156">
        <f t="shared" si="9"/>
        <v>42155</v>
      </c>
      <c r="M15" s="156">
        <v>42180</v>
      </c>
      <c r="N15" s="53">
        <f t="shared" si="2"/>
        <v>-25</v>
      </c>
      <c r="O15" s="51">
        <f t="shared" si="13"/>
        <v>-8.0000003799796104E-3</v>
      </c>
      <c r="P15" s="51">
        <f t="shared" si="3"/>
        <v>-8.0000003799796104E-3</v>
      </c>
      <c r="Q15" s="54"/>
      <c r="R15" s="223">
        <f t="shared" si="4"/>
        <v>-8.0000003799796104E-3</v>
      </c>
      <c r="S15" s="223">
        <f t="shared" si="5"/>
        <v>0</v>
      </c>
      <c r="T15" s="223">
        <f t="shared" si="6"/>
        <v>0</v>
      </c>
      <c r="U15" s="223">
        <f t="shared" si="7"/>
        <v>0</v>
      </c>
      <c r="V15" s="223">
        <f t="shared" si="8"/>
        <v>0</v>
      </c>
    </row>
    <row r="16" spans="1:22" ht="19.5" customHeight="1">
      <c r="A16" s="229">
        <v>4</v>
      </c>
      <c r="B16" s="228">
        <v>1133001689</v>
      </c>
      <c r="C16" s="230">
        <v>42184</v>
      </c>
      <c r="D16" s="231">
        <v>42125</v>
      </c>
      <c r="E16" s="232">
        <v>13389061.82</v>
      </c>
      <c r="F16" s="232">
        <f t="shared" si="10"/>
        <v>-1338906.182</v>
      </c>
      <c r="G16" s="232">
        <f t="shared" si="0"/>
        <v>0</v>
      </c>
      <c r="H16" s="232"/>
      <c r="I16" s="232">
        <f t="shared" si="11"/>
        <v>12050155.638</v>
      </c>
      <c r="J16" s="232">
        <f t="shared" si="12"/>
        <v>14460186.7656</v>
      </c>
      <c r="K16" s="232">
        <v>14460186.77</v>
      </c>
      <c r="L16" s="233">
        <f t="shared" si="9"/>
        <v>42185</v>
      </c>
      <c r="M16" s="233">
        <v>42219</v>
      </c>
      <c r="N16" s="53">
        <f t="shared" si="2"/>
        <v>-34</v>
      </c>
      <c r="O16" s="51">
        <f t="shared" si="13"/>
        <v>-4.3999999761581421E-3</v>
      </c>
      <c r="P16" s="51">
        <f t="shared" si="3"/>
        <v>-4.3999999761581421E-3</v>
      </c>
      <c r="Q16" s="54"/>
      <c r="R16" s="223">
        <f t="shared" si="4"/>
        <v>-4.3999999761581421E-3</v>
      </c>
      <c r="S16" s="223">
        <f t="shared" si="5"/>
        <v>0</v>
      </c>
      <c r="T16" s="223">
        <f t="shared" si="6"/>
        <v>0</v>
      </c>
      <c r="U16" s="223">
        <f t="shared" si="7"/>
        <v>0</v>
      </c>
      <c r="V16" s="223">
        <f t="shared" si="8"/>
        <v>0</v>
      </c>
    </row>
    <row r="17" spans="1:22" ht="19.5" customHeight="1">
      <c r="A17" s="56">
        <v>5</v>
      </c>
      <c r="B17" s="149">
        <v>1133001717</v>
      </c>
      <c r="C17" s="58">
        <v>42205</v>
      </c>
      <c r="D17" s="59">
        <v>42156</v>
      </c>
      <c r="E17" s="51">
        <v>11535046.68</v>
      </c>
      <c r="F17" s="51">
        <f t="shared" si="10"/>
        <v>-1153504.6680000001</v>
      </c>
      <c r="G17" s="51">
        <f t="shared" si="0"/>
        <v>0</v>
      </c>
      <c r="H17" s="51"/>
      <c r="I17" s="51">
        <f t="shared" si="11"/>
        <v>10381542.012</v>
      </c>
      <c r="J17" s="51">
        <f t="shared" si="12"/>
        <v>12457850.4144</v>
      </c>
      <c r="K17" s="51">
        <v>12457850.41</v>
      </c>
      <c r="L17" s="52">
        <f t="shared" si="9"/>
        <v>42216</v>
      </c>
      <c r="M17" s="52">
        <v>42216</v>
      </c>
      <c r="N17" s="53">
        <f t="shared" si="2"/>
        <v>0</v>
      </c>
      <c r="O17" s="51">
        <f t="shared" si="13"/>
        <v>4.3999999761581421E-3</v>
      </c>
      <c r="P17" s="51">
        <f t="shared" si="3"/>
        <v>4.3999999761581421E-3</v>
      </c>
      <c r="Q17" s="54"/>
      <c r="R17" s="223">
        <f t="shared" si="4"/>
        <v>0</v>
      </c>
      <c r="S17" s="223">
        <f t="shared" si="5"/>
        <v>0</v>
      </c>
      <c r="T17" s="223">
        <f t="shared" si="6"/>
        <v>0</v>
      </c>
      <c r="U17" s="223">
        <f t="shared" si="7"/>
        <v>0</v>
      </c>
      <c r="V17" s="223">
        <f t="shared" si="8"/>
        <v>0</v>
      </c>
    </row>
    <row r="18" spans="1:22" ht="19.5" customHeight="1">
      <c r="A18" s="56">
        <v>6</v>
      </c>
      <c r="B18" s="149">
        <v>1133001798</v>
      </c>
      <c r="C18" s="58">
        <v>42231</v>
      </c>
      <c r="D18" s="59">
        <v>42186</v>
      </c>
      <c r="E18" s="51">
        <f>8682723.07+3247848.14</f>
        <v>11930571.210000001</v>
      </c>
      <c r="F18" s="51">
        <f t="shared" si="10"/>
        <v>-1193057.121</v>
      </c>
      <c r="G18" s="51">
        <f t="shared" si="0"/>
        <v>0</v>
      </c>
      <c r="H18" s="51"/>
      <c r="I18" s="51">
        <f t="shared" si="11"/>
        <v>10737514.089000002</v>
      </c>
      <c r="J18" s="51">
        <f t="shared" si="12"/>
        <v>12885016.906800002</v>
      </c>
      <c r="K18" s="51">
        <v>12885016.91</v>
      </c>
      <c r="L18" s="52">
        <f t="shared" si="9"/>
        <v>42246</v>
      </c>
      <c r="M18" s="52">
        <v>42278</v>
      </c>
      <c r="N18" s="53">
        <f t="shared" si="2"/>
        <v>-32</v>
      </c>
      <c r="O18" s="51">
        <f t="shared" si="13"/>
        <v>-3.1999982893466949E-3</v>
      </c>
      <c r="P18" s="51">
        <f t="shared" si="3"/>
        <v>-3.1999982893466949E-3</v>
      </c>
      <c r="Q18" s="54"/>
      <c r="R18" s="223">
        <f t="shared" si="4"/>
        <v>-3.1999982893466949E-3</v>
      </c>
      <c r="S18" s="223">
        <f t="shared" si="5"/>
        <v>0</v>
      </c>
      <c r="T18" s="223">
        <f t="shared" si="6"/>
        <v>0</v>
      </c>
      <c r="U18" s="223">
        <f t="shared" si="7"/>
        <v>0</v>
      </c>
      <c r="V18" s="223">
        <f t="shared" si="8"/>
        <v>0</v>
      </c>
    </row>
    <row r="19" spans="1:22" ht="19.5" customHeight="1">
      <c r="A19" s="56">
        <v>7</v>
      </c>
      <c r="B19" s="56">
        <v>1133001825</v>
      </c>
      <c r="C19" s="58">
        <v>42247</v>
      </c>
      <c r="D19" s="59">
        <v>42217</v>
      </c>
      <c r="E19" s="51">
        <v>12735089.15</v>
      </c>
      <c r="F19" s="51">
        <f t="shared" si="10"/>
        <v>-1273508.915</v>
      </c>
      <c r="G19" s="51">
        <f t="shared" si="0"/>
        <v>0</v>
      </c>
      <c r="H19" s="51"/>
      <c r="I19" s="51">
        <f t="shared" si="11"/>
        <v>11461580.234999999</v>
      </c>
      <c r="J19" s="51">
        <f t="shared" si="12"/>
        <v>13753896.282</v>
      </c>
      <c r="K19" s="51">
        <v>13753896.279999999</v>
      </c>
      <c r="L19" s="52">
        <f t="shared" si="9"/>
        <v>42277</v>
      </c>
      <c r="M19" s="52">
        <v>42297</v>
      </c>
      <c r="N19" s="53">
        <f t="shared" si="2"/>
        <v>-20</v>
      </c>
      <c r="O19" s="51">
        <f t="shared" si="13"/>
        <v>2.0000003278255463E-3</v>
      </c>
      <c r="P19" s="51">
        <f t="shared" si="3"/>
        <v>2.0000003278255463E-3</v>
      </c>
      <c r="Q19" s="54"/>
      <c r="R19" s="223">
        <f t="shared" si="4"/>
        <v>2.0000003278255463E-3</v>
      </c>
      <c r="S19" s="223">
        <f t="shared" si="5"/>
        <v>0</v>
      </c>
      <c r="T19" s="223">
        <f t="shared" si="6"/>
        <v>0</v>
      </c>
      <c r="U19" s="223">
        <f t="shared" si="7"/>
        <v>0</v>
      </c>
      <c r="V19" s="223">
        <f t="shared" si="8"/>
        <v>0</v>
      </c>
    </row>
    <row r="20" spans="1:22" ht="19.5" customHeight="1">
      <c r="A20" s="56">
        <v>8</v>
      </c>
      <c r="B20" s="56">
        <v>1133001893</v>
      </c>
      <c r="C20" s="58">
        <v>42318</v>
      </c>
      <c r="D20" s="59">
        <v>42248</v>
      </c>
      <c r="E20" s="51">
        <f>3395735.37+1270204.38</f>
        <v>4665939.75</v>
      </c>
      <c r="F20" s="51">
        <f t="shared" si="10"/>
        <v>-466593.97500000003</v>
      </c>
      <c r="G20" s="51">
        <f t="shared" si="0"/>
        <v>0</v>
      </c>
      <c r="H20" s="51"/>
      <c r="I20" s="51">
        <f t="shared" si="11"/>
        <v>4199345.7750000004</v>
      </c>
      <c r="J20" s="51">
        <f t="shared" si="12"/>
        <v>5039214.9300000006</v>
      </c>
      <c r="K20" s="51">
        <v>5039214.92</v>
      </c>
      <c r="L20" s="52">
        <f t="shared" si="9"/>
        <v>42308</v>
      </c>
      <c r="M20" s="52">
        <v>42338</v>
      </c>
      <c r="N20" s="53">
        <f t="shared" si="2"/>
        <v>-30</v>
      </c>
      <c r="O20" s="51">
        <f t="shared" si="13"/>
        <v>1.0000000707805157E-2</v>
      </c>
      <c r="P20" s="51">
        <f t="shared" si="3"/>
        <v>1.0000000707805157E-2</v>
      </c>
      <c r="Q20" s="54"/>
      <c r="R20" s="223">
        <f t="shared" si="4"/>
        <v>1.0000000707805157E-2</v>
      </c>
      <c r="S20" s="223">
        <f t="shared" si="5"/>
        <v>0</v>
      </c>
      <c r="T20" s="223">
        <f t="shared" si="6"/>
        <v>0</v>
      </c>
      <c r="U20" s="223">
        <f t="shared" si="7"/>
        <v>0</v>
      </c>
      <c r="V20" s="223">
        <f t="shared" si="8"/>
        <v>0</v>
      </c>
    </row>
    <row r="21" spans="1:22" ht="19.5" customHeight="1">
      <c r="A21" s="56">
        <v>9</v>
      </c>
      <c r="B21" s="56">
        <v>1133001978</v>
      </c>
      <c r="C21" s="58">
        <v>42341</v>
      </c>
      <c r="D21" s="59">
        <v>42278</v>
      </c>
      <c r="E21" s="51">
        <f>3505989.17+1311445.77</f>
        <v>4817434.9399999995</v>
      </c>
      <c r="F21" s="51">
        <f t="shared" si="10"/>
        <v>-481743.49399999995</v>
      </c>
      <c r="G21" s="51">
        <f t="shared" si="0"/>
        <v>0</v>
      </c>
      <c r="H21" s="51"/>
      <c r="I21" s="51">
        <f t="shared" si="11"/>
        <v>4335691.4459999995</v>
      </c>
      <c r="J21" s="51">
        <f t="shared" si="12"/>
        <v>5202829.7351999991</v>
      </c>
      <c r="K21" s="51">
        <v>5202829.74</v>
      </c>
      <c r="L21" s="52">
        <f t="shared" si="9"/>
        <v>42338</v>
      </c>
      <c r="M21" s="52">
        <v>42367</v>
      </c>
      <c r="N21" s="53">
        <f t="shared" si="2"/>
        <v>-29</v>
      </c>
      <c r="O21" s="51">
        <f t="shared" si="13"/>
        <v>-4.8000011593103409E-3</v>
      </c>
      <c r="P21" s="51">
        <f t="shared" si="3"/>
        <v>-4.8000011593103409E-3</v>
      </c>
      <c r="Q21" s="54"/>
      <c r="R21" s="223">
        <f t="shared" si="4"/>
        <v>-4.8000011593103409E-3</v>
      </c>
      <c r="S21" s="223">
        <f t="shared" si="5"/>
        <v>0</v>
      </c>
      <c r="T21" s="223">
        <f t="shared" si="6"/>
        <v>0</v>
      </c>
      <c r="U21" s="223">
        <f t="shared" si="7"/>
        <v>0</v>
      </c>
      <c r="V21" s="223">
        <f t="shared" si="8"/>
        <v>0</v>
      </c>
    </row>
    <row r="22" spans="1:22" ht="19.5" customHeight="1">
      <c r="A22" s="56">
        <v>10</v>
      </c>
      <c r="B22" s="56">
        <v>1133001997</v>
      </c>
      <c r="C22" s="58">
        <v>42360</v>
      </c>
      <c r="D22" s="59">
        <v>42309</v>
      </c>
      <c r="E22" s="51">
        <v>5627540.2800000003</v>
      </c>
      <c r="F22" s="51">
        <f t="shared" si="10"/>
        <v>-562754.02800000005</v>
      </c>
      <c r="G22" s="51">
        <f t="shared" si="0"/>
        <v>0</v>
      </c>
      <c r="H22" s="51"/>
      <c r="I22" s="51">
        <f t="shared" si="11"/>
        <v>5064786.2520000003</v>
      </c>
      <c r="J22" s="51">
        <f t="shared" si="12"/>
        <v>6077743.5024000006</v>
      </c>
      <c r="K22" s="51">
        <v>6077743.5</v>
      </c>
      <c r="L22" s="52">
        <f t="shared" si="9"/>
        <v>42369</v>
      </c>
      <c r="M22" s="52">
        <v>42396</v>
      </c>
      <c r="N22" s="53">
        <f t="shared" si="2"/>
        <v>-27</v>
      </c>
      <c r="O22" s="51">
        <f t="shared" si="13"/>
        <v>2.4000005796551704E-3</v>
      </c>
      <c r="P22" s="51">
        <f t="shared" si="3"/>
        <v>2.4000005796551704E-3</v>
      </c>
      <c r="Q22" s="54"/>
      <c r="R22" s="223">
        <f t="shared" si="4"/>
        <v>2.4000005796551704E-3</v>
      </c>
      <c r="S22" s="223">
        <f t="shared" si="5"/>
        <v>0</v>
      </c>
      <c r="T22" s="223">
        <f t="shared" si="6"/>
        <v>0</v>
      </c>
      <c r="U22" s="223">
        <f t="shared" si="7"/>
        <v>0</v>
      </c>
      <c r="V22" s="223">
        <f t="shared" si="8"/>
        <v>0</v>
      </c>
    </row>
    <row r="23" spans="1:22" ht="19.5" customHeight="1">
      <c r="A23" s="56">
        <v>11</v>
      </c>
      <c r="B23" s="56">
        <v>1133002144</v>
      </c>
      <c r="C23" s="58">
        <v>42401</v>
      </c>
      <c r="D23" s="59">
        <v>42339</v>
      </c>
      <c r="E23" s="51">
        <f>2771413.62+1036671.39</f>
        <v>3808085.0100000002</v>
      </c>
      <c r="F23" s="51">
        <f t="shared" si="10"/>
        <v>-380808.50100000005</v>
      </c>
      <c r="G23" s="51">
        <f t="shared" si="0"/>
        <v>0</v>
      </c>
      <c r="H23" s="51"/>
      <c r="I23" s="51">
        <f t="shared" si="11"/>
        <v>3427276.5090000001</v>
      </c>
      <c r="J23" s="51">
        <f t="shared" si="12"/>
        <v>4112731.8108000001</v>
      </c>
      <c r="K23" s="51">
        <f>+J23</f>
        <v>4112731.8108000001</v>
      </c>
      <c r="L23" s="52">
        <f t="shared" si="9"/>
        <v>42399</v>
      </c>
      <c r="M23" s="52">
        <v>42430</v>
      </c>
      <c r="N23" s="53">
        <f t="shared" si="2"/>
        <v>-31</v>
      </c>
      <c r="O23" s="51">
        <f t="shared" si="13"/>
        <v>0</v>
      </c>
      <c r="P23" s="51">
        <f t="shared" si="3"/>
        <v>0</v>
      </c>
      <c r="Q23" s="54"/>
      <c r="R23" s="223">
        <f t="shared" si="4"/>
        <v>0</v>
      </c>
      <c r="S23" s="223">
        <f t="shared" si="5"/>
        <v>0</v>
      </c>
      <c r="T23" s="223">
        <f t="shared" si="6"/>
        <v>0</v>
      </c>
      <c r="U23" s="223">
        <f t="shared" si="7"/>
        <v>0</v>
      </c>
      <c r="V23" s="223">
        <f t="shared" si="8"/>
        <v>0</v>
      </c>
    </row>
    <row r="24" spans="1:22" ht="19.5" customHeight="1">
      <c r="A24" s="56">
        <v>12</v>
      </c>
      <c r="B24" s="57">
        <v>1133002202</v>
      </c>
      <c r="C24" s="58">
        <v>42426</v>
      </c>
      <c r="D24" s="59">
        <v>42370</v>
      </c>
      <c r="E24" s="51">
        <f>3555060.08+1329801.16</f>
        <v>4884861.24</v>
      </c>
      <c r="F24" s="51">
        <f t="shared" si="10"/>
        <v>-488486.12400000007</v>
      </c>
      <c r="G24" s="51">
        <f t="shared" si="0"/>
        <v>0</v>
      </c>
      <c r="H24" s="51"/>
      <c r="I24" s="51">
        <f t="shared" si="11"/>
        <v>4396375.1160000004</v>
      </c>
      <c r="J24" s="51">
        <f t="shared" si="12"/>
        <v>5275650.1392000001</v>
      </c>
      <c r="K24" s="51">
        <v>5275650.1399999997</v>
      </c>
      <c r="L24" s="52">
        <f t="shared" si="9"/>
        <v>42430</v>
      </c>
      <c r="M24" s="52">
        <v>42451</v>
      </c>
      <c r="N24" s="53">
        <f t="shared" si="2"/>
        <v>-21</v>
      </c>
      <c r="O24" s="51">
        <f t="shared" si="13"/>
        <v>-7.9999957233667374E-4</v>
      </c>
      <c r="P24" s="51">
        <f t="shared" si="3"/>
        <v>-7.9999957233667374E-4</v>
      </c>
      <c r="Q24" s="54"/>
      <c r="R24" s="223">
        <f t="shared" si="4"/>
        <v>-7.9999957233667374E-4</v>
      </c>
      <c r="S24" s="223">
        <f t="shared" si="5"/>
        <v>0</v>
      </c>
      <c r="T24" s="223">
        <f t="shared" si="6"/>
        <v>0</v>
      </c>
      <c r="U24" s="223">
        <f t="shared" si="7"/>
        <v>0</v>
      </c>
      <c r="V24" s="223">
        <f t="shared" si="8"/>
        <v>0</v>
      </c>
    </row>
    <row r="25" spans="1:22" ht="19.5" customHeight="1">
      <c r="A25" s="56">
        <v>13</v>
      </c>
      <c r="B25" s="57">
        <v>1133002292</v>
      </c>
      <c r="C25" s="58">
        <v>42460</v>
      </c>
      <c r="D25" s="59">
        <v>42428</v>
      </c>
      <c r="E25" s="51">
        <f>8885842.27+3323826.65</f>
        <v>12209668.92</v>
      </c>
      <c r="F25" s="51">
        <f t="shared" si="10"/>
        <v>-1220966.892</v>
      </c>
      <c r="G25" s="51">
        <f t="shared" si="0"/>
        <v>0</v>
      </c>
      <c r="H25" s="51"/>
      <c r="I25" s="51">
        <f t="shared" si="11"/>
        <v>10988702.028000001</v>
      </c>
      <c r="J25" s="51">
        <f t="shared" si="12"/>
        <v>13186442.433600001</v>
      </c>
      <c r="K25" s="51">
        <v>13186442.439999999</v>
      </c>
      <c r="L25" s="52">
        <f t="shared" si="9"/>
        <v>42488</v>
      </c>
      <c r="M25" s="52">
        <v>42494</v>
      </c>
      <c r="N25" s="53">
        <f t="shared" si="2"/>
        <v>-6</v>
      </c>
      <c r="O25" s="51">
        <f t="shared" si="13"/>
        <v>-6.3999984413385391E-3</v>
      </c>
      <c r="P25" s="51">
        <f t="shared" si="3"/>
        <v>-6.3999984413385391E-3</v>
      </c>
      <c r="Q25" s="54"/>
      <c r="R25" s="223">
        <f t="shared" si="4"/>
        <v>-6.3999984413385391E-3</v>
      </c>
      <c r="S25" s="223">
        <f t="shared" si="5"/>
        <v>0</v>
      </c>
      <c r="T25" s="223">
        <f t="shared" si="6"/>
        <v>0</v>
      </c>
      <c r="U25" s="223">
        <f t="shared" si="7"/>
        <v>0</v>
      </c>
      <c r="V25" s="223">
        <f t="shared" si="8"/>
        <v>0</v>
      </c>
    </row>
    <row r="26" spans="1:22" ht="19.5" customHeight="1">
      <c r="A26" s="56">
        <v>12</v>
      </c>
      <c r="B26" s="57">
        <v>1133002271</v>
      </c>
      <c r="C26" s="58">
        <v>42458</v>
      </c>
      <c r="D26" s="59">
        <v>42458</v>
      </c>
      <c r="E26" s="51">
        <v>869345.02</v>
      </c>
      <c r="F26" s="51"/>
      <c r="G26" s="51">
        <f>E26*$G$10</f>
        <v>0</v>
      </c>
      <c r="H26" s="51"/>
      <c r="I26" s="51">
        <f>+E26+F26-G26-H26</f>
        <v>869345.02</v>
      </c>
      <c r="J26" s="51">
        <f>+I26+(I26*$I$4)</f>
        <v>1043214.024</v>
      </c>
      <c r="K26" s="51">
        <v>1043214.02</v>
      </c>
      <c r="L26" s="52">
        <f>+D26</f>
        <v>42458</v>
      </c>
      <c r="M26" s="52">
        <v>42478</v>
      </c>
      <c r="N26" s="53">
        <f t="shared" si="2"/>
        <v>-20</v>
      </c>
      <c r="O26" s="51">
        <f t="shared" si="13"/>
        <v>3.9999999571591616E-3</v>
      </c>
      <c r="P26" s="51">
        <f t="shared" si="3"/>
        <v>3.9999999571591616E-3</v>
      </c>
      <c r="Q26" s="54"/>
      <c r="R26" s="223">
        <f t="shared" si="4"/>
        <v>3.9999999571591616E-3</v>
      </c>
      <c r="S26" s="223">
        <f t="shared" si="5"/>
        <v>0</v>
      </c>
      <c r="T26" s="223">
        <f t="shared" si="6"/>
        <v>0</v>
      </c>
      <c r="U26" s="223">
        <f t="shared" si="7"/>
        <v>0</v>
      </c>
      <c r="V26" s="223">
        <f t="shared" si="8"/>
        <v>0</v>
      </c>
    </row>
    <row r="27" spans="1:22" ht="19.5" customHeight="1">
      <c r="A27" s="56" t="s">
        <v>104</v>
      </c>
      <c r="B27" s="57">
        <v>1133002293</v>
      </c>
      <c r="C27" s="58">
        <v>42460</v>
      </c>
      <c r="D27" s="59">
        <v>42460</v>
      </c>
      <c r="E27" s="51">
        <v>3800000</v>
      </c>
      <c r="F27" s="51"/>
      <c r="G27" s="51">
        <f t="shared" ref="G27:G44" si="14">E27*$G$10</f>
        <v>0</v>
      </c>
      <c r="H27" s="51"/>
      <c r="I27" s="51">
        <f t="shared" ref="I27:I47" si="15">+E27+F27-G27-H27</f>
        <v>3800000</v>
      </c>
      <c r="J27" s="51">
        <f t="shared" ref="J27:J47" si="16">+I27+(I27*$I$4)</f>
        <v>4560000</v>
      </c>
      <c r="K27" s="51">
        <v>4560000</v>
      </c>
      <c r="L27" s="52">
        <f>+D27</f>
        <v>42460</v>
      </c>
      <c r="M27" s="52">
        <v>42494</v>
      </c>
      <c r="N27" s="53">
        <f t="shared" si="2"/>
        <v>-34</v>
      </c>
      <c r="O27" s="51">
        <f t="shared" si="13"/>
        <v>0</v>
      </c>
      <c r="P27" s="51">
        <f t="shared" si="3"/>
        <v>0</v>
      </c>
      <c r="Q27" s="54"/>
      <c r="R27" s="223">
        <f t="shared" si="4"/>
        <v>0</v>
      </c>
      <c r="S27" s="223">
        <f t="shared" si="5"/>
        <v>0</v>
      </c>
      <c r="T27" s="223">
        <f t="shared" si="6"/>
        <v>0</v>
      </c>
      <c r="U27" s="223">
        <f t="shared" si="7"/>
        <v>0</v>
      </c>
      <c r="V27" s="223">
        <f t="shared" si="8"/>
        <v>0</v>
      </c>
    </row>
    <row r="28" spans="1:22" ht="19.5" customHeight="1">
      <c r="A28" s="56">
        <v>14</v>
      </c>
      <c r="B28" s="57">
        <v>1133002312</v>
      </c>
      <c r="C28" s="58">
        <v>42487</v>
      </c>
      <c r="D28" s="59">
        <v>42459</v>
      </c>
      <c r="E28" s="51">
        <f>16397620.09+6133672.54</f>
        <v>22531292.629999999</v>
      </c>
      <c r="F28" s="51">
        <f t="shared" ref="F28:F34" si="17">-E28*$F$10</f>
        <v>-2253129.2629999998</v>
      </c>
      <c r="G28" s="51">
        <f t="shared" si="14"/>
        <v>0</v>
      </c>
      <c r="H28" s="51"/>
      <c r="I28" s="51">
        <f t="shared" si="15"/>
        <v>20278163.366999999</v>
      </c>
      <c r="J28" s="51">
        <f t="shared" si="16"/>
        <v>24333796.040399998</v>
      </c>
      <c r="K28" s="51">
        <v>24333796.039999999</v>
      </c>
      <c r="L28" s="52">
        <f t="shared" ref="L28:L37" si="18">+D28+60</f>
        <v>42519</v>
      </c>
      <c r="M28" s="52">
        <v>42517</v>
      </c>
      <c r="N28" s="53">
        <f t="shared" si="2"/>
        <v>2</v>
      </c>
      <c r="O28" s="51">
        <f t="shared" si="13"/>
        <v>3.9999932050704956E-4</v>
      </c>
      <c r="P28" s="51">
        <f t="shared" si="3"/>
        <v>3.9999932050704956E-4</v>
      </c>
      <c r="Q28" s="54"/>
      <c r="R28" s="223">
        <f t="shared" si="4"/>
        <v>0</v>
      </c>
      <c r="S28" s="223">
        <f t="shared" si="5"/>
        <v>0</v>
      </c>
      <c r="T28" s="223">
        <f t="shared" si="6"/>
        <v>0</v>
      </c>
      <c r="U28" s="223">
        <f t="shared" si="7"/>
        <v>0</v>
      </c>
      <c r="V28" s="223">
        <f t="shared" si="8"/>
        <v>0</v>
      </c>
    </row>
    <row r="29" spans="1:22" ht="19.5" customHeight="1">
      <c r="A29" s="56">
        <v>15</v>
      </c>
      <c r="B29" s="57">
        <v>1133002355</v>
      </c>
      <c r="C29" s="58">
        <v>42521</v>
      </c>
      <c r="D29" s="59">
        <v>42490</v>
      </c>
      <c r="E29" s="51">
        <f>14477357.39+5415381.55</f>
        <v>19892738.940000001</v>
      </c>
      <c r="F29" s="51">
        <f t="shared" si="17"/>
        <v>-1989273.8940000003</v>
      </c>
      <c r="G29" s="51">
        <f t="shared" si="14"/>
        <v>0</v>
      </c>
      <c r="H29" s="51"/>
      <c r="I29" s="51">
        <f t="shared" si="15"/>
        <v>17903465.046</v>
      </c>
      <c r="J29" s="51">
        <f t="shared" si="16"/>
        <v>21484158.055199999</v>
      </c>
      <c r="K29" s="51">
        <v>21484158.059999999</v>
      </c>
      <c r="L29" s="52">
        <f t="shared" si="18"/>
        <v>42550</v>
      </c>
      <c r="M29" s="52">
        <v>42549</v>
      </c>
      <c r="N29" s="53">
        <f t="shared" si="2"/>
        <v>1</v>
      </c>
      <c r="O29" s="51">
        <f t="shared" si="13"/>
        <v>-4.7999992966651917E-3</v>
      </c>
      <c r="P29" s="51">
        <f t="shared" si="3"/>
        <v>-4.7999992966651917E-3</v>
      </c>
      <c r="Q29" s="54"/>
      <c r="R29" s="223">
        <f t="shared" si="4"/>
        <v>0</v>
      </c>
      <c r="S29" s="223">
        <f t="shared" si="5"/>
        <v>0</v>
      </c>
      <c r="T29" s="223">
        <f t="shared" si="6"/>
        <v>0</v>
      </c>
      <c r="U29" s="223">
        <f t="shared" si="7"/>
        <v>0</v>
      </c>
      <c r="V29" s="223">
        <f t="shared" si="8"/>
        <v>0</v>
      </c>
    </row>
    <row r="30" spans="1:22" ht="19.5" customHeight="1">
      <c r="A30" s="56">
        <v>16</v>
      </c>
      <c r="B30" s="57">
        <v>1133002392</v>
      </c>
      <c r="C30" s="58">
        <v>42541</v>
      </c>
      <c r="D30" s="59">
        <v>42521</v>
      </c>
      <c r="E30" s="51">
        <f>12258879.51+4585540.59</f>
        <v>16844420.100000001</v>
      </c>
      <c r="F30" s="51">
        <f t="shared" si="17"/>
        <v>-1684442.0100000002</v>
      </c>
      <c r="G30" s="51">
        <f t="shared" si="14"/>
        <v>0</v>
      </c>
      <c r="H30" s="51"/>
      <c r="I30" s="51">
        <f t="shared" si="15"/>
        <v>15159978.090000002</v>
      </c>
      <c r="J30" s="51">
        <f t="shared" si="16"/>
        <v>18191973.708000004</v>
      </c>
      <c r="K30" s="51">
        <v>18191973.710000001</v>
      </c>
      <c r="L30" s="52">
        <f t="shared" si="18"/>
        <v>42581</v>
      </c>
      <c r="M30" s="52">
        <v>42592</v>
      </c>
      <c r="N30" s="53">
        <f t="shared" si="2"/>
        <v>-11</v>
      </c>
      <c r="O30" s="51">
        <f t="shared" si="13"/>
        <v>-1.9999966025352478E-3</v>
      </c>
      <c r="P30" s="51">
        <f t="shared" si="3"/>
        <v>-1.9999966025352478E-3</v>
      </c>
      <c r="Q30" s="54"/>
      <c r="R30" s="223">
        <f t="shared" si="4"/>
        <v>-1.9999966025352478E-3</v>
      </c>
      <c r="S30" s="223">
        <f t="shared" si="5"/>
        <v>0</v>
      </c>
      <c r="T30" s="223">
        <f t="shared" si="6"/>
        <v>0</v>
      </c>
      <c r="U30" s="223">
        <f t="shared" si="7"/>
        <v>0</v>
      </c>
      <c r="V30" s="223">
        <f t="shared" si="8"/>
        <v>0</v>
      </c>
    </row>
    <row r="31" spans="1:22" ht="19.5" customHeight="1">
      <c r="A31" s="56">
        <v>17</v>
      </c>
      <c r="B31" s="57">
        <v>1133002451</v>
      </c>
      <c r="C31" s="58">
        <v>42600</v>
      </c>
      <c r="D31" s="59">
        <v>42551</v>
      </c>
      <c r="E31" s="51">
        <v>16012296.890000001</v>
      </c>
      <c r="F31" s="51">
        <f t="shared" si="17"/>
        <v>-1601229.6890000002</v>
      </c>
      <c r="G31" s="51">
        <f t="shared" si="14"/>
        <v>0</v>
      </c>
      <c r="H31" s="51"/>
      <c r="I31" s="51">
        <f t="shared" si="15"/>
        <v>14411067.201000001</v>
      </c>
      <c r="J31" s="51">
        <f t="shared" si="16"/>
        <v>17293280.641200002</v>
      </c>
      <c r="K31" s="51">
        <v>17293280.640000001</v>
      </c>
      <c r="L31" s="52">
        <f t="shared" si="18"/>
        <v>42611</v>
      </c>
      <c r="M31" s="52">
        <v>42614</v>
      </c>
      <c r="N31" s="53">
        <f t="shared" si="2"/>
        <v>-3</v>
      </c>
      <c r="O31" s="51">
        <f t="shared" si="13"/>
        <v>1.2000016868114471E-3</v>
      </c>
      <c r="P31" s="51">
        <f t="shared" si="3"/>
        <v>1.2000016868114471E-3</v>
      </c>
      <c r="Q31" s="54"/>
      <c r="R31" s="223">
        <f t="shared" si="4"/>
        <v>1.2000016868114471E-3</v>
      </c>
      <c r="S31" s="223">
        <f t="shared" si="5"/>
        <v>0</v>
      </c>
      <c r="T31" s="223">
        <f t="shared" si="6"/>
        <v>0</v>
      </c>
      <c r="U31" s="223">
        <f t="shared" si="7"/>
        <v>0</v>
      </c>
      <c r="V31" s="223">
        <f t="shared" si="8"/>
        <v>0</v>
      </c>
    </row>
    <row r="32" spans="1:22" ht="19.5" customHeight="1">
      <c r="A32" s="56">
        <v>18</v>
      </c>
      <c r="B32" s="57">
        <v>1133002466</v>
      </c>
      <c r="C32" s="58">
        <v>42613</v>
      </c>
      <c r="D32" s="59">
        <v>42582</v>
      </c>
      <c r="E32" s="51">
        <f>8082111.99+3023184.35</f>
        <v>11105296.34</v>
      </c>
      <c r="F32" s="51">
        <f t="shared" si="17"/>
        <v>-1110529.6340000001</v>
      </c>
      <c r="G32" s="51">
        <f t="shared" si="14"/>
        <v>0</v>
      </c>
      <c r="H32" s="51"/>
      <c r="I32" s="51">
        <f t="shared" si="15"/>
        <v>9994766.7060000002</v>
      </c>
      <c r="J32" s="51">
        <f t="shared" si="16"/>
        <v>11993720.0472</v>
      </c>
      <c r="K32" s="51">
        <v>11993720.050000001</v>
      </c>
      <c r="L32" s="52">
        <f t="shared" si="18"/>
        <v>42642</v>
      </c>
      <c r="M32" s="52">
        <v>42641</v>
      </c>
      <c r="N32" s="53">
        <f t="shared" si="2"/>
        <v>1</v>
      </c>
      <c r="O32" s="51">
        <f t="shared" si="13"/>
        <v>-2.8000008314847946E-3</v>
      </c>
      <c r="P32" s="51">
        <f t="shared" si="3"/>
        <v>-2.8000008314847946E-3</v>
      </c>
      <c r="Q32" s="54"/>
      <c r="R32" s="223">
        <f t="shared" si="4"/>
        <v>0</v>
      </c>
      <c r="S32" s="223">
        <f t="shared" si="5"/>
        <v>0</v>
      </c>
      <c r="T32" s="223">
        <f t="shared" si="6"/>
        <v>0</v>
      </c>
      <c r="U32" s="223">
        <f t="shared" si="7"/>
        <v>0</v>
      </c>
      <c r="V32" s="223">
        <f t="shared" si="8"/>
        <v>0</v>
      </c>
    </row>
    <row r="33" spans="1:22" ht="19.5" customHeight="1">
      <c r="A33" s="56">
        <v>19</v>
      </c>
      <c r="B33" s="57">
        <v>1133002486</v>
      </c>
      <c r="C33" s="58">
        <v>42632</v>
      </c>
      <c r="D33" s="59">
        <v>42613</v>
      </c>
      <c r="E33" s="51">
        <f>9203331.15+3442586.13</f>
        <v>12645917.280000001</v>
      </c>
      <c r="F33" s="51">
        <f t="shared" si="17"/>
        <v>-1264591.7280000001</v>
      </c>
      <c r="G33" s="51">
        <f t="shared" si="14"/>
        <v>0</v>
      </c>
      <c r="H33" s="51"/>
      <c r="I33" s="51">
        <f t="shared" si="15"/>
        <v>11381325.552000001</v>
      </c>
      <c r="J33" s="51">
        <f t="shared" si="16"/>
        <v>13657590.662400002</v>
      </c>
      <c r="K33" s="51">
        <f>+J33</f>
        <v>13657590.662400002</v>
      </c>
      <c r="L33" s="52">
        <f t="shared" si="18"/>
        <v>42673</v>
      </c>
      <c r="M33" s="52">
        <v>42675</v>
      </c>
      <c r="N33" s="53">
        <f t="shared" si="2"/>
        <v>-2</v>
      </c>
      <c r="O33" s="51">
        <f t="shared" si="13"/>
        <v>0</v>
      </c>
      <c r="P33" s="51">
        <f t="shared" si="3"/>
        <v>0</v>
      </c>
      <c r="Q33" s="54"/>
      <c r="R33" s="223">
        <f t="shared" si="4"/>
        <v>0</v>
      </c>
      <c r="S33" s="223">
        <f t="shared" si="5"/>
        <v>0</v>
      </c>
      <c r="T33" s="223">
        <f t="shared" si="6"/>
        <v>0</v>
      </c>
      <c r="U33" s="223">
        <f t="shared" si="7"/>
        <v>0</v>
      </c>
      <c r="V33" s="223">
        <f t="shared" si="8"/>
        <v>0</v>
      </c>
    </row>
    <row r="34" spans="1:22" ht="19.5" customHeight="1">
      <c r="A34" s="56">
        <v>20</v>
      </c>
      <c r="B34" s="57">
        <v>1133002548</v>
      </c>
      <c r="C34" s="58">
        <v>42674</v>
      </c>
      <c r="D34" s="59">
        <v>42643</v>
      </c>
      <c r="E34" s="51">
        <v>8996594.4700000007</v>
      </c>
      <c r="F34" s="51">
        <f t="shared" si="17"/>
        <v>-899659.44700000016</v>
      </c>
      <c r="G34" s="51">
        <f t="shared" si="14"/>
        <v>0</v>
      </c>
      <c r="H34" s="51"/>
      <c r="I34" s="51">
        <f t="shared" si="15"/>
        <v>8096935.023</v>
      </c>
      <c r="J34" s="51">
        <f t="shared" si="16"/>
        <v>9716322.0275999997</v>
      </c>
      <c r="K34" s="51">
        <v>9716322.0199999996</v>
      </c>
      <c r="L34" s="52">
        <f t="shared" si="18"/>
        <v>42703</v>
      </c>
      <c r="M34" s="52">
        <v>42704</v>
      </c>
      <c r="N34" s="53">
        <f t="shared" si="2"/>
        <v>-1</v>
      </c>
      <c r="O34" s="51">
        <f t="shared" si="13"/>
        <v>7.6000001281499863E-3</v>
      </c>
      <c r="P34" s="51">
        <f t="shared" si="3"/>
        <v>7.6000001281499863E-3</v>
      </c>
      <c r="Q34" s="54"/>
      <c r="R34" s="223">
        <f t="shared" si="4"/>
        <v>7.6000001281499863E-3</v>
      </c>
      <c r="S34" s="223">
        <f t="shared" si="5"/>
        <v>0</v>
      </c>
      <c r="T34" s="223">
        <f t="shared" si="6"/>
        <v>0</v>
      </c>
      <c r="U34" s="223">
        <f t="shared" si="7"/>
        <v>0</v>
      </c>
      <c r="V34" s="223">
        <f t="shared" si="8"/>
        <v>0</v>
      </c>
    </row>
    <row r="35" spans="1:22" ht="19.5" customHeight="1">
      <c r="A35" s="56">
        <v>21</v>
      </c>
      <c r="B35" s="57">
        <v>1133002667</v>
      </c>
      <c r="C35" s="58">
        <v>42718</v>
      </c>
      <c r="D35" s="59">
        <v>42674</v>
      </c>
      <c r="E35" s="51">
        <f>7406080.4+2770308.84-52000</f>
        <v>10124389.24</v>
      </c>
      <c r="F35" s="51">
        <v>-1017638.92</v>
      </c>
      <c r="G35" s="51">
        <f t="shared" si="14"/>
        <v>0</v>
      </c>
      <c r="H35" s="51"/>
      <c r="I35" s="51">
        <f t="shared" si="15"/>
        <v>9106750.3200000003</v>
      </c>
      <c r="J35" s="51">
        <f t="shared" si="16"/>
        <v>10928100.384</v>
      </c>
      <c r="K35" s="51">
        <v>10928100.380000001</v>
      </c>
      <c r="L35" s="52">
        <f t="shared" si="18"/>
        <v>42734</v>
      </c>
      <c r="M35" s="52">
        <v>42739</v>
      </c>
      <c r="N35" s="53">
        <f t="shared" si="2"/>
        <v>-5</v>
      </c>
      <c r="O35" s="51">
        <f t="shared" si="13"/>
        <v>3.9999987930059433E-3</v>
      </c>
      <c r="P35" s="51">
        <f t="shared" si="3"/>
        <v>3.9999987930059433E-3</v>
      </c>
      <c r="Q35" s="54"/>
      <c r="R35" s="223">
        <f t="shared" si="4"/>
        <v>3.9999987930059433E-3</v>
      </c>
      <c r="S35" s="223">
        <f t="shared" si="5"/>
        <v>0</v>
      </c>
      <c r="T35" s="223">
        <f t="shared" si="6"/>
        <v>0</v>
      </c>
      <c r="U35" s="223">
        <f t="shared" si="7"/>
        <v>0</v>
      </c>
      <c r="V35" s="223">
        <f t="shared" si="8"/>
        <v>0</v>
      </c>
    </row>
    <row r="36" spans="1:22" ht="19.5" customHeight="1">
      <c r="A36" s="56">
        <v>22</v>
      </c>
      <c r="B36" s="57">
        <v>1133002749</v>
      </c>
      <c r="C36" s="58">
        <v>42733</v>
      </c>
      <c r="D36" s="59">
        <v>42704</v>
      </c>
      <c r="E36" s="51">
        <f>4822588.63+1803931.26</f>
        <v>6626519.8899999997</v>
      </c>
      <c r="F36" s="51">
        <f t="shared" ref="F36:F37" si="19">-E36*$F$10</f>
        <v>-662651.98900000006</v>
      </c>
      <c r="G36" s="51">
        <f t="shared" si="14"/>
        <v>0</v>
      </c>
      <c r="H36" s="51"/>
      <c r="I36" s="51">
        <f t="shared" si="15"/>
        <v>5963867.9009999996</v>
      </c>
      <c r="J36" s="51">
        <f t="shared" si="16"/>
        <v>7156641.4811999993</v>
      </c>
      <c r="K36" s="51">
        <v>7156641.4800000004</v>
      </c>
      <c r="L36" s="52">
        <f t="shared" si="18"/>
        <v>42764</v>
      </c>
      <c r="M36" s="52">
        <v>42781</v>
      </c>
      <c r="N36" s="53">
        <f t="shared" si="2"/>
        <v>-17</v>
      </c>
      <c r="O36" s="51">
        <f t="shared" si="13"/>
        <v>1.1999988928437233E-3</v>
      </c>
      <c r="P36" s="51">
        <f t="shared" si="3"/>
        <v>1.1999988928437233E-3</v>
      </c>
      <c r="Q36" s="54"/>
      <c r="R36" s="223">
        <f t="shared" si="4"/>
        <v>1.1999988928437233E-3</v>
      </c>
      <c r="S36" s="223">
        <f t="shared" si="5"/>
        <v>0</v>
      </c>
      <c r="T36" s="223">
        <f t="shared" si="6"/>
        <v>0</v>
      </c>
      <c r="U36" s="223">
        <f t="shared" si="7"/>
        <v>0</v>
      </c>
      <c r="V36" s="223">
        <f t="shared" si="8"/>
        <v>0</v>
      </c>
    </row>
    <row r="37" spans="1:22" ht="19.5" customHeight="1">
      <c r="A37" s="56">
        <v>23</v>
      </c>
      <c r="B37" s="57">
        <v>1133002834</v>
      </c>
      <c r="C37" s="58">
        <v>42788</v>
      </c>
      <c r="D37" s="59">
        <v>42735</v>
      </c>
      <c r="E37" s="51">
        <v>3220891.08</v>
      </c>
      <c r="F37" s="51">
        <f t="shared" si="19"/>
        <v>-322089.10800000001</v>
      </c>
      <c r="G37" s="51">
        <f t="shared" si="14"/>
        <v>0</v>
      </c>
      <c r="H37" s="51"/>
      <c r="I37" s="51">
        <f t="shared" si="15"/>
        <v>2898801.9720000001</v>
      </c>
      <c r="J37" s="51">
        <f t="shared" si="16"/>
        <v>3478562.3664000002</v>
      </c>
      <c r="K37" s="51">
        <v>3478562.36</v>
      </c>
      <c r="L37" s="52">
        <f t="shared" si="18"/>
        <v>42795</v>
      </c>
      <c r="M37" s="52">
        <v>42797</v>
      </c>
      <c r="N37" s="53">
        <f t="shared" si="2"/>
        <v>-2</v>
      </c>
      <c r="O37" s="51">
        <f t="shared" si="13"/>
        <v>6.4000003039836884E-3</v>
      </c>
      <c r="P37" s="51">
        <f t="shared" si="3"/>
        <v>6.4000003039836884E-3</v>
      </c>
      <c r="Q37" s="54"/>
      <c r="R37" s="223">
        <f t="shared" si="4"/>
        <v>6.4000003039836884E-3</v>
      </c>
      <c r="S37" s="223">
        <f t="shared" si="5"/>
        <v>0</v>
      </c>
      <c r="T37" s="223">
        <f t="shared" si="6"/>
        <v>0</v>
      </c>
      <c r="U37" s="223">
        <f t="shared" si="7"/>
        <v>0</v>
      </c>
      <c r="V37" s="223">
        <f t="shared" si="8"/>
        <v>0</v>
      </c>
    </row>
    <row r="38" spans="1:22" ht="19.5" customHeight="1">
      <c r="A38" s="56">
        <v>24</v>
      </c>
      <c r="B38" s="57">
        <v>1133002878</v>
      </c>
      <c r="C38" s="58">
        <v>42807</v>
      </c>
      <c r="D38" s="59">
        <v>42766</v>
      </c>
      <c r="E38" s="51">
        <f>5151558.24+1926985.2-12000</f>
        <v>7066543.4400000004</v>
      </c>
      <c r="F38" s="51">
        <v>-707854.34</v>
      </c>
      <c r="G38" s="51">
        <f t="shared" si="14"/>
        <v>0</v>
      </c>
      <c r="H38" s="51"/>
      <c r="I38" s="51">
        <f t="shared" si="15"/>
        <v>6358689.1000000006</v>
      </c>
      <c r="J38" s="51">
        <f t="shared" si="16"/>
        <v>7630426.9200000009</v>
      </c>
      <c r="K38" s="51">
        <v>7630426.9199999999</v>
      </c>
      <c r="L38" s="52">
        <f>+D38+60</f>
        <v>42826</v>
      </c>
      <c r="M38" s="52">
        <v>42823</v>
      </c>
      <c r="N38" s="53">
        <f t="shared" si="2"/>
        <v>3</v>
      </c>
      <c r="O38" s="51">
        <f t="shared" si="13"/>
        <v>0</v>
      </c>
      <c r="P38" s="51">
        <f t="shared" si="3"/>
        <v>0</v>
      </c>
      <c r="Q38" s="54"/>
      <c r="R38" s="223">
        <f t="shared" si="4"/>
        <v>0</v>
      </c>
      <c r="S38" s="223">
        <f t="shared" si="5"/>
        <v>0</v>
      </c>
      <c r="T38" s="223">
        <f t="shared" si="6"/>
        <v>0</v>
      </c>
      <c r="U38" s="223">
        <f t="shared" si="7"/>
        <v>0</v>
      </c>
      <c r="V38" s="223">
        <f t="shared" si="8"/>
        <v>0</v>
      </c>
    </row>
    <row r="39" spans="1:22" ht="19.5" customHeight="1">
      <c r="A39" s="56">
        <v>25</v>
      </c>
      <c r="B39" s="57">
        <v>1133002918</v>
      </c>
      <c r="C39" s="58">
        <v>42843</v>
      </c>
      <c r="D39" s="59">
        <v>42794</v>
      </c>
      <c r="E39" s="51">
        <f>3897694.34+1457966.5</f>
        <v>5355660.84</v>
      </c>
      <c r="F39" s="51">
        <f t="shared" ref="F39:F40" si="20">-E39*$F$10</f>
        <v>-535566.08400000003</v>
      </c>
      <c r="G39" s="51">
        <f t="shared" si="14"/>
        <v>0</v>
      </c>
      <c r="H39" s="51"/>
      <c r="I39" s="51">
        <f t="shared" si="15"/>
        <v>4820094.7560000001</v>
      </c>
      <c r="J39" s="51">
        <f t="shared" si="16"/>
        <v>5784113.7072000001</v>
      </c>
      <c r="K39" s="51">
        <v>5784113.71</v>
      </c>
      <c r="L39" s="52">
        <f>+D39+60</f>
        <v>42854</v>
      </c>
      <c r="M39" s="52">
        <v>42860</v>
      </c>
      <c r="N39" s="53">
        <f t="shared" si="2"/>
        <v>-6</v>
      </c>
      <c r="O39" s="51">
        <f t="shared" si="13"/>
        <v>-2.79999990016222E-3</v>
      </c>
      <c r="P39" s="51">
        <f t="shared" si="3"/>
        <v>-2.79999990016222E-3</v>
      </c>
      <c r="Q39" s="54"/>
      <c r="R39" s="223">
        <f t="shared" si="4"/>
        <v>-2.79999990016222E-3</v>
      </c>
      <c r="S39" s="223">
        <f t="shared" si="5"/>
        <v>0</v>
      </c>
      <c r="T39" s="223">
        <f t="shared" si="6"/>
        <v>0</v>
      </c>
      <c r="U39" s="223">
        <f t="shared" si="7"/>
        <v>0</v>
      </c>
      <c r="V39" s="223">
        <f t="shared" si="8"/>
        <v>0</v>
      </c>
    </row>
    <row r="40" spans="1:22" ht="19.5" customHeight="1">
      <c r="A40" s="56">
        <v>26</v>
      </c>
      <c r="B40" s="57">
        <v>1133002950</v>
      </c>
      <c r="C40" s="58">
        <v>42866</v>
      </c>
      <c r="D40" s="59">
        <v>42825</v>
      </c>
      <c r="E40" s="51">
        <f>5708606.8+2135354.06</f>
        <v>7843960.8599999994</v>
      </c>
      <c r="F40" s="51">
        <f t="shared" si="20"/>
        <v>-784396.08600000001</v>
      </c>
      <c r="G40" s="51">
        <f t="shared" si="14"/>
        <v>0</v>
      </c>
      <c r="H40" s="51"/>
      <c r="I40" s="51">
        <f t="shared" si="15"/>
        <v>7059564.7739999993</v>
      </c>
      <c r="J40" s="51">
        <f t="shared" si="16"/>
        <v>8471477.7287999988</v>
      </c>
      <c r="K40" s="51">
        <v>8471477.7200000007</v>
      </c>
      <c r="L40" s="52">
        <f>+D40+60</f>
        <v>42885</v>
      </c>
      <c r="M40" s="52">
        <v>42915</v>
      </c>
      <c r="N40" s="53">
        <f t="shared" si="2"/>
        <v>-30</v>
      </c>
      <c r="O40" s="51">
        <f t="shared" si="13"/>
        <v>8.7999980896711349E-3</v>
      </c>
      <c r="P40" s="51">
        <f t="shared" si="3"/>
        <v>8.7999980896711349E-3</v>
      </c>
      <c r="Q40" s="54"/>
      <c r="R40" s="223">
        <f t="shared" si="4"/>
        <v>8.7999980896711349E-3</v>
      </c>
      <c r="S40" s="223">
        <f t="shared" si="5"/>
        <v>0</v>
      </c>
      <c r="T40" s="223">
        <f t="shared" si="6"/>
        <v>0</v>
      </c>
      <c r="U40" s="223">
        <f t="shared" si="7"/>
        <v>0</v>
      </c>
      <c r="V40" s="223">
        <f t="shared" si="8"/>
        <v>0</v>
      </c>
    </row>
    <row r="41" spans="1:22" ht="19.5" customHeight="1">
      <c r="A41" s="56">
        <v>27</v>
      </c>
      <c r="B41" s="57">
        <v>1133002984</v>
      </c>
      <c r="C41" s="58">
        <v>42898</v>
      </c>
      <c r="D41" s="59">
        <v>42855</v>
      </c>
      <c r="E41" s="51">
        <f>3902685.01+1459833.3-12000</f>
        <v>5350518.3099999996</v>
      </c>
      <c r="F41" s="51">
        <v>-536251.82999999996</v>
      </c>
      <c r="G41" s="51">
        <f t="shared" si="14"/>
        <v>0</v>
      </c>
      <c r="H41" s="51"/>
      <c r="I41" s="51">
        <f t="shared" si="15"/>
        <v>4814266.4799999995</v>
      </c>
      <c r="J41" s="51">
        <f t="shared" si="16"/>
        <v>5777119.7759999996</v>
      </c>
      <c r="K41" s="51">
        <v>5777119.7800000003</v>
      </c>
      <c r="L41" s="52">
        <f>+D41+60</f>
        <v>42915</v>
      </c>
      <c r="M41" s="52">
        <v>42934</v>
      </c>
      <c r="N41" s="53">
        <f t="shared" si="2"/>
        <v>-19</v>
      </c>
      <c r="O41" s="51">
        <f t="shared" si="13"/>
        <v>-4.0000006556510925E-3</v>
      </c>
      <c r="P41" s="51">
        <f t="shared" si="3"/>
        <v>-4.0000006556510925E-3</v>
      </c>
      <c r="Q41" s="54"/>
      <c r="R41" s="223">
        <f t="shared" si="4"/>
        <v>-4.0000006556510925E-3</v>
      </c>
      <c r="S41" s="223">
        <f t="shared" si="5"/>
        <v>0</v>
      </c>
      <c r="T41" s="223">
        <f t="shared" si="6"/>
        <v>0</v>
      </c>
      <c r="U41" s="223">
        <f t="shared" si="7"/>
        <v>0</v>
      </c>
      <c r="V41" s="223">
        <f t="shared" si="8"/>
        <v>0</v>
      </c>
    </row>
    <row r="42" spans="1:22" ht="19.5" customHeight="1">
      <c r="A42" s="56">
        <v>28</v>
      </c>
      <c r="B42" s="57">
        <v>1133003027</v>
      </c>
      <c r="C42" s="58">
        <v>42928</v>
      </c>
      <c r="D42" s="59">
        <v>42886</v>
      </c>
      <c r="E42" s="51">
        <v>13820194.82</v>
      </c>
      <c r="F42" s="51">
        <f t="shared" ref="F42:F43" si="21">-E42*$F$10</f>
        <v>-1382019.4820000001</v>
      </c>
      <c r="G42" s="51">
        <f t="shared" si="14"/>
        <v>0</v>
      </c>
      <c r="H42" s="51"/>
      <c r="I42" s="51">
        <f t="shared" si="15"/>
        <v>12438175.338</v>
      </c>
      <c r="J42" s="51">
        <f t="shared" si="16"/>
        <v>14925810.4056</v>
      </c>
      <c r="K42" s="51">
        <v>14925810.41</v>
      </c>
      <c r="L42" s="52">
        <f>+D42+60</f>
        <v>42946</v>
      </c>
      <c r="M42" s="52">
        <v>42976</v>
      </c>
      <c r="N42" s="53">
        <f t="shared" si="2"/>
        <v>-30</v>
      </c>
      <c r="O42" s="51">
        <f t="shared" si="13"/>
        <v>-4.3999999761581421E-3</v>
      </c>
      <c r="P42" s="51">
        <f t="shared" si="3"/>
        <v>-4.3999999761581421E-3</v>
      </c>
      <c r="Q42" s="54"/>
      <c r="R42" s="223">
        <f t="shared" si="4"/>
        <v>-4.3999999761581421E-3</v>
      </c>
      <c r="S42" s="223">
        <f t="shared" si="5"/>
        <v>0</v>
      </c>
      <c r="T42" s="223">
        <f t="shared" si="6"/>
        <v>0</v>
      </c>
      <c r="U42" s="223">
        <f t="shared" si="7"/>
        <v>0</v>
      </c>
      <c r="V42" s="223">
        <f t="shared" si="8"/>
        <v>0</v>
      </c>
    </row>
    <row r="43" spans="1:22" ht="19.5" customHeight="1">
      <c r="A43" s="56">
        <v>29</v>
      </c>
      <c r="B43" s="57">
        <v>1133003048</v>
      </c>
      <c r="C43" s="58">
        <v>42943</v>
      </c>
      <c r="D43" s="59">
        <v>42916</v>
      </c>
      <c r="E43" s="51">
        <f>3127691.08+1169940.08+4731387.24</f>
        <v>9029018.4000000004</v>
      </c>
      <c r="F43" s="51">
        <f t="shared" si="21"/>
        <v>-902901.84000000008</v>
      </c>
      <c r="G43" s="51">
        <f t="shared" si="14"/>
        <v>0</v>
      </c>
      <c r="H43" s="51"/>
      <c r="I43" s="51">
        <f t="shared" si="15"/>
        <v>8126116.5600000005</v>
      </c>
      <c r="J43" s="51">
        <f t="shared" si="16"/>
        <v>9751339.8720000014</v>
      </c>
      <c r="K43" s="51">
        <f>+J43</f>
        <v>9751339.8720000014</v>
      </c>
      <c r="L43" s="52">
        <f>+C43+45</f>
        <v>42988</v>
      </c>
      <c r="M43" s="52">
        <v>43010</v>
      </c>
      <c r="N43" s="53">
        <f t="shared" si="2"/>
        <v>-22</v>
      </c>
      <c r="O43" s="51">
        <f t="shared" si="13"/>
        <v>0</v>
      </c>
      <c r="P43" s="51">
        <f t="shared" si="3"/>
        <v>0</v>
      </c>
      <c r="Q43" s="54"/>
      <c r="R43" s="223">
        <f t="shared" si="4"/>
        <v>0</v>
      </c>
      <c r="S43" s="223">
        <f t="shared" si="5"/>
        <v>0</v>
      </c>
      <c r="T43" s="223">
        <f t="shared" si="6"/>
        <v>0</v>
      </c>
      <c r="U43" s="223">
        <f t="shared" si="7"/>
        <v>0</v>
      </c>
      <c r="V43" s="223">
        <f t="shared" si="8"/>
        <v>0</v>
      </c>
    </row>
    <row r="44" spans="1:22" ht="19.5" customHeight="1">
      <c r="A44" s="56">
        <v>30</v>
      </c>
      <c r="B44" s="57">
        <v>1133003147</v>
      </c>
      <c r="C44" s="58">
        <v>42978</v>
      </c>
      <c r="D44" s="59">
        <v>42947</v>
      </c>
      <c r="E44" s="51">
        <v>13315809.24</v>
      </c>
      <c r="F44" s="51">
        <v>-1332780.92</v>
      </c>
      <c r="G44" s="51">
        <f t="shared" si="14"/>
        <v>0</v>
      </c>
      <c r="H44" s="51"/>
      <c r="I44" s="51">
        <f t="shared" si="15"/>
        <v>11983028.32</v>
      </c>
      <c r="J44" s="51">
        <f t="shared" si="16"/>
        <v>14379633.984000001</v>
      </c>
      <c r="K44" s="51">
        <f>+J44</f>
        <v>14379633.984000001</v>
      </c>
      <c r="L44" s="52">
        <f>+C44+45</f>
        <v>43023</v>
      </c>
      <c r="M44" s="52">
        <v>43035</v>
      </c>
      <c r="N44" s="53">
        <f t="shared" si="2"/>
        <v>-12</v>
      </c>
      <c r="O44" s="51">
        <f t="shared" si="13"/>
        <v>0</v>
      </c>
      <c r="P44" s="51">
        <f t="shared" si="3"/>
        <v>0</v>
      </c>
      <c r="Q44" s="54"/>
      <c r="R44" s="223">
        <f t="shared" si="4"/>
        <v>0</v>
      </c>
      <c r="S44" s="223">
        <f t="shared" si="5"/>
        <v>0</v>
      </c>
      <c r="T44" s="223">
        <f t="shared" si="6"/>
        <v>0</v>
      </c>
      <c r="U44" s="223">
        <f t="shared" si="7"/>
        <v>0</v>
      </c>
      <c r="V44" s="223">
        <f t="shared" si="8"/>
        <v>0</v>
      </c>
    </row>
    <row r="45" spans="1:22" ht="19.5" customHeight="1">
      <c r="A45" s="56">
        <v>31</v>
      </c>
      <c r="B45" s="57">
        <v>1133003165</v>
      </c>
      <c r="C45" s="58">
        <v>43007</v>
      </c>
      <c r="D45" s="59">
        <v>42978</v>
      </c>
      <c r="E45" s="51">
        <f>4741024.77+1773421.58+6337147.81-19602</f>
        <v>12831992.16</v>
      </c>
      <c r="F45" s="51">
        <v>-1285159.42</v>
      </c>
      <c r="G45" s="51"/>
      <c r="H45" s="51"/>
      <c r="I45" s="51">
        <f t="shared" si="15"/>
        <v>11546832.74</v>
      </c>
      <c r="J45" s="51">
        <f t="shared" si="16"/>
        <v>13856199.288000001</v>
      </c>
      <c r="K45" s="51"/>
      <c r="L45" s="52">
        <f>+C45+45</f>
        <v>43052</v>
      </c>
      <c r="M45" s="52"/>
      <c r="N45" s="53">
        <f t="shared" si="2"/>
        <v>-17</v>
      </c>
      <c r="O45" s="51">
        <f t="shared" si="13"/>
        <v>13856199.288000001</v>
      </c>
      <c r="P45" s="51">
        <f t="shared" si="3"/>
        <v>13856199.288000001</v>
      </c>
      <c r="Q45" s="54"/>
      <c r="R45" s="223">
        <f t="shared" si="4"/>
        <v>13856199.288000001</v>
      </c>
      <c r="S45" s="223">
        <f t="shared" si="5"/>
        <v>0</v>
      </c>
      <c r="T45" s="223">
        <f t="shared" si="6"/>
        <v>0</v>
      </c>
      <c r="U45" s="223">
        <f t="shared" si="7"/>
        <v>0</v>
      </c>
      <c r="V45" s="223">
        <f t="shared" si="8"/>
        <v>0</v>
      </c>
    </row>
    <row r="46" spans="1:22" ht="19.5" customHeight="1">
      <c r="A46" s="56">
        <v>32</v>
      </c>
      <c r="B46" s="57">
        <v>113303221</v>
      </c>
      <c r="C46" s="58">
        <v>43041</v>
      </c>
      <c r="D46" s="59">
        <v>43008</v>
      </c>
      <c r="E46" s="51">
        <f>2976785.34+1113492.47+3978955.95</f>
        <v>8069233.7599999998</v>
      </c>
      <c r="F46" s="51">
        <f t="shared" ref="F46:F47" si="22">-E46*$F$10</f>
        <v>-806923.37600000005</v>
      </c>
      <c r="G46" s="51"/>
      <c r="H46" s="51"/>
      <c r="I46" s="51">
        <f t="shared" si="15"/>
        <v>7262310.3839999996</v>
      </c>
      <c r="J46" s="51">
        <f t="shared" si="16"/>
        <v>8714772.4607999995</v>
      </c>
      <c r="K46" s="51"/>
      <c r="L46" s="52">
        <f>+C46+45</f>
        <v>43086</v>
      </c>
      <c r="M46" s="52"/>
      <c r="N46" s="53">
        <f t="shared" si="2"/>
        <v>17</v>
      </c>
      <c r="O46" s="51">
        <f t="shared" si="13"/>
        <v>8714772.4607999995</v>
      </c>
      <c r="P46" s="51">
        <f t="shared" si="3"/>
        <v>0</v>
      </c>
      <c r="Q46" s="54"/>
      <c r="R46" s="223">
        <f t="shared" si="4"/>
        <v>0</v>
      </c>
      <c r="S46" s="223">
        <f t="shared" si="5"/>
        <v>0</v>
      </c>
      <c r="T46" s="223">
        <f t="shared" si="6"/>
        <v>0</v>
      </c>
      <c r="U46" s="223">
        <f t="shared" si="7"/>
        <v>0</v>
      </c>
      <c r="V46" s="223">
        <f t="shared" si="8"/>
        <v>0</v>
      </c>
    </row>
    <row r="47" spans="1:22" ht="19.5" customHeight="1">
      <c r="A47" s="56"/>
      <c r="B47" s="57"/>
      <c r="C47" s="58"/>
      <c r="D47" s="59"/>
      <c r="E47" s="51"/>
      <c r="F47" s="51">
        <f t="shared" si="22"/>
        <v>0</v>
      </c>
      <c r="G47" s="51"/>
      <c r="H47" s="51"/>
      <c r="I47" s="51">
        <f t="shared" si="15"/>
        <v>0</v>
      </c>
      <c r="J47" s="51">
        <f t="shared" si="16"/>
        <v>0</v>
      </c>
      <c r="K47" s="51"/>
      <c r="L47" s="52"/>
      <c r="M47" s="52"/>
      <c r="N47" s="53">
        <f t="shared" si="2"/>
        <v>0</v>
      </c>
      <c r="O47" s="51">
        <f t="shared" si="13"/>
        <v>0</v>
      </c>
      <c r="P47" s="51">
        <f t="shared" si="3"/>
        <v>0</v>
      </c>
      <c r="Q47" s="54"/>
      <c r="R47" s="223">
        <f t="shared" si="4"/>
        <v>0</v>
      </c>
      <c r="S47" s="223">
        <f t="shared" si="5"/>
        <v>0</v>
      </c>
      <c r="T47" s="223">
        <f t="shared" si="6"/>
        <v>0</v>
      </c>
      <c r="U47" s="223">
        <f t="shared" si="7"/>
        <v>0</v>
      </c>
      <c r="V47" s="223">
        <f t="shared" si="8"/>
        <v>0</v>
      </c>
    </row>
    <row r="48" spans="1:22" ht="19.5" customHeight="1" thickBot="1">
      <c r="A48" s="56"/>
      <c r="B48" s="57"/>
      <c r="C48" s="58"/>
      <c r="D48" s="59"/>
      <c r="E48" s="51"/>
      <c r="F48" s="51"/>
      <c r="G48" s="51"/>
      <c r="H48" s="51"/>
      <c r="I48" s="51"/>
      <c r="J48" s="51"/>
      <c r="K48" s="51"/>
      <c r="L48" s="52"/>
      <c r="M48" s="52"/>
      <c r="N48" s="62"/>
      <c r="O48" s="51"/>
      <c r="P48" s="57"/>
      <c r="Q48" s="54"/>
      <c r="R48" s="223"/>
      <c r="S48" s="223"/>
      <c r="T48" s="223"/>
      <c r="U48" s="223"/>
      <c r="V48" s="223"/>
    </row>
    <row r="49" spans="1:22" s="54" customFormat="1" ht="28.5" customHeight="1" thickBot="1">
      <c r="A49" s="234"/>
      <c r="B49" s="235" t="s">
        <v>58</v>
      </c>
      <c r="C49" s="235"/>
      <c r="D49" s="235"/>
      <c r="E49" s="236">
        <f t="shared" ref="E49:K49" si="23">SUM(E12:E48)</f>
        <v>306719622.53999996</v>
      </c>
      <c r="F49" s="236">
        <f>SUM(F12:F48)</f>
        <v>12821812.057000013</v>
      </c>
      <c r="G49" s="236">
        <f t="shared" si="23"/>
        <v>0</v>
      </c>
      <c r="H49" s="236">
        <f t="shared" si="23"/>
        <v>0</v>
      </c>
      <c r="I49" s="236">
        <f t="shared" si="23"/>
        <v>319541434.597</v>
      </c>
      <c r="J49" s="236">
        <f t="shared" si="23"/>
        <v>383449721.51640004</v>
      </c>
      <c r="K49" s="236">
        <f t="shared" si="23"/>
        <v>360878749.76920003</v>
      </c>
      <c r="L49" s="237"/>
      <c r="M49" s="237"/>
      <c r="N49" s="237"/>
      <c r="O49" s="236">
        <f>SUM(O12:O48)</f>
        <v>22570971.747200005</v>
      </c>
      <c r="P49" s="238">
        <f>SUM(P12:P48)</f>
        <v>13856199.286400003</v>
      </c>
      <c r="R49" s="68">
        <f>SUM(R12:R48)</f>
        <v>13856199.296000006</v>
      </c>
      <c r="S49" s="68">
        <f t="shared" ref="S49:V49" si="24">SUM(S12:S48)</f>
        <v>-6.7999999737367034E-3</v>
      </c>
      <c r="T49" s="68">
        <f t="shared" si="24"/>
        <v>0</v>
      </c>
      <c r="U49" s="68">
        <f t="shared" si="24"/>
        <v>0</v>
      </c>
      <c r="V49" s="68">
        <f t="shared" si="24"/>
        <v>0</v>
      </c>
    </row>
    <row r="50" spans="1:22" ht="21" customHeight="1">
      <c r="A50" s="69"/>
      <c r="B50" s="70"/>
      <c r="C50" s="70"/>
      <c r="D50" s="71" t="s">
        <v>59</v>
      </c>
      <c r="E50" s="72">
        <f>+E49/$M$7</f>
        <v>0.99194479019699899</v>
      </c>
      <c r="F50" s="70"/>
      <c r="G50" s="70"/>
      <c r="H50" s="70"/>
      <c r="I50" s="70"/>
      <c r="J50" s="71" t="s">
        <v>60</v>
      </c>
      <c r="K50" s="72">
        <f>+K49/J49</f>
        <v>0.94113707617796594</v>
      </c>
      <c r="L50" s="70"/>
      <c r="M50" s="70"/>
      <c r="N50" s="70"/>
      <c r="O50" s="70"/>
      <c r="P50" s="73"/>
      <c r="Q50" s="54"/>
      <c r="R50" s="54"/>
      <c r="S50" s="54"/>
      <c r="T50" s="54"/>
      <c r="U50" s="54"/>
      <c r="V50" s="54"/>
    </row>
    <row r="51" spans="1:22" ht="21" customHeight="1" thickBot="1">
      <c r="A51" s="74"/>
      <c r="B51" s="75"/>
      <c r="C51" s="75"/>
      <c r="D51" s="76" t="s">
        <v>61</v>
      </c>
      <c r="E51" s="77">
        <f>+$M$7-$E$49</f>
        <v>2490754.4600000381</v>
      </c>
      <c r="F51" s="78">
        <f>+E51/M7</f>
        <v>8.0552098030010101E-3</v>
      </c>
      <c r="G51" s="75"/>
      <c r="H51" s="75"/>
      <c r="I51" s="75"/>
      <c r="J51" s="75"/>
      <c r="K51" s="75"/>
      <c r="L51" s="75"/>
      <c r="M51" s="75"/>
      <c r="N51" s="75"/>
      <c r="O51" s="75"/>
      <c r="P51" s="79"/>
      <c r="Q51" s="54"/>
      <c r="R51" s="54"/>
      <c r="S51" s="54"/>
      <c r="T51" s="54"/>
      <c r="U51" s="54"/>
      <c r="V51" s="54"/>
    </row>
    <row r="52" spans="1:22">
      <c r="A52" s="54"/>
      <c r="B52" s="69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3"/>
      <c r="O52" s="54"/>
      <c r="P52" s="54"/>
      <c r="Q52" s="54"/>
      <c r="R52" s="54"/>
      <c r="S52" s="54"/>
      <c r="T52" s="54"/>
      <c r="U52" s="54"/>
      <c r="V52" s="54"/>
    </row>
    <row r="53" spans="1:22" ht="21">
      <c r="A53" s="54"/>
      <c r="B53" s="165"/>
      <c r="C53" s="239" t="s">
        <v>62</v>
      </c>
      <c r="D53" s="239"/>
      <c r="E53" s="239"/>
      <c r="F53" s="239"/>
      <c r="G53" s="239"/>
      <c r="H53" s="239" t="s">
        <v>105</v>
      </c>
      <c r="I53" s="167"/>
      <c r="J53" s="167"/>
      <c r="K53" s="167"/>
      <c r="L53" s="167"/>
      <c r="M53" s="167"/>
      <c r="N53" s="168"/>
      <c r="O53" s="54"/>
      <c r="P53" s="54"/>
      <c r="Q53" s="54"/>
      <c r="R53" s="54"/>
      <c r="S53" s="54"/>
      <c r="T53" s="54"/>
      <c r="U53" s="54"/>
      <c r="V53" s="54"/>
    </row>
    <row r="54" spans="1:22" ht="17.25" thickBot="1">
      <c r="A54" s="54"/>
      <c r="B54" s="165"/>
      <c r="C54" s="167"/>
      <c r="D54" s="167"/>
      <c r="E54" s="167"/>
      <c r="F54" s="167"/>
      <c r="G54" s="169"/>
      <c r="H54" s="167"/>
      <c r="I54" s="167"/>
      <c r="J54" s="167"/>
      <c r="K54" s="167"/>
      <c r="L54" s="167"/>
      <c r="M54" s="167"/>
      <c r="N54" s="168"/>
      <c r="O54" s="54"/>
      <c r="P54" s="54"/>
      <c r="Q54" s="54"/>
      <c r="R54" s="54"/>
      <c r="S54" s="54"/>
      <c r="T54" s="54"/>
      <c r="U54" s="54"/>
      <c r="V54" s="54"/>
    </row>
    <row r="55" spans="1:22" ht="18" customHeight="1" thickBot="1">
      <c r="A55" s="54"/>
      <c r="B55" s="165"/>
      <c r="C55" s="298" t="s">
        <v>63</v>
      </c>
      <c r="D55" s="299"/>
      <c r="E55" s="300"/>
      <c r="F55" s="170" t="s">
        <v>64</v>
      </c>
      <c r="G55" s="171">
        <f>+M7</f>
        <v>309210377</v>
      </c>
      <c r="H55" s="172"/>
      <c r="I55" s="173"/>
      <c r="J55" s="172"/>
      <c r="K55" s="172"/>
      <c r="L55" s="172"/>
      <c r="M55" s="172"/>
      <c r="N55" s="174"/>
      <c r="O55" s="54"/>
      <c r="P55" s="54"/>
      <c r="Q55" s="54"/>
      <c r="R55" s="54"/>
      <c r="S55" s="54"/>
      <c r="T55" s="54"/>
      <c r="U55" s="54"/>
      <c r="V55" s="54"/>
    </row>
    <row r="56" spans="1:22" ht="17.25" thickBot="1">
      <c r="A56" s="54"/>
      <c r="B56" s="165"/>
      <c r="C56" s="170"/>
      <c r="D56" s="170"/>
      <c r="E56" s="170"/>
      <c r="F56" s="170"/>
      <c r="G56" s="172"/>
      <c r="H56" s="172"/>
      <c r="I56" s="172"/>
      <c r="J56" s="172"/>
      <c r="K56" s="172"/>
      <c r="L56" s="172"/>
      <c r="M56" s="172"/>
      <c r="N56" s="174"/>
      <c r="O56" s="54"/>
      <c r="P56" s="54"/>
      <c r="Q56" s="54"/>
      <c r="R56" s="54"/>
      <c r="S56" s="54"/>
      <c r="T56" s="54"/>
      <c r="U56" s="54"/>
      <c r="V56" s="54"/>
    </row>
    <row r="57" spans="1:22" ht="18" customHeight="1" thickBot="1">
      <c r="A57" s="54"/>
      <c r="B57" s="165"/>
      <c r="C57" s="301" t="s">
        <v>65</v>
      </c>
      <c r="D57" s="302"/>
      <c r="E57" s="303"/>
      <c r="F57" s="170" t="s">
        <v>64</v>
      </c>
      <c r="G57" s="176">
        <f>+E49</f>
        <v>306719622.53999996</v>
      </c>
      <c r="H57" s="172"/>
      <c r="I57" s="172"/>
      <c r="J57" s="95">
        <f>G57/G55</f>
        <v>0.99194479019699899</v>
      </c>
      <c r="K57" s="177" t="s">
        <v>66</v>
      </c>
      <c r="L57" s="178"/>
      <c r="M57" s="178"/>
      <c r="N57" s="174"/>
      <c r="O57" s="54"/>
      <c r="P57" s="54"/>
      <c r="Q57" s="54"/>
      <c r="R57" s="54"/>
      <c r="S57" s="54"/>
      <c r="T57" s="54"/>
      <c r="U57" s="54"/>
      <c r="V57" s="54"/>
    </row>
    <row r="58" spans="1:22" ht="17.25" thickBot="1">
      <c r="B58" s="179"/>
      <c r="C58" s="170"/>
      <c r="D58" s="170"/>
      <c r="E58" s="170"/>
      <c r="F58" s="170"/>
      <c r="G58" s="172"/>
      <c r="H58" s="172"/>
      <c r="I58" s="172"/>
      <c r="J58" s="172"/>
      <c r="K58" s="180"/>
      <c r="L58" s="172"/>
      <c r="M58" s="172"/>
      <c r="N58" s="174"/>
    </row>
    <row r="59" spans="1:22" ht="18" customHeight="1" thickBot="1">
      <c r="B59" s="179"/>
      <c r="C59" s="304" t="s">
        <v>92</v>
      </c>
      <c r="D59" s="305"/>
      <c r="E59" s="306"/>
      <c r="F59" s="170" t="s">
        <v>68</v>
      </c>
      <c r="G59" s="101">
        <f>+K49</f>
        <v>360878749.76920003</v>
      </c>
      <c r="H59" s="172"/>
      <c r="I59" s="172"/>
      <c r="J59" s="102">
        <f>G59/J49</f>
        <v>0.94113707617796594</v>
      </c>
      <c r="K59" s="181" t="s">
        <v>69</v>
      </c>
      <c r="L59" s="182"/>
      <c r="M59" s="182"/>
      <c r="N59" s="174"/>
    </row>
    <row r="60" spans="1:22" ht="17.25" thickBot="1">
      <c r="B60" s="179"/>
      <c r="C60" s="170"/>
      <c r="D60" s="170"/>
      <c r="E60" s="170"/>
      <c r="F60" s="170"/>
      <c r="G60" s="172"/>
      <c r="H60" s="172"/>
      <c r="I60" s="172"/>
      <c r="J60" s="172"/>
      <c r="K60" s="180"/>
      <c r="L60" s="172"/>
      <c r="M60" s="172"/>
      <c r="N60" s="174"/>
    </row>
    <row r="61" spans="1:22" ht="18" customHeight="1" thickBot="1">
      <c r="B61" s="179"/>
      <c r="C61" s="304" t="s">
        <v>70</v>
      </c>
      <c r="D61" s="305"/>
      <c r="E61" s="306"/>
      <c r="F61" s="170" t="s">
        <v>68</v>
      </c>
      <c r="G61" s="106">
        <f>+O49</f>
        <v>22570971.747200005</v>
      </c>
      <c r="H61" s="172"/>
      <c r="I61" s="172"/>
      <c r="J61" s="107">
        <f>G61/J49</f>
        <v>5.8862923822033994E-2</v>
      </c>
      <c r="K61" s="181" t="s">
        <v>69</v>
      </c>
      <c r="L61" s="183"/>
      <c r="M61" s="183"/>
      <c r="N61" s="174"/>
    </row>
    <row r="62" spans="1:22" ht="17.25" thickBot="1">
      <c r="B62" s="179"/>
      <c r="C62" s="170"/>
      <c r="D62" s="170"/>
      <c r="E62" s="170"/>
      <c r="F62" s="170"/>
      <c r="G62" s="172"/>
      <c r="H62" s="172"/>
      <c r="I62" s="172"/>
      <c r="J62" s="172"/>
      <c r="K62" s="180"/>
      <c r="L62" s="172"/>
      <c r="M62" s="172"/>
      <c r="N62" s="174"/>
    </row>
    <row r="63" spans="1:22" ht="18" customHeight="1" thickBot="1">
      <c r="B63" s="179"/>
      <c r="C63" s="304" t="s">
        <v>93</v>
      </c>
      <c r="D63" s="305"/>
      <c r="E63" s="306"/>
      <c r="F63" s="170" t="s">
        <v>68</v>
      </c>
      <c r="G63" s="110">
        <f>+P49</f>
        <v>13856199.286400003</v>
      </c>
      <c r="H63" s="172"/>
      <c r="I63" s="172"/>
      <c r="J63" s="111">
        <f>+G63/J49</f>
        <v>3.6135635283822673E-2</v>
      </c>
      <c r="K63" s="181" t="s">
        <v>69</v>
      </c>
      <c r="L63" s="182"/>
      <c r="M63" s="182"/>
      <c r="N63" s="174"/>
    </row>
    <row r="64" spans="1:22" ht="5.25" customHeight="1" thickBot="1">
      <c r="B64" s="184"/>
      <c r="C64" s="185"/>
      <c r="D64" s="185"/>
      <c r="E64" s="185"/>
      <c r="F64" s="185"/>
      <c r="G64" s="185"/>
      <c r="H64" s="185"/>
      <c r="I64" s="185"/>
      <c r="J64" s="185"/>
      <c r="K64" s="185"/>
      <c r="L64" s="185"/>
      <c r="M64" s="185"/>
      <c r="N64" s="186"/>
    </row>
    <row r="66" spans="5:16" s="241" customFormat="1" ht="13.5">
      <c r="E66" s="240">
        <v>541800513.23000002</v>
      </c>
      <c r="F66" s="240">
        <v>12821812.053000014</v>
      </c>
      <c r="G66" s="240">
        <v>0</v>
      </c>
      <c r="H66" s="240">
        <v>0</v>
      </c>
      <c r="I66" s="240">
        <v>554622325.28299999</v>
      </c>
      <c r="J66" s="240">
        <v>665546790.33960009</v>
      </c>
      <c r="K66" s="240">
        <v>637744960.39760005</v>
      </c>
      <c r="O66" s="240">
        <v>27801829.941999998</v>
      </c>
      <c r="P66" s="240">
        <v>19087057.481199995</v>
      </c>
    </row>
  </sheetData>
  <mergeCells count="19">
    <mergeCell ref="C55:E55"/>
    <mergeCell ref="C57:E57"/>
    <mergeCell ref="C59:E59"/>
    <mergeCell ref="C61:E61"/>
    <mergeCell ref="C63:E63"/>
    <mergeCell ref="O10:P10"/>
    <mergeCell ref="C1:E2"/>
    <mergeCell ref="F1:F2"/>
    <mergeCell ref="G1:J1"/>
    <mergeCell ref="M1:N1"/>
    <mergeCell ref="M2:N2"/>
    <mergeCell ref="C3:E4"/>
    <mergeCell ref="M3:N3"/>
    <mergeCell ref="M4:N4"/>
    <mergeCell ref="M5:N5"/>
    <mergeCell ref="C6:D6"/>
    <mergeCell ref="M6:N6"/>
    <mergeCell ref="M7:N7"/>
    <mergeCell ref="M8:N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workbookViewId="0">
      <selection sqref="A1:B2"/>
    </sheetView>
  </sheetViews>
  <sheetFormatPr baseColWidth="10" defaultRowHeight="16.5"/>
  <cols>
    <col min="1" max="1" width="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2.28515625" style="5" bestFit="1" customWidth="1"/>
    <col min="9" max="9" width="13.28515625" style="5" customWidth="1"/>
    <col min="10" max="10" width="13.5703125" style="5" customWidth="1"/>
    <col min="11" max="12" width="13.7109375" style="5" customWidth="1"/>
    <col min="13" max="13" width="11.42578125" style="5"/>
    <col min="14" max="14" width="7" style="5" customWidth="1"/>
    <col min="15" max="15" width="13.42578125" style="5" customWidth="1"/>
    <col min="16" max="16" width="13.5703125" style="5" customWidth="1"/>
    <col min="17" max="17" width="6.140625" style="5" customWidth="1"/>
    <col min="18" max="18" width="9.7109375" style="5" customWidth="1"/>
    <col min="19" max="19" width="9.7109375" style="5" bestFit="1" customWidth="1"/>
    <col min="20" max="20" width="9.7109375" style="5" customWidth="1"/>
    <col min="21" max="22" width="9.5703125" style="5" customWidth="1"/>
    <col min="23" max="16384" width="11.42578125" style="5"/>
  </cols>
  <sheetData>
    <row r="1" spans="1:22" ht="21" customHeight="1">
      <c r="A1" s="307" t="s">
        <v>11</v>
      </c>
      <c r="B1" s="308"/>
      <c r="C1" s="286" t="s">
        <v>95</v>
      </c>
      <c r="D1" s="286" t="s">
        <v>84</v>
      </c>
      <c r="E1" s="286" t="s">
        <v>84</v>
      </c>
      <c r="F1" s="288" t="s">
        <v>85</v>
      </c>
      <c r="G1" s="267" t="s">
        <v>12</v>
      </c>
      <c r="H1" s="268"/>
      <c r="I1" s="268"/>
      <c r="J1" s="269"/>
      <c r="K1" s="118" t="s">
        <v>13</v>
      </c>
      <c r="L1" s="119"/>
      <c r="M1" s="293">
        <v>328000000</v>
      </c>
      <c r="N1" s="293"/>
      <c r="O1" s="120" t="s">
        <v>14</v>
      </c>
      <c r="P1" s="121">
        <v>34726</v>
      </c>
    </row>
    <row r="2" spans="1:22" ht="21">
      <c r="A2" s="309"/>
      <c r="B2" s="310"/>
      <c r="C2" s="287" t="s">
        <v>84</v>
      </c>
      <c r="D2" s="287" t="s">
        <v>84</v>
      </c>
      <c r="E2" s="287" t="s">
        <v>84</v>
      </c>
      <c r="F2" s="289"/>
      <c r="G2" s="6" t="s">
        <v>15</v>
      </c>
      <c r="H2" s="7"/>
      <c r="I2" s="8">
        <v>90</v>
      </c>
      <c r="J2" s="9"/>
      <c r="K2" s="122" t="s">
        <v>16</v>
      </c>
      <c r="L2" s="123"/>
      <c r="M2" s="294">
        <v>0</v>
      </c>
      <c r="N2" s="294"/>
      <c r="O2" s="123"/>
      <c r="P2" s="124"/>
    </row>
    <row r="3" spans="1:22" ht="16.5" customHeight="1">
      <c r="A3" s="311" t="s">
        <v>17</v>
      </c>
      <c r="B3" s="312"/>
      <c r="C3" s="287" t="s">
        <v>86</v>
      </c>
      <c r="D3" s="287"/>
      <c r="E3" s="287"/>
      <c r="F3" s="125"/>
      <c r="G3" s="6" t="s">
        <v>19</v>
      </c>
      <c r="H3" s="7"/>
      <c r="I3" s="14" t="s">
        <v>20</v>
      </c>
      <c r="J3" s="15"/>
      <c r="K3" s="122" t="s">
        <v>21</v>
      </c>
      <c r="L3" s="123"/>
      <c r="M3" s="294">
        <v>0</v>
      </c>
      <c r="N3" s="294"/>
      <c r="O3" s="123"/>
      <c r="P3" s="124"/>
    </row>
    <row r="4" spans="1:22">
      <c r="A4" s="311"/>
      <c r="B4" s="312"/>
      <c r="C4" s="287"/>
      <c r="D4" s="287"/>
      <c r="E4" s="287"/>
      <c r="F4" s="126"/>
      <c r="G4" s="6" t="s">
        <v>22</v>
      </c>
      <c r="H4" s="7"/>
      <c r="I4" s="17">
        <v>0.2</v>
      </c>
      <c r="J4" s="15"/>
      <c r="K4" s="122" t="s">
        <v>23</v>
      </c>
      <c r="L4" s="123"/>
      <c r="M4" s="294">
        <v>0</v>
      </c>
      <c r="N4" s="294"/>
      <c r="O4" s="123"/>
      <c r="P4" s="124"/>
    </row>
    <row r="5" spans="1:22">
      <c r="A5" s="196" t="s">
        <v>24</v>
      </c>
      <c r="B5" s="127"/>
      <c r="C5" s="127"/>
      <c r="D5" s="128"/>
      <c r="E5" s="129"/>
      <c r="F5" s="130"/>
      <c r="G5" s="6" t="s">
        <v>25</v>
      </c>
      <c r="H5" s="7"/>
      <c r="I5" s="14"/>
      <c r="J5" s="15" t="s">
        <v>26</v>
      </c>
      <c r="K5" s="122" t="s">
        <v>27</v>
      </c>
      <c r="L5" s="123"/>
      <c r="M5" s="294">
        <v>0</v>
      </c>
      <c r="N5" s="294"/>
      <c r="O5" s="123"/>
      <c r="P5" s="124"/>
    </row>
    <row r="6" spans="1:22">
      <c r="A6" s="196" t="s">
        <v>87</v>
      </c>
      <c r="B6" s="127"/>
      <c r="C6" s="127"/>
      <c r="D6" s="131">
        <v>42571</v>
      </c>
      <c r="E6" s="132"/>
      <c r="F6" s="133"/>
      <c r="G6" s="6"/>
      <c r="H6" s="14" t="s">
        <v>28</v>
      </c>
      <c r="I6" s="27">
        <v>0.05</v>
      </c>
      <c r="J6" s="15" t="s">
        <v>29</v>
      </c>
      <c r="K6" s="134"/>
      <c r="L6" s="123"/>
      <c r="M6" s="294"/>
      <c r="N6" s="294"/>
      <c r="O6" s="123"/>
      <c r="P6" s="124"/>
    </row>
    <row r="7" spans="1:22">
      <c r="A7" s="196" t="s">
        <v>88</v>
      </c>
      <c r="B7" s="127"/>
      <c r="C7" s="127"/>
      <c r="D7" s="131">
        <v>43364</v>
      </c>
      <c r="E7" s="132"/>
      <c r="F7" s="133"/>
      <c r="G7" s="6"/>
      <c r="H7" s="14" t="s">
        <v>30</v>
      </c>
      <c r="I7" s="27">
        <v>0.05</v>
      </c>
      <c r="J7" s="15" t="s">
        <v>29</v>
      </c>
      <c r="K7" s="135" t="s">
        <v>31</v>
      </c>
      <c r="L7" s="136"/>
      <c r="M7" s="296">
        <f>SUM(M1:M6)</f>
        <v>328000000</v>
      </c>
      <c r="N7" s="296"/>
      <c r="O7" s="123"/>
      <c r="P7" s="124"/>
    </row>
    <row r="8" spans="1:22">
      <c r="A8" s="137" t="s">
        <v>89</v>
      </c>
      <c r="B8" s="138"/>
      <c r="C8" s="138"/>
      <c r="D8" s="139">
        <v>43371</v>
      </c>
      <c r="E8" s="140"/>
      <c r="F8" s="141"/>
      <c r="G8" s="35"/>
      <c r="H8" s="36" t="s">
        <v>32</v>
      </c>
      <c r="I8" s="37">
        <v>0</v>
      </c>
      <c r="J8" s="38" t="s">
        <v>90</v>
      </c>
      <c r="K8" s="142" t="s">
        <v>33</v>
      </c>
      <c r="L8" s="143"/>
      <c r="M8" s="297">
        <f>M7*(1+$I$4)</f>
        <v>393600000</v>
      </c>
      <c r="N8" s="297"/>
      <c r="O8" s="144"/>
      <c r="P8" s="145"/>
    </row>
    <row r="10" spans="1:22" ht="21" customHeight="1">
      <c r="B10" s="5" t="s">
        <v>34</v>
      </c>
      <c r="C10" s="146">
        <v>43069</v>
      </c>
      <c r="E10" s="44"/>
      <c r="F10" s="45">
        <v>0.05</v>
      </c>
      <c r="G10" s="45"/>
      <c r="O10" s="313" t="s">
        <v>35</v>
      </c>
      <c r="P10" s="314"/>
    </row>
    <row r="11" spans="1:22" ht="60">
      <c r="A11" s="147" t="s">
        <v>36</v>
      </c>
      <c r="B11" s="148" t="s">
        <v>37</v>
      </c>
      <c r="C11" s="148" t="s">
        <v>38</v>
      </c>
      <c r="D11" s="147" t="s">
        <v>39</v>
      </c>
      <c r="E11" s="148" t="s">
        <v>40</v>
      </c>
      <c r="F11" s="148" t="s">
        <v>41</v>
      </c>
      <c r="G11" s="148" t="s">
        <v>42</v>
      </c>
      <c r="H11" s="148" t="s">
        <v>43</v>
      </c>
      <c r="I11" s="148" t="s">
        <v>44</v>
      </c>
      <c r="J11" s="148" t="s">
        <v>45</v>
      </c>
      <c r="K11" s="148" t="s">
        <v>46</v>
      </c>
      <c r="L11" s="148" t="s">
        <v>47</v>
      </c>
      <c r="M11" s="148" t="s">
        <v>48</v>
      </c>
      <c r="N11" s="148" t="s">
        <v>91</v>
      </c>
      <c r="O11" s="148" t="s">
        <v>50</v>
      </c>
      <c r="P11" s="148" t="s">
        <v>51</v>
      </c>
      <c r="R11" s="197" t="s">
        <v>52</v>
      </c>
      <c r="S11" s="197" t="s">
        <v>53</v>
      </c>
      <c r="T11" s="197" t="s">
        <v>54</v>
      </c>
      <c r="U11" s="197" t="s">
        <v>55</v>
      </c>
      <c r="V11" s="197" t="s">
        <v>56</v>
      </c>
    </row>
    <row r="12" spans="1:22" ht="19.5" customHeight="1">
      <c r="A12" s="149">
        <v>1</v>
      </c>
      <c r="B12" s="149">
        <v>1100000062</v>
      </c>
      <c r="C12" s="150">
        <v>42655</v>
      </c>
      <c r="D12" s="151">
        <v>42643</v>
      </c>
      <c r="E12" s="152">
        <v>11500000</v>
      </c>
      <c r="F12" s="152">
        <f t="shared" ref="F12:F21" si="0">IF(-E12*$F$10=0,"",-E12*$F$10)</f>
        <v>-575000</v>
      </c>
      <c r="G12" s="152" t="str">
        <f t="shared" ref="G12:G21" si="1">IF(E12*$G$10=0,"",E12*$G$10)</f>
        <v/>
      </c>
      <c r="H12" s="152"/>
      <c r="I12" s="152">
        <f t="shared" ref="I12:I21" si="2">IFERROR(IF(G12="",E12+F12-H12,E12+F12-G12-H12),"")</f>
        <v>10925000</v>
      </c>
      <c r="J12" s="152">
        <f t="shared" ref="J12:J21" si="3">IFERROR(I12+(I12*$I$4),"")</f>
        <v>13110000</v>
      </c>
      <c r="K12" s="152">
        <f>SUM(K13:K14)</f>
        <v>13110000</v>
      </c>
      <c r="L12" s="150">
        <f t="shared" ref="L12:L21" si="4">IFERROR(IF(C12="","",C12+$I$2),"")</f>
        <v>42745</v>
      </c>
      <c r="M12" s="150"/>
      <c r="N12" s="153"/>
      <c r="O12" s="152" t="str">
        <f>IFERROR(IF(J12=K12,"",J12-K12),"")</f>
        <v/>
      </c>
      <c r="P12" s="152" t="str">
        <f t="shared" ref="P12:P21" si="5">IFERROR(IF($C$10&lt;L12,"",O12),"")</f>
        <v/>
      </c>
      <c r="Q12" s="54"/>
      <c r="R12" s="198" t="str">
        <f t="shared" ref="R12:R22" si="6">IF(N12&gt;=0,"",(IF(-N12&lt;=60,O12,"")))</f>
        <v/>
      </c>
      <c r="S12" s="198" t="str">
        <f t="shared" ref="S12:S22" si="7">IF(N12&gt;=0,"",(IF(N12&gt;=-60,"",IF(-60&gt;=N12,IF(N12&gt;=-120,O12,"")))))</f>
        <v/>
      </c>
      <c r="T12" s="198" t="str">
        <f t="shared" ref="T12:T22" si="8">IF(N12&gt;=0,"",(IF(N12&gt;-60,"",IF(-60&gt;=N12,IF(N12&gt;=-120,"",IF(N12&gt;=-180,O12,""))))))</f>
        <v/>
      </c>
      <c r="U12" s="198" t="str">
        <f t="shared" ref="U12:U22" si="9">IF(N12&gt;=0,"",(IF(N12&gt;-60,"",IF(-60&gt;=N12,IF(N12&gt;-120,"",IF(N12&gt;=-180,"",IF(N12&gt;=-365,O12,"")))))))</f>
        <v/>
      </c>
      <c r="V12" s="198" t="str">
        <f t="shared" ref="V12:V22" si="10">IF(N12&gt;=0,"",IF(365&lt;-N12,O12,""))</f>
        <v/>
      </c>
    </row>
    <row r="13" spans="1:22" ht="19.5" customHeight="1">
      <c r="A13" s="154"/>
      <c r="B13" s="56"/>
      <c r="C13" s="52"/>
      <c r="D13" s="59"/>
      <c r="E13" s="51"/>
      <c r="F13" s="51" t="str">
        <f t="shared" si="0"/>
        <v/>
      </c>
      <c r="G13" s="51" t="str">
        <f t="shared" si="1"/>
        <v/>
      </c>
      <c r="H13" s="51"/>
      <c r="I13" s="51" t="str">
        <f t="shared" si="2"/>
        <v/>
      </c>
      <c r="J13" s="51"/>
      <c r="K13" s="155">
        <v>3000000</v>
      </c>
      <c r="L13" s="52">
        <v>42745</v>
      </c>
      <c r="M13" s="156">
        <v>42824</v>
      </c>
      <c r="N13" s="53">
        <f t="shared" ref="N13:N21" si="11">IFERROR(-IF(L13=0,,IF(M13=0,($C$10-L13),M13-L13)),"")</f>
        <v>-79</v>
      </c>
      <c r="O13" s="51"/>
      <c r="P13" s="51"/>
      <c r="Q13" s="54"/>
      <c r="R13" s="198" t="str">
        <f t="shared" si="6"/>
        <v/>
      </c>
      <c r="S13" s="198">
        <f t="shared" si="7"/>
        <v>0</v>
      </c>
      <c r="T13" s="198" t="str">
        <f t="shared" si="8"/>
        <v/>
      </c>
      <c r="U13" s="198" t="str">
        <f t="shared" si="9"/>
        <v/>
      </c>
      <c r="V13" s="198" t="str">
        <f t="shared" si="10"/>
        <v/>
      </c>
    </row>
    <row r="14" spans="1:22" ht="19.5" customHeight="1">
      <c r="A14" s="154"/>
      <c r="B14" s="56"/>
      <c r="C14" s="52"/>
      <c r="D14" s="59"/>
      <c r="E14" s="51"/>
      <c r="F14" s="51" t="str">
        <f t="shared" si="0"/>
        <v/>
      </c>
      <c r="G14" s="51" t="str">
        <f t="shared" si="1"/>
        <v/>
      </c>
      <c r="H14" s="51"/>
      <c r="I14" s="51" t="str">
        <f t="shared" si="2"/>
        <v/>
      </c>
      <c r="J14" s="51" t="str">
        <f t="shared" si="3"/>
        <v/>
      </c>
      <c r="K14" s="155">
        <f>5280000+4830000</f>
        <v>10110000</v>
      </c>
      <c r="L14" s="52">
        <v>42745</v>
      </c>
      <c r="M14" s="156">
        <v>42830</v>
      </c>
      <c r="N14" s="53">
        <f t="shared" si="11"/>
        <v>-85</v>
      </c>
      <c r="O14" s="51"/>
      <c r="P14" s="51"/>
      <c r="Q14" s="54"/>
      <c r="R14" s="198" t="str">
        <f t="shared" si="6"/>
        <v/>
      </c>
      <c r="S14" s="198">
        <f t="shared" si="7"/>
        <v>0</v>
      </c>
      <c r="T14" s="198" t="str">
        <f t="shared" si="8"/>
        <v/>
      </c>
      <c r="U14" s="198" t="str">
        <f t="shared" si="9"/>
        <v/>
      </c>
      <c r="V14" s="198" t="str">
        <f t="shared" si="10"/>
        <v/>
      </c>
    </row>
    <row r="15" spans="1:22" ht="19.5" customHeight="1">
      <c r="A15" s="149">
        <v>2</v>
      </c>
      <c r="B15" s="149">
        <v>1100000051</v>
      </c>
      <c r="C15" s="150">
        <v>42759</v>
      </c>
      <c r="D15" s="151">
        <v>42736</v>
      </c>
      <c r="E15" s="152">
        <v>11500000</v>
      </c>
      <c r="F15" s="152">
        <f t="shared" si="0"/>
        <v>-575000</v>
      </c>
      <c r="G15" s="152" t="str">
        <f t="shared" si="1"/>
        <v/>
      </c>
      <c r="H15" s="152"/>
      <c r="I15" s="152">
        <f t="shared" si="2"/>
        <v>10925000</v>
      </c>
      <c r="J15" s="152">
        <f t="shared" si="3"/>
        <v>13110000</v>
      </c>
      <c r="K15" s="152">
        <v>13110000</v>
      </c>
      <c r="L15" s="150">
        <f t="shared" si="4"/>
        <v>42849</v>
      </c>
      <c r="M15" s="156">
        <v>42926</v>
      </c>
      <c r="N15" s="153">
        <f t="shared" si="11"/>
        <v>-77</v>
      </c>
      <c r="O15" s="152" t="str">
        <f t="shared" ref="O15:O21" si="12">IFERROR(IF(J15=K15,"",J15-K15),"")</f>
        <v/>
      </c>
      <c r="P15" s="152" t="str">
        <f t="shared" si="5"/>
        <v/>
      </c>
      <c r="Q15" s="54"/>
      <c r="R15" s="198" t="str">
        <f t="shared" si="6"/>
        <v/>
      </c>
      <c r="S15" s="198" t="str">
        <f t="shared" si="7"/>
        <v/>
      </c>
      <c r="T15" s="198" t="str">
        <f t="shared" si="8"/>
        <v/>
      </c>
      <c r="U15" s="198" t="str">
        <f t="shared" si="9"/>
        <v/>
      </c>
      <c r="V15" s="198" t="str">
        <f t="shared" si="10"/>
        <v/>
      </c>
    </row>
    <row r="16" spans="1:22" ht="19.5" customHeight="1">
      <c r="A16" s="149">
        <v>3</v>
      </c>
      <c r="B16" s="149">
        <v>1100000052</v>
      </c>
      <c r="C16" s="150">
        <v>42817</v>
      </c>
      <c r="D16" s="151">
        <v>42767</v>
      </c>
      <c r="E16" s="152">
        <v>5975300</v>
      </c>
      <c r="F16" s="152">
        <f t="shared" si="0"/>
        <v>-298765</v>
      </c>
      <c r="G16" s="51" t="str">
        <f t="shared" si="1"/>
        <v/>
      </c>
      <c r="H16" s="51"/>
      <c r="I16" s="152">
        <f t="shared" si="2"/>
        <v>5676535</v>
      </c>
      <c r="J16" s="152">
        <f t="shared" si="3"/>
        <v>6811842</v>
      </c>
      <c r="K16" s="152"/>
      <c r="L16" s="150">
        <f t="shared" si="4"/>
        <v>42907</v>
      </c>
      <c r="M16" s="157">
        <v>43044</v>
      </c>
      <c r="N16" s="153">
        <f t="shared" si="11"/>
        <v>-137</v>
      </c>
      <c r="O16" s="152">
        <f t="shared" si="12"/>
        <v>6811842</v>
      </c>
      <c r="P16" s="152">
        <f t="shared" si="5"/>
        <v>6811842</v>
      </c>
      <c r="Q16" s="54"/>
      <c r="R16" s="198" t="str">
        <f t="shared" si="6"/>
        <v/>
      </c>
      <c r="S16" s="198" t="str">
        <f t="shared" si="7"/>
        <v/>
      </c>
      <c r="T16" s="198">
        <f t="shared" si="8"/>
        <v>6811842</v>
      </c>
      <c r="U16" s="198" t="str">
        <f t="shared" si="9"/>
        <v/>
      </c>
      <c r="V16" s="198" t="str">
        <f t="shared" si="10"/>
        <v/>
      </c>
    </row>
    <row r="17" spans="1:22" ht="19.5" customHeight="1">
      <c r="A17" s="149">
        <v>4</v>
      </c>
      <c r="B17" s="149">
        <v>1100000053</v>
      </c>
      <c r="C17" s="150">
        <v>42836</v>
      </c>
      <c r="D17" s="151">
        <v>42795</v>
      </c>
      <c r="E17" s="152">
        <v>7250000</v>
      </c>
      <c r="F17" s="152">
        <f t="shared" si="0"/>
        <v>-362500</v>
      </c>
      <c r="G17" s="152" t="str">
        <f t="shared" si="1"/>
        <v/>
      </c>
      <c r="H17" s="152"/>
      <c r="I17" s="152">
        <f t="shared" si="2"/>
        <v>6887500</v>
      </c>
      <c r="J17" s="152">
        <f t="shared" si="3"/>
        <v>8265000</v>
      </c>
      <c r="K17" s="152">
        <v>8265000</v>
      </c>
      <c r="L17" s="150">
        <f t="shared" si="4"/>
        <v>42926</v>
      </c>
      <c r="M17" s="156">
        <v>43044</v>
      </c>
      <c r="N17" s="153">
        <f t="shared" si="11"/>
        <v>-118</v>
      </c>
      <c r="O17" s="152" t="str">
        <f t="shared" si="12"/>
        <v/>
      </c>
      <c r="P17" s="51" t="str">
        <f t="shared" si="5"/>
        <v/>
      </c>
      <c r="Q17" s="54"/>
      <c r="R17" s="198" t="str">
        <f t="shared" si="6"/>
        <v/>
      </c>
      <c r="S17" s="198" t="str">
        <f t="shared" si="7"/>
        <v/>
      </c>
      <c r="T17" s="198" t="str">
        <f t="shared" si="8"/>
        <v/>
      </c>
      <c r="U17" s="198" t="str">
        <f t="shared" si="9"/>
        <v/>
      </c>
      <c r="V17" s="198" t="str">
        <f t="shared" si="10"/>
        <v/>
      </c>
    </row>
    <row r="18" spans="1:22" ht="19.5" customHeight="1">
      <c r="A18" s="149">
        <v>5</v>
      </c>
      <c r="B18" s="149">
        <v>1100000054</v>
      </c>
      <c r="C18" s="158">
        <v>42853</v>
      </c>
      <c r="D18" s="151">
        <v>42826</v>
      </c>
      <c r="E18" s="152">
        <v>13200000</v>
      </c>
      <c r="F18" s="152">
        <f t="shared" si="0"/>
        <v>-660000</v>
      </c>
      <c r="G18" s="152" t="str">
        <f t="shared" si="1"/>
        <v/>
      </c>
      <c r="H18" s="152"/>
      <c r="I18" s="152">
        <f t="shared" si="2"/>
        <v>12540000</v>
      </c>
      <c r="J18" s="152">
        <f t="shared" si="3"/>
        <v>15048000</v>
      </c>
      <c r="K18" s="152">
        <f>K19</f>
        <v>7000000</v>
      </c>
      <c r="L18" s="150">
        <f t="shared" si="4"/>
        <v>42943</v>
      </c>
      <c r="M18" s="150"/>
      <c r="N18" s="153"/>
      <c r="O18" s="152">
        <f t="shared" si="12"/>
        <v>8048000</v>
      </c>
      <c r="P18" s="152">
        <f t="shared" si="5"/>
        <v>8048000</v>
      </c>
      <c r="Q18" s="54"/>
      <c r="R18" s="198" t="str">
        <f t="shared" si="6"/>
        <v/>
      </c>
      <c r="S18" s="198" t="str">
        <f t="shared" si="7"/>
        <v/>
      </c>
      <c r="T18" s="198" t="str">
        <f t="shared" si="8"/>
        <v/>
      </c>
      <c r="U18" s="198" t="str">
        <f t="shared" si="9"/>
        <v/>
      </c>
      <c r="V18" s="198" t="str">
        <f t="shared" si="10"/>
        <v/>
      </c>
    </row>
    <row r="19" spans="1:22" ht="19.5" customHeight="1">
      <c r="A19" s="154"/>
      <c r="B19" s="159"/>
      <c r="C19" s="158"/>
      <c r="D19" s="151"/>
      <c r="E19" s="152"/>
      <c r="F19" s="152"/>
      <c r="G19" s="152"/>
      <c r="H19" s="152"/>
      <c r="I19" s="152"/>
      <c r="J19" s="152"/>
      <c r="K19" s="155">
        <v>7000000</v>
      </c>
      <c r="L19" s="150">
        <v>42943</v>
      </c>
      <c r="M19" s="156">
        <v>43008</v>
      </c>
      <c r="N19" s="53">
        <f t="shared" si="11"/>
        <v>-65</v>
      </c>
      <c r="O19" s="152"/>
      <c r="P19" s="152"/>
      <c r="Q19" s="54"/>
      <c r="R19" s="198" t="str">
        <f t="shared" si="6"/>
        <v/>
      </c>
      <c r="S19" s="198">
        <f t="shared" si="7"/>
        <v>0</v>
      </c>
      <c r="T19" s="198" t="str">
        <f t="shared" si="8"/>
        <v/>
      </c>
      <c r="U19" s="198" t="str">
        <f t="shared" si="9"/>
        <v/>
      </c>
      <c r="V19" s="198" t="str">
        <f t="shared" si="10"/>
        <v/>
      </c>
    </row>
    <row r="20" spans="1:22" ht="19.5" customHeight="1">
      <c r="A20" s="154"/>
      <c r="B20" s="159"/>
      <c r="C20" s="158"/>
      <c r="D20" s="151"/>
      <c r="E20" s="152"/>
      <c r="F20" s="152"/>
      <c r="G20" s="152"/>
      <c r="H20" s="152"/>
      <c r="I20" s="152"/>
      <c r="J20" s="152"/>
      <c r="K20" s="155">
        <v>8048000</v>
      </c>
      <c r="L20" s="150">
        <v>42943</v>
      </c>
      <c r="M20" s="156">
        <v>43023</v>
      </c>
      <c r="N20" s="53">
        <f t="shared" si="11"/>
        <v>-80</v>
      </c>
      <c r="O20" s="152"/>
      <c r="P20" s="152"/>
      <c r="Q20" s="54"/>
      <c r="R20" s="198" t="str">
        <f t="shared" si="6"/>
        <v/>
      </c>
      <c r="S20" s="198">
        <f t="shared" si="7"/>
        <v>0</v>
      </c>
      <c r="T20" s="198" t="str">
        <f t="shared" si="8"/>
        <v/>
      </c>
      <c r="U20" s="198" t="str">
        <f t="shared" si="9"/>
        <v/>
      </c>
      <c r="V20" s="198" t="str">
        <f t="shared" si="10"/>
        <v/>
      </c>
    </row>
    <row r="21" spans="1:22" ht="19.5" customHeight="1">
      <c r="A21" s="149"/>
      <c r="B21" s="57"/>
      <c r="C21" s="52"/>
      <c r="D21" s="59"/>
      <c r="E21" s="51"/>
      <c r="F21" s="51" t="str">
        <f t="shared" si="0"/>
        <v/>
      </c>
      <c r="G21" s="51" t="str">
        <f t="shared" si="1"/>
        <v/>
      </c>
      <c r="H21" s="51"/>
      <c r="I21" s="51" t="str">
        <f t="shared" si="2"/>
        <v/>
      </c>
      <c r="J21" s="51" t="str">
        <f t="shared" si="3"/>
        <v/>
      </c>
      <c r="K21" s="51"/>
      <c r="L21" s="52" t="str">
        <f t="shared" si="4"/>
        <v/>
      </c>
      <c r="M21" s="52"/>
      <c r="N21" s="53" t="str">
        <f t="shared" si="11"/>
        <v/>
      </c>
      <c r="O21" s="51" t="str">
        <f t="shared" si="12"/>
        <v/>
      </c>
      <c r="P21" s="51" t="str">
        <f t="shared" si="5"/>
        <v/>
      </c>
      <c r="Q21" s="54"/>
      <c r="R21" s="198" t="str">
        <f t="shared" si="6"/>
        <v/>
      </c>
      <c r="S21" s="198" t="str">
        <f t="shared" si="7"/>
        <v/>
      </c>
      <c r="T21" s="198" t="str">
        <f t="shared" si="8"/>
        <v/>
      </c>
      <c r="U21" s="198" t="str">
        <f t="shared" si="9"/>
        <v/>
      </c>
      <c r="V21" s="198" t="str">
        <f t="shared" si="10"/>
        <v/>
      </c>
    </row>
    <row r="22" spans="1:22" ht="19.5" customHeight="1" thickBot="1">
      <c r="A22" s="56"/>
      <c r="B22" s="57"/>
      <c r="C22" s="58"/>
      <c r="D22" s="59"/>
      <c r="E22" s="51"/>
      <c r="F22" s="51"/>
      <c r="G22" s="51"/>
      <c r="H22" s="51"/>
      <c r="I22" s="51"/>
      <c r="J22" s="51"/>
      <c r="K22" s="51"/>
      <c r="L22" s="52"/>
      <c r="M22" s="52"/>
      <c r="N22" s="62"/>
      <c r="O22" s="51"/>
      <c r="P22" s="57"/>
      <c r="Q22" s="54"/>
      <c r="R22" s="198" t="str">
        <f t="shared" si="6"/>
        <v/>
      </c>
      <c r="S22" s="198" t="str">
        <f t="shared" si="7"/>
        <v/>
      </c>
      <c r="T22" s="198" t="str">
        <f t="shared" si="8"/>
        <v/>
      </c>
      <c r="U22" s="198" t="str">
        <f t="shared" si="9"/>
        <v/>
      </c>
      <c r="V22" s="198" t="str">
        <f t="shared" si="10"/>
        <v/>
      </c>
    </row>
    <row r="23" spans="1:22" s="54" customFormat="1" ht="28.5" customHeight="1" thickBot="1">
      <c r="A23" s="160"/>
      <c r="B23" s="161" t="s">
        <v>58</v>
      </c>
      <c r="C23" s="161"/>
      <c r="D23" s="161"/>
      <c r="E23" s="162">
        <f t="shared" ref="E23:J23" si="13">SUM(E12:E22)</f>
        <v>49425300</v>
      </c>
      <c r="F23" s="162">
        <f t="shared" si="13"/>
        <v>-2471265</v>
      </c>
      <c r="G23" s="162">
        <f t="shared" si="13"/>
        <v>0</v>
      </c>
      <c r="H23" s="162">
        <f t="shared" si="13"/>
        <v>0</v>
      </c>
      <c r="I23" s="162">
        <f t="shared" si="13"/>
        <v>46954035</v>
      </c>
      <c r="J23" s="162">
        <f t="shared" si="13"/>
        <v>56344842</v>
      </c>
      <c r="K23" s="162">
        <f>K12+K15+K16+K17+K18</f>
        <v>41485000</v>
      </c>
      <c r="L23" s="163"/>
      <c r="M23" s="163"/>
      <c r="N23" s="163"/>
      <c r="O23" s="162">
        <f>SUM(O12:O22)</f>
        <v>14859842</v>
      </c>
      <c r="P23" s="164">
        <f>SUM(P12:P22)</f>
        <v>14859842</v>
      </c>
      <c r="R23" s="68">
        <f>SUM(R12:R22)</f>
        <v>0</v>
      </c>
      <c r="S23" s="68">
        <f>SUM(S12:S22)</f>
        <v>0</v>
      </c>
      <c r="T23" s="68">
        <f>SUM(T12:T22)</f>
        <v>6811842</v>
      </c>
      <c r="U23" s="68">
        <f>SUM(U12:U22)</f>
        <v>0</v>
      </c>
      <c r="V23" s="68">
        <f>SUM(V12:V22)</f>
        <v>0</v>
      </c>
    </row>
    <row r="24" spans="1:22" ht="21" customHeight="1">
      <c r="A24" s="69"/>
      <c r="B24" s="70"/>
      <c r="C24" s="70"/>
      <c r="D24" s="71" t="s">
        <v>59</v>
      </c>
      <c r="E24" s="72">
        <f>+E23/$M$7</f>
        <v>0.15068689024390244</v>
      </c>
      <c r="F24" s="70"/>
      <c r="G24" s="70"/>
      <c r="H24" s="70"/>
      <c r="I24" s="70"/>
      <c r="J24" s="71" t="s">
        <v>60</v>
      </c>
      <c r="K24" s="72">
        <f>+K23/J23</f>
        <v>0.73626970149281812</v>
      </c>
      <c r="L24" s="70"/>
      <c r="M24" s="70"/>
      <c r="N24" s="70"/>
      <c r="O24" s="70"/>
      <c r="P24" s="73"/>
      <c r="Q24" s="54"/>
      <c r="R24" s="54"/>
      <c r="S24" s="54"/>
      <c r="T24" s="54"/>
      <c r="U24" s="54"/>
      <c r="V24" s="54"/>
    </row>
    <row r="25" spans="1:22" ht="21" customHeight="1" thickBot="1">
      <c r="A25" s="74"/>
      <c r="B25" s="75"/>
      <c r="C25" s="75"/>
      <c r="D25" s="76" t="s">
        <v>61</v>
      </c>
      <c r="E25" s="77">
        <f>+$M$7-$E$23</f>
        <v>278574700</v>
      </c>
      <c r="F25" s="78">
        <f>+E25/M7</f>
        <v>0.84931310975609753</v>
      </c>
      <c r="G25" s="75"/>
      <c r="H25" s="75"/>
      <c r="I25" s="75"/>
      <c r="J25" s="75"/>
      <c r="K25" s="75"/>
      <c r="L25" s="75"/>
      <c r="M25" s="75"/>
      <c r="N25" s="75"/>
      <c r="O25" s="75"/>
      <c r="P25" s="79"/>
      <c r="Q25" s="54"/>
      <c r="R25" s="54"/>
      <c r="S25" s="54"/>
      <c r="T25" s="54"/>
      <c r="U25" s="54"/>
      <c r="V25" s="54"/>
    </row>
    <row r="26" spans="1:22">
      <c r="A26" s="54"/>
      <c r="C26" s="69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3"/>
      <c r="P26" s="54"/>
      <c r="Q26" s="54"/>
      <c r="R26" s="54"/>
      <c r="S26" s="54"/>
      <c r="T26" s="54"/>
      <c r="U26" s="54"/>
      <c r="V26" s="54"/>
    </row>
    <row r="27" spans="1:22" ht="21">
      <c r="A27" s="54"/>
      <c r="C27" s="165"/>
      <c r="D27" s="166" t="s">
        <v>62</v>
      </c>
      <c r="E27" s="166"/>
      <c r="F27" s="166"/>
      <c r="G27" s="166"/>
      <c r="H27" s="166"/>
      <c r="I27" s="166"/>
      <c r="J27" s="167"/>
      <c r="K27" s="167"/>
      <c r="L27" s="167"/>
      <c r="M27" s="167"/>
      <c r="N27" s="167"/>
      <c r="O27" s="168"/>
      <c r="P27" s="54"/>
      <c r="Q27" s="54"/>
      <c r="R27" s="54"/>
      <c r="S27" s="54"/>
      <c r="T27" s="54"/>
      <c r="U27" s="54"/>
      <c r="V27" s="54"/>
    </row>
    <row r="28" spans="1:22" ht="17.25" thickBot="1">
      <c r="A28" s="54"/>
      <c r="C28" s="165"/>
      <c r="D28" s="167"/>
      <c r="E28" s="167"/>
      <c r="F28" s="167"/>
      <c r="G28" s="167"/>
      <c r="H28" s="169"/>
      <c r="I28" s="167"/>
      <c r="J28" s="167"/>
      <c r="K28" s="167"/>
      <c r="L28" s="167"/>
      <c r="M28" s="167"/>
      <c r="N28" s="167"/>
      <c r="O28" s="168"/>
      <c r="P28" s="54"/>
      <c r="Q28" s="54"/>
      <c r="R28" s="54"/>
      <c r="S28" s="54"/>
      <c r="T28" s="54"/>
      <c r="U28" s="54"/>
      <c r="V28" s="54"/>
    </row>
    <row r="29" spans="1:22" ht="18" customHeight="1" thickBot="1">
      <c r="A29" s="54"/>
      <c r="C29" s="165"/>
      <c r="D29" s="298" t="s">
        <v>63</v>
      </c>
      <c r="E29" s="299"/>
      <c r="F29" s="300"/>
      <c r="G29" s="170" t="s">
        <v>64</v>
      </c>
      <c r="H29" s="171">
        <f>M7</f>
        <v>328000000</v>
      </c>
      <c r="I29" s="172"/>
      <c r="J29" s="173"/>
      <c r="K29" s="172"/>
      <c r="L29" s="172"/>
      <c r="M29" s="172"/>
      <c r="N29" s="172"/>
      <c r="O29" s="174"/>
      <c r="P29" s="54"/>
      <c r="Q29" s="54"/>
      <c r="R29" s="54"/>
      <c r="S29" s="54"/>
      <c r="T29" s="175"/>
      <c r="U29" s="54"/>
      <c r="V29" s="54"/>
    </row>
    <row r="30" spans="1:22" ht="18" customHeight="1" thickBot="1">
      <c r="A30" s="54"/>
      <c r="C30" s="165"/>
      <c r="D30" s="170"/>
      <c r="E30" s="170"/>
      <c r="F30" s="170"/>
      <c r="G30" s="170"/>
      <c r="H30" s="172"/>
      <c r="I30" s="172"/>
      <c r="J30" s="172"/>
      <c r="K30" s="172"/>
      <c r="L30" s="172"/>
      <c r="M30" s="172"/>
      <c r="N30" s="172"/>
      <c r="O30" s="174"/>
      <c r="P30" s="54"/>
      <c r="Q30" s="54"/>
      <c r="R30" s="54"/>
      <c r="S30" s="54"/>
      <c r="T30" s="54"/>
      <c r="U30" s="54"/>
      <c r="V30" s="54"/>
    </row>
    <row r="31" spans="1:22" ht="18" customHeight="1" thickBot="1">
      <c r="A31" s="54"/>
      <c r="C31" s="165"/>
      <c r="D31" s="301" t="s">
        <v>65</v>
      </c>
      <c r="E31" s="302"/>
      <c r="F31" s="303"/>
      <c r="G31" s="170" t="s">
        <v>64</v>
      </c>
      <c r="H31" s="176">
        <f>E23</f>
        <v>49425300</v>
      </c>
      <c r="I31" s="172"/>
      <c r="J31" s="172"/>
      <c r="K31" s="95">
        <f>H31/H29</f>
        <v>0.15068689024390244</v>
      </c>
      <c r="L31" s="177" t="s">
        <v>66</v>
      </c>
      <c r="M31" s="178"/>
      <c r="N31" s="178"/>
      <c r="O31" s="174"/>
      <c r="P31" s="54"/>
      <c r="Q31" s="54"/>
      <c r="R31" s="54"/>
      <c r="S31" s="54"/>
      <c r="T31" s="54"/>
      <c r="U31" s="54"/>
      <c r="V31" s="54"/>
    </row>
    <row r="32" spans="1:22" ht="18" customHeight="1" thickBot="1">
      <c r="C32" s="179"/>
      <c r="D32" s="170"/>
      <c r="E32" s="170"/>
      <c r="F32" s="170"/>
      <c r="G32" s="170"/>
      <c r="H32" s="172"/>
      <c r="I32" s="172"/>
      <c r="J32" s="172"/>
      <c r="K32" s="172"/>
      <c r="L32" s="180"/>
      <c r="M32" s="172"/>
      <c r="N32" s="172"/>
      <c r="O32" s="174"/>
    </row>
    <row r="33" spans="3:15" ht="17.25" thickBot="1">
      <c r="C33" s="179"/>
      <c r="D33" s="304" t="s">
        <v>92</v>
      </c>
      <c r="E33" s="305"/>
      <c r="F33" s="306"/>
      <c r="G33" s="170" t="s">
        <v>68</v>
      </c>
      <c r="H33" s="101">
        <f>K23</f>
        <v>41485000</v>
      </c>
      <c r="I33" s="172"/>
      <c r="J33" s="172"/>
      <c r="K33" s="102">
        <f>H33/J23</f>
        <v>0.73626970149281812</v>
      </c>
      <c r="L33" s="181" t="s">
        <v>69</v>
      </c>
      <c r="M33" s="182"/>
      <c r="N33" s="182"/>
      <c r="O33" s="174"/>
    </row>
    <row r="34" spans="3:15" ht="17.25" thickBot="1">
      <c r="C34" s="179"/>
      <c r="D34" s="170"/>
      <c r="E34" s="170"/>
      <c r="F34" s="170"/>
      <c r="G34" s="170"/>
      <c r="H34" s="172"/>
      <c r="I34" s="172"/>
      <c r="J34" s="172"/>
      <c r="K34" s="172"/>
      <c r="L34" s="180"/>
      <c r="M34" s="172"/>
      <c r="N34" s="172"/>
      <c r="O34" s="174"/>
    </row>
    <row r="35" spans="3:15" ht="17.25" thickBot="1">
      <c r="C35" s="179"/>
      <c r="D35" s="304" t="s">
        <v>70</v>
      </c>
      <c r="E35" s="305"/>
      <c r="F35" s="306"/>
      <c r="G35" s="170" t="s">
        <v>68</v>
      </c>
      <c r="H35" s="106">
        <f>O23</f>
        <v>14859842</v>
      </c>
      <c r="I35" s="172"/>
      <c r="J35" s="172"/>
      <c r="K35" s="107">
        <f>H35/J23</f>
        <v>0.26373029850718188</v>
      </c>
      <c r="L35" s="181" t="s">
        <v>69</v>
      </c>
      <c r="M35" s="183"/>
      <c r="N35" s="183"/>
      <c r="O35" s="174"/>
    </row>
    <row r="36" spans="3:15" ht="17.25" thickBot="1">
      <c r="C36" s="179"/>
      <c r="D36" s="170"/>
      <c r="E36" s="170"/>
      <c r="F36" s="170"/>
      <c r="G36" s="170"/>
      <c r="H36" s="172"/>
      <c r="I36" s="172"/>
      <c r="J36" s="172"/>
      <c r="K36" s="172"/>
      <c r="L36" s="180"/>
      <c r="M36" s="172"/>
      <c r="N36" s="172"/>
      <c r="O36" s="174"/>
    </row>
    <row r="37" spans="3:15" ht="17.25" thickBot="1">
      <c r="C37" s="179"/>
      <c r="D37" s="304" t="s">
        <v>93</v>
      </c>
      <c r="E37" s="305"/>
      <c r="F37" s="306"/>
      <c r="G37" s="170" t="s">
        <v>68</v>
      </c>
      <c r="H37" s="110">
        <f>P23</f>
        <v>14859842</v>
      </c>
      <c r="I37" s="172"/>
      <c r="J37" s="172"/>
      <c r="K37" s="111">
        <f>H37/J23</f>
        <v>0.26373029850718188</v>
      </c>
      <c r="L37" s="181" t="s">
        <v>69</v>
      </c>
      <c r="M37" s="182"/>
      <c r="N37" s="182"/>
      <c r="O37" s="174"/>
    </row>
    <row r="38" spans="3:15" ht="17.25" thickBot="1">
      <c r="C38" s="184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6"/>
    </row>
  </sheetData>
  <mergeCells count="20">
    <mergeCell ref="D35:F35"/>
    <mergeCell ref="D37:F37"/>
    <mergeCell ref="M7:N7"/>
    <mergeCell ref="M8:N8"/>
    <mergeCell ref="O10:P10"/>
    <mergeCell ref="D29:F29"/>
    <mergeCell ref="D31:F31"/>
    <mergeCell ref="D33:F33"/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workbookViewId="0">
      <selection sqref="A1:B2"/>
    </sheetView>
  </sheetViews>
  <sheetFormatPr baseColWidth="10" defaultRowHeight="16.5"/>
  <cols>
    <col min="1" max="1" width="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2.28515625" style="5" bestFit="1" customWidth="1"/>
    <col min="9" max="9" width="13.28515625" style="5" customWidth="1"/>
    <col min="10" max="10" width="13.5703125" style="5" customWidth="1"/>
    <col min="11" max="12" width="13.7109375" style="5" customWidth="1"/>
    <col min="13" max="13" width="11.42578125" style="5"/>
    <col min="14" max="14" width="7" style="5" customWidth="1"/>
    <col min="15" max="15" width="13.42578125" style="5" customWidth="1"/>
    <col min="16" max="16" width="13.5703125" style="5" customWidth="1"/>
    <col min="17" max="17" width="6.140625" style="5" customWidth="1"/>
    <col min="18" max="18" width="9.7109375" style="5" customWidth="1"/>
    <col min="19" max="19" width="9.7109375" style="5" bestFit="1" customWidth="1"/>
    <col min="20" max="20" width="9.7109375" style="5" customWidth="1"/>
    <col min="21" max="22" width="9.5703125" style="5" customWidth="1"/>
    <col min="23" max="16384" width="11.42578125" style="5"/>
  </cols>
  <sheetData>
    <row r="1" spans="1:22" ht="21" customHeight="1">
      <c r="A1" s="307" t="s">
        <v>11</v>
      </c>
      <c r="B1" s="308"/>
      <c r="C1" s="286" t="s">
        <v>83</v>
      </c>
      <c r="D1" s="286" t="s">
        <v>84</v>
      </c>
      <c r="E1" s="286" t="s">
        <v>84</v>
      </c>
      <c r="F1" s="288" t="s">
        <v>85</v>
      </c>
      <c r="G1" s="267" t="s">
        <v>12</v>
      </c>
      <c r="H1" s="268"/>
      <c r="I1" s="268"/>
      <c r="J1" s="269"/>
      <c r="K1" s="118" t="s">
        <v>13</v>
      </c>
      <c r="L1" s="119"/>
      <c r="M1" s="293">
        <v>345000000</v>
      </c>
      <c r="N1" s="293"/>
      <c r="O1" s="120" t="s">
        <v>14</v>
      </c>
      <c r="P1" s="121">
        <v>34726</v>
      </c>
    </row>
    <row r="2" spans="1:22" ht="21">
      <c r="A2" s="309"/>
      <c r="B2" s="310"/>
      <c r="C2" s="287" t="s">
        <v>84</v>
      </c>
      <c r="D2" s="287" t="s">
        <v>84</v>
      </c>
      <c r="E2" s="287" t="s">
        <v>84</v>
      </c>
      <c r="F2" s="289"/>
      <c r="G2" s="6" t="s">
        <v>15</v>
      </c>
      <c r="H2" s="7"/>
      <c r="I2" s="8">
        <v>90</v>
      </c>
      <c r="J2" s="9"/>
      <c r="K2" s="122" t="s">
        <v>16</v>
      </c>
      <c r="L2" s="123"/>
      <c r="M2" s="294">
        <v>0</v>
      </c>
      <c r="N2" s="294"/>
      <c r="O2" s="123"/>
      <c r="P2" s="124"/>
    </row>
    <row r="3" spans="1:22" ht="16.5" customHeight="1">
      <c r="A3" s="311" t="s">
        <v>17</v>
      </c>
      <c r="B3" s="312"/>
      <c r="C3" s="287" t="s">
        <v>86</v>
      </c>
      <c r="D3" s="287"/>
      <c r="E3" s="287"/>
      <c r="F3" s="125"/>
      <c r="G3" s="6" t="s">
        <v>19</v>
      </c>
      <c r="H3" s="7"/>
      <c r="I3" s="14" t="s">
        <v>20</v>
      </c>
      <c r="J3" s="15"/>
      <c r="K3" s="122" t="s">
        <v>21</v>
      </c>
      <c r="L3" s="123"/>
      <c r="M3" s="294">
        <v>0</v>
      </c>
      <c r="N3" s="294"/>
      <c r="O3" s="123"/>
      <c r="P3" s="124"/>
    </row>
    <row r="4" spans="1:22">
      <c r="A4" s="311"/>
      <c r="B4" s="312"/>
      <c r="C4" s="287"/>
      <c r="D4" s="287"/>
      <c r="E4" s="287"/>
      <c r="F4" s="126"/>
      <c r="G4" s="6" t="s">
        <v>22</v>
      </c>
      <c r="H4" s="7"/>
      <c r="I4" s="17">
        <v>0.2</v>
      </c>
      <c r="J4" s="15"/>
      <c r="K4" s="122" t="s">
        <v>23</v>
      </c>
      <c r="L4" s="123"/>
      <c r="M4" s="294">
        <v>0</v>
      </c>
      <c r="N4" s="294"/>
      <c r="O4" s="123"/>
      <c r="P4" s="124"/>
    </row>
    <row r="5" spans="1:22">
      <c r="A5" s="196" t="s">
        <v>24</v>
      </c>
      <c r="B5" s="127"/>
      <c r="C5" s="127"/>
      <c r="D5" s="128"/>
      <c r="E5" s="129"/>
      <c r="F5" s="130"/>
      <c r="G5" s="6" t="s">
        <v>25</v>
      </c>
      <c r="H5" s="7"/>
      <c r="I5" s="14"/>
      <c r="J5" s="15" t="s">
        <v>26</v>
      </c>
      <c r="K5" s="122" t="s">
        <v>27</v>
      </c>
      <c r="L5" s="123"/>
      <c r="M5" s="294">
        <v>0</v>
      </c>
      <c r="N5" s="294"/>
      <c r="O5" s="123"/>
      <c r="P5" s="124"/>
    </row>
    <row r="6" spans="1:22">
      <c r="A6" s="196" t="s">
        <v>87</v>
      </c>
      <c r="B6" s="127"/>
      <c r="C6" s="127"/>
      <c r="D6" s="131">
        <v>42571</v>
      </c>
      <c r="E6" s="132"/>
      <c r="F6" s="133"/>
      <c r="G6" s="6"/>
      <c r="H6" s="14" t="s">
        <v>28</v>
      </c>
      <c r="I6" s="27">
        <v>0.05</v>
      </c>
      <c r="J6" s="15" t="s">
        <v>29</v>
      </c>
      <c r="K6" s="134"/>
      <c r="L6" s="123"/>
      <c r="M6" s="294"/>
      <c r="N6" s="294"/>
      <c r="O6" s="123"/>
      <c r="P6" s="124"/>
    </row>
    <row r="7" spans="1:22">
      <c r="A7" s="196" t="s">
        <v>88</v>
      </c>
      <c r="B7" s="127"/>
      <c r="C7" s="127"/>
      <c r="D7" s="131">
        <v>43364</v>
      </c>
      <c r="E7" s="132"/>
      <c r="F7" s="133"/>
      <c r="G7" s="6"/>
      <c r="H7" s="14" t="s">
        <v>30</v>
      </c>
      <c r="I7" s="27">
        <v>0.05</v>
      </c>
      <c r="J7" s="15" t="s">
        <v>29</v>
      </c>
      <c r="K7" s="135" t="s">
        <v>31</v>
      </c>
      <c r="L7" s="136"/>
      <c r="M7" s="296">
        <f>SUM(M1:M6)</f>
        <v>345000000</v>
      </c>
      <c r="N7" s="296"/>
      <c r="O7" s="123"/>
      <c r="P7" s="124"/>
    </row>
    <row r="8" spans="1:22">
      <c r="A8" s="137" t="s">
        <v>89</v>
      </c>
      <c r="B8" s="138"/>
      <c r="C8" s="138"/>
      <c r="D8" s="139">
        <v>43371</v>
      </c>
      <c r="E8" s="140"/>
      <c r="F8" s="141"/>
      <c r="G8" s="35"/>
      <c r="H8" s="36" t="s">
        <v>32</v>
      </c>
      <c r="I8" s="37">
        <v>0</v>
      </c>
      <c r="J8" s="38" t="s">
        <v>90</v>
      </c>
      <c r="K8" s="142" t="s">
        <v>33</v>
      </c>
      <c r="L8" s="143"/>
      <c r="M8" s="297">
        <f>M7*(1+$I$4)</f>
        <v>414000000</v>
      </c>
      <c r="N8" s="297"/>
      <c r="O8" s="144"/>
      <c r="P8" s="145"/>
    </row>
    <row r="10" spans="1:22" ht="21" customHeight="1">
      <c r="B10" s="5" t="s">
        <v>34</v>
      </c>
      <c r="C10" s="146">
        <v>43069</v>
      </c>
      <c r="E10" s="44"/>
      <c r="F10" s="45">
        <v>0.05</v>
      </c>
      <c r="G10" s="45"/>
      <c r="O10" s="313" t="s">
        <v>35</v>
      </c>
      <c r="P10" s="314"/>
    </row>
    <row r="11" spans="1:22" ht="60">
      <c r="A11" s="147" t="s">
        <v>36</v>
      </c>
      <c r="B11" s="148" t="s">
        <v>37</v>
      </c>
      <c r="C11" s="148" t="s">
        <v>38</v>
      </c>
      <c r="D11" s="147" t="s">
        <v>39</v>
      </c>
      <c r="E11" s="148" t="s">
        <v>40</v>
      </c>
      <c r="F11" s="148" t="s">
        <v>41</v>
      </c>
      <c r="G11" s="148" t="s">
        <v>42</v>
      </c>
      <c r="H11" s="148" t="s">
        <v>43</v>
      </c>
      <c r="I11" s="148" t="s">
        <v>44</v>
      </c>
      <c r="J11" s="148" t="s">
        <v>45</v>
      </c>
      <c r="K11" s="148" t="s">
        <v>46</v>
      </c>
      <c r="L11" s="148" t="s">
        <v>47</v>
      </c>
      <c r="M11" s="148" t="s">
        <v>48</v>
      </c>
      <c r="N11" s="148" t="s">
        <v>91</v>
      </c>
      <c r="O11" s="148" t="s">
        <v>50</v>
      </c>
      <c r="P11" s="148" t="s">
        <v>51</v>
      </c>
      <c r="R11" s="197" t="s">
        <v>52</v>
      </c>
      <c r="S11" s="197" t="s">
        <v>53</v>
      </c>
      <c r="T11" s="197" t="s">
        <v>54</v>
      </c>
      <c r="U11" s="197" t="s">
        <v>55</v>
      </c>
      <c r="V11" s="197" t="s">
        <v>56</v>
      </c>
    </row>
    <row r="12" spans="1:22" ht="19.5" customHeight="1">
      <c r="A12" s="149">
        <v>1</v>
      </c>
      <c r="B12" s="149">
        <v>1100000050</v>
      </c>
      <c r="C12" s="150">
        <v>42655</v>
      </c>
      <c r="D12" s="151">
        <v>42643</v>
      </c>
      <c r="E12" s="152">
        <v>13000000</v>
      </c>
      <c r="F12" s="152">
        <f t="shared" ref="F12:F23" si="0">IF(-E12*$F$10=0,"",-E12*$F$10)</f>
        <v>-650000</v>
      </c>
      <c r="G12" s="152" t="str">
        <f t="shared" ref="G12:G23" si="1">IF(E12*$G$10=0,"",E12*$G$10)</f>
        <v/>
      </c>
      <c r="H12" s="152"/>
      <c r="I12" s="152">
        <f t="shared" ref="I12:I23" si="2">IFERROR(IF(G12="",E12+F12-H12,E12+F12-G12-H12),"")</f>
        <v>12350000</v>
      </c>
      <c r="J12" s="152">
        <f t="shared" ref="J12:J23" si="3">IFERROR(I12+(I12*$I$4),"")</f>
        <v>14820000</v>
      </c>
      <c r="K12" s="152">
        <f>SUM(K13:K15)</f>
        <v>11280000</v>
      </c>
      <c r="L12" s="150">
        <f t="shared" ref="L12:L23" si="4">IFERROR(IF(C12="","",C12+$I$2),"")</f>
        <v>42745</v>
      </c>
      <c r="M12" s="150"/>
      <c r="N12" s="153"/>
      <c r="O12" s="152">
        <f>IFERROR(IF(J12=K12,"",J12-K12),"")</f>
        <v>3540000</v>
      </c>
      <c r="P12" s="152">
        <f t="shared" ref="P12:P23" si="5">IFERROR(IF($C$10&lt;L12,"",O12),"")</f>
        <v>3540000</v>
      </c>
      <c r="Q12" s="54"/>
      <c r="R12" s="198" t="str">
        <f t="shared" ref="R12:R24" si="6">IF(N12&gt;=0,"",(IF(-N12&lt;=60,O12,"")))</f>
        <v/>
      </c>
      <c r="S12" s="198" t="str">
        <f t="shared" ref="S12:S24" si="7">IF(N12&gt;=0,"",(IF(N12&gt;=-60,"",IF(-60&gt;=N12,IF(N12&gt;=-120,O12,"")))))</f>
        <v/>
      </c>
      <c r="T12" s="198" t="str">
        <f t="shared" ref="T12:T24" si="8">IF(N12&gt;=0,"",(IF(N12&gt;-60,"",IF(-60&gt;=N12,IF(N12&gt;=-120,"",IF(N12&gt;=-180,O12,""))))))</f>
        <v/>
      </c>
      <c r="U12" s="198" t="str">
        <f t="shared" ref="U12:U24" si="9">IF(N12&gt;=0,"",(IF(N12&gt;-60,"",IF(-60&gt;=N12,IF(N12&gt;-120,"",IF(N12&gt;=-180,"",IF(N12&gt;=-365,O12,"")))))))</f>
        <v/>
      </c>
      <c r="V12" s="198" t="str">
        <f t="shared" ref="V12:V24" si="10">IF(N12&gt;=0,"",IF(365&lt;-N12,O12,""))</f>
        <v/>
      </c>
    </row>
    <row r="13" spans="1:22" ht="19.5" customHeight="1">
      <c r="A13" s="154"/>
      <c r="B13" s="56"/>
      <c r="C13" s="52"/>
      <c r="D13" s="59"/>
      <c r="E13" s="51"/>
      <c r="F13" s="51" t="str">
        <f t="shared" si="0"/>
        <v/>
      </c>
      <c r="G13" s="51" t="str">
        <f t="shared" si="1"/>
        <v/>
      </c>
      <c r="H13" s="51"/>
      <c r="I13" s="51" t="str">
        <f t="shared" si="2"/>
        <v/>
      </c>
      <c r="J13" s="51" t="str">
        <f t="shared" si="3"/>
        <v/>
      </c>
      <c r="K13" s="155">
        <v>3000000</v>
      </c>
      <c r="L13" s="52">
        <v>42745</v>
      </c>
      <c r="M13" s="156">
        <v>42824</v>
      </c>
      <c r="N13" s="53">
        <f t="shared" ref="N13:N23" si="11">IFERROR(-IF(L13=0,,IF(M13=0,($C$10-L13),M13-L13)),"")</f>
        <v>-79</v>
      </c>
      <c r="O13" s="51"/>
      <c r="P13" s="51"/>
      <c r="Q13" s="54"/>
      <c r="R13" s="198" t="str">
        <f t="shared" si="6"/>
        <v/>
      </c>
      <c r="S13" s="198">
        <f t="shared" si="7"/>
        <v>0</v>
      </c>
      <c r="T13" s="198" t="str">
        <f t="shared" si="8"/>
        <v/>
      </c>
      <c r="U13" s="198" t="str">
        <f t="shared" si="9"/>
        <v/>
      </c>
      <c r="V13" s="198" t="str">
        <f t="shared" si="10"/>
        <v/>
      </c>
    </row>
    <row r="14" spans="1:22" ht="19.5" customHeight="1">
      <c r="A14" s="154"/>
      <c r="B14" s="56"/>
      <c r="C14" s="52"/>
      <c r="D14" s="59"/>
      <c r="E14" s="51"/>
      <c r="F14" s="51" t="str">
        <f t="shared" si="0"/>
        <v/>
      </c>
      <c r="G14" s="51" t="str">
        <f t="shared" si="1"/>
        <v/>
      </c>
      <c r="H14" s="51"/>
      <c r="I14" s="51" t="str">
        <f t="shared" si="2"/>
        <v/>
      </c>
      <c r="J14" s="51" t="str">
        <f t="shared" si="3"/>
        <v/>
      </c>
      <c r="K14" s="155">
        <v>5280000</v>
      </c>
      <c r="L14" s="52">
        <v>42745</v>
      </c>
      <c r="M14" s="156">
        <v>42830</v>
      </c>
      <c r="N14" s="53">
        <f t="shared" si="11"/>
        <v>-85</v>
      </c>
      <c r="O14" s="51"/>
      <c r="P14" s="51"/>
      <c r="Q14" s="54"/>
      <c r="R14" s="198" t="str">
        <f t="shared" si="6"/>
        <v/>
      </c>
      <c r="S14" s="198">
        <f t="shared" si="7"/>
        <v>0</v>
      </c>
      <c r="T14" s="198" t="str">
        <f t="shared" si="8"/>
        <v/>
      </c>
      <c r="U14" s="198" t="str">
        <f t="shared" si="9"/>
        <v/>
      </c>
      <c r="V14" s="198" t="str">
        <f t="shared" si="10"/>
        <v/>
      </c>
    </row>
    <row r="15" spans="1:22" ht="19.5" customHeight="1">
      <c r="A15" s="154"/>
      <c r="B15" s="56"/>
      <c r="C15" s="52"/>
      <c r="D15" s="59"/>
      <c r="E15" s="51"/>
      <c r="F15" s="51" t="str">
        <f t="shared" si="0"/>
        <v/>
      </c>
      <c r="G15" s="51" t="str">
        <f t="shared" si="1"/>
        <v/>
      </c>
      <c r="H15" s="51"/>
      <c r="I15" s="51" t="str">
        <f t="shared" si="2"/>
        <v/>
      </c>
      <c r="J15" s="51" t="str">
        <f t="shared" si="3"/>
        <v/>
      </c>
      <c r="K15" s="155">
        <v>3000000</v>
      </c>
      <c r="L15" s="52">
        <v>42745</v>
      </c>
      <c r="M15" s="156">
        <v>42840</v>
      </c>
      <c r="N15" s="53">
        <f t="shared" si="11"/>
        <v>-95</v>
      </c>
      <c r="O15" s="51"/>
      <c r="P15" s="51"/>
      <c r="Q15" s="54"/>
      <c r="R15" s="198" t="str">
        <f t="shared" si="6"/>
        <v/>
      </c>
      <c r="S15" s="198">
        <f t="shared" si="7"/>
        <v>0</v>
      </c>
      <c r="T15" s="198" t="str">
        <f t="shared" si="8"/>
        <v/>
      </c>
      <c r="U15" s="198" t="str">
        <f t="shared" si="9"/>
        <v/>
      </c>
      <c r="V15" s="198" t="str">
        <f t="shared" si="10"/>
        <v/>
      </c>
    </row>
    <row r="16" spans="1:22" ht="19.5" customHeight="1">
      <c r="A16" s="154"/>
      <c r="B16" s="56"/>
      <c r="C16" s="52"/>
      <c r="D16" s="59"/>
      <c r="E16" s="51"/>
      <c r="F16" s="51" t="str">
        <f t="shared" si="0"/>
        <v/>
      </c>
      <c r="G16" s="51" t="str">
        <f t="shared" si="1"/>
        <v/>
      </c>
      <c r="H16" s="51"/>
      <c r="I16" s="51" t="str">
        <f t="shared" si="2"/>
        <v/>
      </c>
      <c r="J16" s="51" t="str">
        <f t="shared" si="3"/>
        <v/>
      </c>
      <c r="K16" s="155">
        <v>3540000</v>
      </c>
      <c r="L16" s="52">
        <v>42745</v>
      </c>
      <c r="M16" s="156">
        <v>42855</v>
      </c>
      <c r="N16" s="53">
        <f t="shared" si="11"/>
        <v>-110</v>
      </c>
      <c r="O16" s="51"/>
      <c r="P16" s="51"/>
      <c r="Q16" s="54"/>
      <c r="R16" s="198" t="str">
        <f t="shared" si="6"/>
        <v/>
      </c>
      <c r="S16" s="198">
        <f t="shared" si="7"/>
        <v>0</v>
      </c>
      <c r="T16" s="198" t="str">
        <f t="shared" si="8"/>
        <v/>
      </c>
      <c r="U16" s="198" t="str">
        <f t="shared" si="9"/>
        <v/>
      </c>
      <c r="V16" s="198" t="str">
        <f t="shared" si="10"/>
        <v/>
      </c>
    </row>
    <row r="17" spans="1:22" ht="19.5" customHeight="1">
      <c r="A17" s="149">
        <v>2</v>
      </c>
      <c r="B17" s="149">
        <v>1100000051</v>
      </c>
      <c r="C17" s="150">
        <v>42759</v>
      </c>
      <c r="D17" s="151">
        <v>42736</v>
      </c>
      <c r="E17" s="152">
        <v>11500000</v>
      </c>
      <c r="F17" s="152">
        <f t="shared" si="0"/>
        <v>-575000</v>
      </c>
      <c r="G17" s="152" t="str">
        <f t="shared" si="1"/>
        <v/>
      </c>
      <c r="H17" s="152"/>
      <c r="I17" s="152">
        <f t="shared" si="2"/>
        <v>10925000</v>
      </c>
      <c r="J17" s="152">
        <f t="shared" si="3"/>
        <v>13110000</v>
      </c>
      <c r="K17" s="152">
        <v>13110000</v>
      </c>
      <c r="L17" s="150">
        <f t="shared" si="4"/>
        <v>42849</v>
      </c>
      <c r="M17" s="156">
        <v>42926</v>
      </c>
      <c r="N17" s="153">
        <f t="shared" si="11"/>
        <v>-77</v>
      </c>
      <c r="O17" s="152" t="str">
        <f t="shared" ref="O17:O23" si="12">IFERROR(IF(J17=K17,"",J17-K17),"")</f>
        <v/>
      </c>
      <c r="P17" s="152" t="str">
        <f t="shared" si="5"/>
        <v/>
      </c>
      <c r="Q17" s="54"/>
      <c r="R17" s="198" t="str">
        <f t="shared" si="6"/>
        <v/>
      </c>
      <c r="S17" s="198" t="str">
        <f t="shared" si="7"/>
        <v/>
      </c>
      <c r="T17" s="198" t="str">
        <f t="shared" si="8"/>
        <v/>
      </c>
      <c r="U17" s="198" t="str">
        <f t="shared" si="9"/>
        <v/>
      </c>
      <c r="V17" s="198" t="str">
        <f t="shared" si="10"/>
        <v/>
      </c>
    </row>
    <row r="18" spans="1:22" ht="19.5" customHeight="1">
      <c r="A18" s="149">
        <v>3</v>
      </c>
      <c r="B18" s="149">
        <v>1100000052</v>
      </c>
      <c r="C18" s="150">
        <v>42817</v>
      </c>
      <c r="D18" s="151">
        <v>42767</v>
      </c>
      <c r="E18" s="152">
        <v>6730000</v>
      </c>
      <c r="F18" s="152">
        <f t="shared" si="0"/>
        <v>-336500</v>
      </c>
      <c r="G18" s="51" t="str">
        <f t="shared" si="1"/>
        <v/>
      </c>
      <c r="H18" s="51"/>
      <c r="I18" s="152">
        <f t="shared" si="2"/>
        <v>6393500</v>
      </c>
      <c r="J18" s="152">
        <f t="shared" si="3"/>
        <v>7672200</v>
      </c>
      <c r="K18" s="152"/>
      <c r="L18" s="150">
        <f t="shared" si="4"/>
        <v>42907</v>
      </c>
      <c r="M18" s="157">
        <v>43044</v>
      </c>
      <c r="N18" s="153">
        <f t="shared" si="11"/>
        <v>-137</v>
      </c>
      <c r="O18" s="152">
        <f t="shared" si="12"/>
        <v>7672200</v>
      </c>
      <c r="P18" s="152">
        <f t="shared" si="5"/>
        <v>7672200</v>
      </c>
      <c r="Q18" s="54"/>
      <c r="R18" s="198" t="str">
        <f t="shared" si="6"/>
        <v/>
      </c>
      <c r="S18" s="198" t="str">
        <f t="shared" si="7"/>
        <v/>
      </c>
      <c r="T18" s="198">
        <f t="shared" si="8"/>
        <v>7672200</v>
      </c>
      <c r="U18" s="198" t="str">
        <f t="shared" si="9"/>
        <v/>
      </c>
      <c r="V18" s="198" t="str">
        <f t="shared" si="10"/>
        <v/>
      </c>
    </row>
    <row r="19" spans="1:22" ht="19.5" customHeight="1">
      <c r="A19" s="149">
        <v>4</v>
      </c>
      <c r="B19" s="149">
        <v>1100000053</v>
      </c>
      <c r="C19" s="150">
        <v>42836</v>
      </c>
      <c r="D19" s="151">
        <v>42795</v>
      </c>
      <c r="E19" s="152">
        <v>7250000</v>
      </c>
      <c r="F19" s="152">
        <f t="shared" si="0"/>
        <v>-362500</v>
      </c>
      <c r="G19" s="152" t="str">
        <f t="shared" si="1"/>
        <v/>
      </c>
      <c r="H19" s="152"/>
      <c r="I19" s="152">
        <f t="shared" si="2"/>
        <v>6887500</v>
      </c>
      <c r="J19" s="152">
        <f t="shared" si="3"/>
        <v>8265000</v>
      </c>
      <c r="K19" s="152">
        <v>8265000</v>
      </c>
      <c r="L19" s="150">
        <f t="shared" si="4"/>
        <v>42926</v>
      </c>
      <c r="M19" s="156">
        <v>43044</v>
      </c>
      <c r="N19" s="153">
        <f t="shared" si="11"/>
        <v>-118</v>
      </c>
      <c r="O19" s="152" t="str">
        <f t="shared" si="12"/>
        <v/>
      </c>
      <c r="P19" s="51" t="str">
        <f t="shared" si="5"/>
        <v/>
      </c>
      <c r="Q19" s="54"/>
      <c r="R19" s="198" t="str">
        <f t="shared" si="6"/>
        <v/>
      </c>
      <c r="S19" s="198" t="str">
        <f t="shared" si="7"/>
        <v/>
      </c>
      <c r="T19" s="198" t="str">
        <f t="shared" si="8"/>
        <v/>
      </c>
      <c r="U19" s="198" t="str">
        <f t="shared" si="9"/>
        <v/>
      </c>
      <c r="V19" s="198" t="str">
        <f t="shared" si="10"/>
        <v/>
      </c>
    </row>
    <row r="20" spans="1:22" ht="19.5" customHeight="1">
      <c r="A20" s="149">
        <v>5</v>
      </c>
      <c r="B20" s="149">
        <v>1100000054</v>
      </c>
      <c r="C20" s="158">
        <v>42853</v>
      </c>
      <c r="D20" s="151">
        <v>42826</v>
      </c>
      <c r="E20" s="152">
        <v>13200000</v>
      </c>
      <c r="F20" s="152">
        <f t="shared" si="0"/>
        <v>-660000</v>
      </c>
      <c r="G20" s="152" t="str">
        <f t="shared" si="1"/>
        <v/>
      </c>
      <c r="H20" s="152"/>
      <c r="I20" s="152">
        <f t="shared" si="2"/>
        <v>12540000</v>
      </c>
      <c r="J20" s="152">
        <f t="shared" si="3"/>
        <v>15048000</v>
      </c>
      <c r="K20" s="152">
        <f>K21</f>
        <v>7000000</v>
      </c>
      <c r="L20" s="150">
        <f t="shared" si="4"/>
        <v>42943</v>
      </c>
      <c r="M20" s="150"/>
      <c r="N20" s="153"/>
      <c r="O20" s="152">
        <f t="shared" si="12"/>
        <v>8048000</v>
      </c>
      <c r="P20" s="152">
        <f t="shared" si="5"/>
        <v>8048000</v>
      </c>
      <c r="Q20" s="54"/>
      <c r="R20" s="198" t="str">
        <f t="shared" si="6"/>
        <v/>
      </c>
      <c r="S20" s="198" t="str">
        <f t="shared" si="7"/>
        <v/>
      </c>
      <c r="T20" s="198" t="str">
        <f t="shared" si="8"/>
        <v/>
      </c>
      <c r="U20" s="198" t="str">
        <f t="shared" si="9"/>
        <v/>
      </c>
      <c r="V20" s="198" t="str">
        <f t="shared" si="10"/>
        <v/>
      </c>
    </row>
    <row r="21" spans="1:22" ht="19.5" customHeight="1">
      <c r="A21" s="154"/>
      <c r="B21" s="159"/>
      <c r="C21" s="158"/>
      <c r="D21" s="151"/>
      <c r="E21" s="152"/>
      <c r="F21" s="152"/>
      <c r="G21" s="152"/>
      <c r="H21" s="152"/>
      <c r="I21" s="152"/>
      <c r="J21" s="152"/>
      <c r="K21" s="155">
        <v>7000000</v>
      </c>
      <c r="L21" s="150">
        <v>42943</v>
      </c>
      <c r="M21" s="156">
        <v>43008</v>
      </c>
      <c r="N21" s="53">
        <f t="shared" si="11"/>
        <v>-65</v>
      </c>
      <c r="O21" s="152"/>
      <c r="P21" s="152"/>
      <c r="Q21" s="54"/>
      <c r="R21" s="198" t="str">
        <f t="shared" si="6"/>
        <v/>
      </c>
      <c r="S21" s="198">
        <f t="shared" si="7"/>
        <v>0</v>
      </c>
      <c r="T21" s="198" t="str">
        <f t="shared" si="8"/>
        <v/>
      </c>
      <c r="U21" s="198" t="str">
        <f t="shared" si="9"/>
        <v/>
      </c>
      <c r="V21" s="198" t="str">
        <f t="shared" si="10"/>
        <v/>
      </c>
    </row>
    <row r="22" spans="1:22" ht="19.5" customHeight="1">
      <c r="A22" s="154"/>
      <c r="B22" s="159"/>
      <c r="C22" s="158"/>
      <c r="D22" s="151"/>
      <c r="E22" s="152"/>
      <c r="F22" s="152"/>
      <c r="G22" s="152"/>
      <c r="H22" s="152"/>
      <c r="I22" s="152"/>
      <c r="J22" s="152"/>
      <c r="K22" s="155">
        <v>8048000</v>
      </c>
      <c r="L22" s="150">
        <v>42943</v>
      </c>
      <c r="M22" s="156">
        <v>43023</v>
      </c>
      <c r="N22" s="53">
        <f t="shared" si="11"/>
        <v>-80</v>
      </c>
      <c r="O22" s="152"/>
      <c r="P22" s="152"/>
      <c r="Q22" s="54"/>
      <c r="R22" s="198" t="str">
        <f t="shared" si="6"/>
        <v/>
      </c>
      <c r="S22" s="198">
        <f t="shared" si="7"/>
        <v>0</v>
      </c>
      <c r="T22" s="198" t="str">
        <f t="shared" si="8"/>
        <v/>
      </c>
      <c r="U22" s="198" t="str">
        <f t="shared" si="9"/>
        <v/>
      </c>
      <c r="V22" s="198" t="str">
        <f t="shared" si="10"/>
        <v/>
      </c>
    </row>
    <row r="23" spans="1:22" ht="19.5" customHeight="1">
      <c r="A23" s="149"/>
      <c r="B23" s="57"/>
      <c r="C23" s="52"/>
      <c r="D23" s="59"/>
      <c r="E23" s="51"/>
      <c r="F23" s="51" t="str">
        <f t="shared" si="0"/>
        <v/>
      </c>
      <c r="G23" s="51" t="str">
        <f t="shared" si="1"/>
        <v/>
      </c>
      <c r="H23" s="51"/>
      <c r="I23" s="51" t="str">
        <f t="shared" si="2"/>
        <v/>
      </c>
      <c r="J23" s="51" t="str">
        <f t="shared" si="3"/>
        <v/>
      </c>
      <c r="K23" s="51"/>
      <c r="L23" s="52" t="str">
        <f t="shared" si="4"/>
        <v/>
      </c>
      <c r="M23" s="52"/>
      <c r="N23" s="53" t="str">
        <f t="shared" si="11"/>
        <v/>
      </c>
      <c r="O23" s="51" t="str">
        <f t="shared" si="12"/>
        <v/>
      </c>
      <c r="P23" s="51" t="str">
        <f t="shared" si="5"/>
        <v/>
      </c>
      <c r="Q23" s="54"/>
      <c r="R23" s="198" t="str">
        <f t="shared" si="6"/>
        <v/>
      </c>
      <c r="S23" s="198" t="str">
        <f t="shared" si="7"/>
        <v/>
      </c>
      <c r="T23" s="198" t="str">
        <f t="shared" si="8"/>
        <v/>
      </c>
      <c r="U23" s="198" t="str">
        <f t="shared" si="9"/>
        <v/>
      </c>
      <c r="V23" s="198" t="str">
        <f t="shared" si="10"/>
        <v/>
      </c>
    </row>
    <row r="24" spans="1:22" ht="19.5" customHeight="1" thickBot="1">
      <c r="A24" s="56"/>
      <c r="B24" s="57"/>
      <c r="C24" s="58"/>
      <c r="D24" s="59"/>
      <c r="E24" s="51"/>
      <c r="F24" s="51"/>
      <c r="G24" s="51"/>
      <c r="H24" s="51"/>
      <c r="I24" s="51"/>
      <c r="J24" s="51"/>
      <c r="K24" s="51"/>
      <c r="L24" s="52"/>
      <c r="M24" s="52"/>
      <c r="N24" s="62"/>
      <c r="O24" s="51"/>
      <c r="P24" s="57"/>
      <c r="Q24" s="54"/>
      <c r="R24" s="198" t="str">
        <f t="shared" si="6"/>
        <v/>
      </c>
      <c r="S24" s="198" t="str">
        <f t="shared" si="7"/>
        <v/>
      </c>
      <c r="T24" s="198" t="str">
        <f t="shared" si="8"/>
        <v/>
      </c>
      <c r="U24" s="198" t="str">
        <f t="shared" si="9"/>
        <v/>
      </c>
      <c r="V24" s="198" t="str">
        <f t="shared" si="10"/>
        <v/>
      </c>
    </row>
    <row r="25" spans="1:22" s="54" customFormat="1" ht="28.5" customHeight="1" thickBot="1">
      <c r="A25" s="160"/>
      <c r="B25" s="161" t="s">
        <v>58</v>
      </c>
      <c r="C25" s="161"/>
      <c r="D25" s="161"/>
      <c r="E25" s="162">
        <f t="shared" ref="E25:J25" si="13">SUM(E12:E24)</f>
        <v>51680000</v>
      </c>
      <c r="F25" s="162">
        <f t="shared" si="13"/>
        <v>-2584000</v>
      </c>
      <c r="G25" s="162">
        <f t="shared" si="13"/>
        <v>0</v>
      </c>
      <c r="H25" s="162">
        <f t="shared" si="13"/>
        <v>0</v>
      </c>
      <c r="I25" s="162">
        <f t="shared" si="13"/>
        <v>49096000</v>
      </c>
      <c r="J25" s="162">
        <f t="shared" si="13"/>
        <v>58915200</v>
      </c>
      <c r="K25" s="162">
        <f>K12+K17+K18+K19+K20</f>
        <v>39655000</v>
      </c>
      <c r="L25" s="163"/>
      <c r="M25" s="163"/>
      <c r="N25" s="163"/>
      <c r="O25" s="162">
        <f>SUM(O12:O24)</f>
        <v>19260200</v>
      </c>
      <c r="P25" s="164">
        <f>SUM(P12:P24)</f>
        <v>19260200</v>
      </c>
      <c r="R25" s="68">
        <f>SUM(R12:R24)</f>
        <v>0</v>
      </c>
      <c r="S25" s="68">
        <f>SUM(S12:S24)</f>
        <v>0</v>
      </c>
      <c r="T25" s="68">
        <f>SUM(T12:T24)</f>
        <v>7672200</v>
      </c>
      <c r="U25" s="68">
        <f>SUM(U12:U24)</f>
        <v>0</v>
      </c>
      <c r="V25" s="68">
        <f>SUM(V12:V24)</f>
        <v>0</v>
      </c>
    </row>
    <row r="26" spans="1:22" ht="21" customHeight="1">
      <c r="A26" s="69"/>
      <c r="B26" s="70"/>
      <c r="C26" s="70"/>
      <c r="D26" s="71" t="s">
        <v>59</v>
      </c>
      <c r="E26" s="72">
        <f>+E25/$M$7</f>
        <v>0.14979710144927535</v>
      </c>
      <c r="F26" s="70"/>
      <c r="G26" s="70"/>
      <c r="H26" s="70"/>
      <c r="I26" s="70"/>
      <c r="J26" s="71" t="s">
        <v>60</v>
      </c>
      <c r="K26" s="72">
        <f>+K25/J25</f>
        <v>0.67308606267991966</v>
      </c>
      <c r="L26" s="70"/>
      <c r="M26" s="70"/>
      <c r="N26" s="70"/>
      <c r="O26" s="70"/>
      <c r="P26" s="73"/>
      <c r="Q26" s="54"/>
      <c r="R26" s="54"/>
      <c r="S26" s="54"/>
      <c r="T26" s="54"/>
      <c r="U26" s="54"/>
      <c r="V26" s="54"/>
    </row>
    <row r="27" spans="1:22" ht="21" customHeight="1" thickBot="1">
      <c r="A27" s="74"/>
      <c r="B27" s="75"/>
      <c r="C27" s="75"/>
      <c r="D27" s="76" t="s">
        <v>61</v>
      </c>
      <c r="E27" s="77">
        <f>+$M$7-$E$25</f>
        <v>293320000</v>
      </c>
      <c r="F27" s="78">
        <f>+E27/M7</f>
        <v>0.85020289855072462</v>
      </c>
      <c r="G27" s="75"/>
      <c r="H27" s="75"/>
      <c r="I27" s="75"/>
      <c r="J27" s="75"/>
      <c r="K27" s="75"/>
      <c r="L27" s="75"/>
      <c r="M27" s="75"/>
      <c r="N27" s="75"/>
      <c r="O27" s="75"/>
      <c r="P27" s="79"/>
      <c r="Q27" s="54"/>
      <c r="R27" s="54"/>
      <c r="S27" s="54"/>
      <c r="T27" s="54"/>
      <c r="U27" s="54"/>
      <c r="V27" s="54"/>
    </row>
    <row r="28" spans="1:22">
      <c r="A28" s="54"/>
      <c r="C28" s="69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3"/>
      <c r="P28" s="54"/>
      <c r="Q28" s="54"/>
      <c r="R28" s="54"/>
      <c r="S28" s="54"/>
      <c r="T28" s="54"/>
      <c r="U28" s="54"/>
      <c r="V28" s="54"/>
    </row>
    <row r="29" spans="1:22" ht="21">
      <c r="A29" s="54"/>
      <c r="C29" s="165"/>
      <c r="D29" s="166" t="s">
        <v>62</v>
      </c>
      <c r="E29" s="166"/>
      <c r="F29" s="166"/>
      <c r="G29" s="166"/>
      <c r="H29" s="166"/>
      <c r="I29" s="166"/>
      <c r="J29" s="167"/>
      <c r="K29" s="167"/>
      <c r="L29" s="167"/>
      <c r="M29" s="167"/>
      <c r="N29" s="167"/>
      <c r="O29" s="168"/>
      <c r="P29" s="54"/>
      <c r="Q29" s="54"/>
      <c r="R29" s="54"/>
      <c r="S29" s="54"/>
      <c r="T29" s="54"/>
      <c r="U29" s="54"/>
      <c r="V29" s="54"/>
    </row>
    <row r="30" spans="1:22" ht="17.25" thickBot="1">
      <c r="A30" s="54"/>
      <c r="C30" s="165"/>
      <c r="D30" s="167"/>
      <c r="E30" s="167"/>
      <c r="F30" s="167"/>
      <c r="G30" s="167"/>
      <c r="H30" s="169"/>
      <c r="I30" s="167"/>
      <c r="J30" s="167"/>
      <c r="K30" s="167"/>
      <c r="L30" s="167"/>
      <c r="M30" s="167"/>
      <c r="N30" s="167"/>
      <c r="O30" s="168"/>
      <c r="P30" s="54"/>
      <c r="Q30" s="54"/>
      <c r="R30" s="54"/>
      <c r="S30" s="54"/>
      <c r="T30" s="54"/>
      <c r="U30" s="54"/>
      <c r="V30" s="54"/>
    </row>
    <row r="31" spans="1:22" ht="18" customHeight="1" thickBot="1">
      <c r="A31" s="54"/>
      <c r="C31" s="165"/>
      <c r="D31" s="298" t="s">
        <v>63</v>
      </c>
      <c r="E31" s="299"/>
      <c r="F31" s="300"/>
      <c r="G31" s="170" t="s">
        <v>64</v>
      </c>
      <c r="H31" s="171">
        <f>M7</f>
        <v>345000000</v>
      </c>
      <c r="I31" s="172"/>
      <c r="J31" s="173"/>
      <c r="K31" s="172"/>
      <c r="L31" s="172"/>
      <c r="M31" s="172"/>
      <c r="N31" s="172"/>
      <c r="O31" s="174"/>
      <c r="P31" s="54"/>
      <c r="Q31" s="54"/>
      <c r="R31" s="54"/>
      <c r="S31" s="54"/>
      <c r="T31" s="175"/>
      <c r="U31" s="54"/>
      <c r="V31" s="54"/>
    </row>
    <row r="32" spans="1:22" ht="18" customHeight="1" thickBot="1">
      <c r="A32" s="54"/>
      <c r="C32" s="165"/>
      <c r="D32" s="170"/>
      <c r="E32" s="170"/>
      <c r="F32" s="170"/>
      <c r="G32" s="170"/>
      <c r="H32" s="172"/>
      <c r="I32" s="172"/>
      <c r="J32" s="172"/>
      <c r="K32" s="172"/>
      <c r="L32" s="172"/>
      <c r="M32" s="172"/>
      <c r="N32" s="172"/>
      <c r="O32" s="174"/>
      <c r="P32" s="54"/>
      <c r="Q32" s="54"/>
      <c r="R32" s="54"/>
      <c r="S32" s="54"/>
      <c r="T32" s="54"/>
      <c r="U32" s="54"/>
      <c r="V32" s="54"/>
    </row>
    <row r="33" spans="1:22" ht="18" customHeight="1" thickBot="1">
      <c r="A33" s="54"/>
      <c r="C33" s="165"/>
      <c r="D33" s="301" t="s">
        <v>65</v>
      </c>
      <c r="E33" s="302"/>
      <c r="F33" s="303"/>
      <c r="G33" s="170" t="s">
        <v>64</v>
      </c>
      <c r="H33" s="176">
        <f>E25</f>
        <v>51680000</v>
      </c>
      <c r="I33" s="172"/>
      <c r="J33" s="172"/>
      <c r="K33" s="95">
        <f>H33/H31</f>
        <v>0.14979710144927535</v>
      </c>
      <c r="L33" s="177" t="s">
        <v>66</v>
      </c>
      <c r="M33" s="178"/>
      <c r="N33" s="178"/>
      <c r="O33" s="174"/>
      <c r="P33" s="54"/>
      <c r="Q33" s="54"/>
      <c r="R33" s="54"/>
      <c r="S33" s="54"/>
      <c r="T33" s="54"/>
      <c r="U33" s="54"/>
      <c r="V33" s="54"/>
    </row>
    <row r="34" spans="1:22" ht="18" customHeight="1" thickBot="1">
      <c r="C34" s="179"/>
      <c r="D34" s="170"/>
      <c r="E34" s="170"/>
      <c r="F34" s="170"/>
      <c r="G34" s="170"/>
      <c r="H34" s="172"/>
      <c r="I34" s="172"/>
      <c r="J34" s="172"/>
      <c r="K34" s="172"/>
      <c r="L34" s="180"/>
      <c r="M34" s="172"/>
      <c r="N34" s="172"/>
      <c r="O34" s="174"/>
    </row>
    <row r="35" spans="1:22" ht="18" customHeight="1" thickBot="1">
      <c r="C35" s="179"/>
      <c r="D35" s="304" t="s">
        <v>92</v>
      </c>
      <c r="E35" s="305"/>
      <c r="F35" s="306"/>
      <c r="G35" s="170" t="s">
        <v>68</v>
      </c>
      <c r="H35" s="101">
        <f>K25</f>
        <v>39655000</v>
      </c>
      <c r="I35" s="172"/>
      <c r="J35" s="172"/>
      <c r="K35" s="102">
        <f>H35/J25</f>
        <v>0.67308606267991966</v>
      </c>
      <c r="L35" s="181" t="s">
        <v>69</v>
      </c>
      <c r="M35" s="182"/>
      <c r="N35" s="182"/>
      <c r="O35" s="174"/>
    </row>
    <row r="36" spans="1:22" ht="18" customHeight="1" thickBot="1">
      <c r="C36" s="179"/>
      <c r="D36" s="170"/>
      <c r="E36" s="170"/>
      <c r="F36" s="170"/>
      <c r="G36" s="170"/>
      <c r="H36" s="172"/>
      <c r="I36" s="172"/>
      <c r="J36" s="172"/>
      <c r="K36" s="172"/>
      <c r="L36" s="180"/>
      <c r="M36" s="172"/>
      <c r="N36" s="172"/>
      <c r="O36" s="174"/>
    </row>
    <row r="37" spans="1:22" ht="18" customHeight="1" thickBot="1">
      <c r="C37" s="179"/>
      <c r="D37" s="304" t="s">
        <v>70</v>
      </c>
      <c r="E37" s="305"/>
      <c r="F37" s="306"/>
      <c r="G37" s="170" t="s">
        <v>68</v>
      </c>
      <c r="H37" s="106">
        <f>O25</f>
        <v>19260200</v>
      </c>
      <c r="I37" s="172"/>
      <c r="J37" s="172"/>
      <c r="K37" s="107">
        <f>H37/J25</f>
        <v>0.32691393732008039</v>
      </c>
      <c r="L37" s="181" t="s">
        <v>69</v>
      </c>
      <c r="M37" s="183"/>
      <c r="N37" s="183"/>
      <c r="O37" s="174"/>
    </row>
    <row r="38" spans="1:22" ht="18" customHeight="1" thickBot="1">
      <c r="C38" s="179"/>
      <c r="D38" s="170"/>
      <c r="E38" s="170"/>
      <c r="F38" s="170"/>
      <c r="G38" s="170"/>
      <c r="H38" s="172"/>
      <c r="I38" s="172"/>
      <c r="J38" s="172"/>
      <c r="K38" s="172"/>
      <c r="L38" s="180"/>
      <c r="M38" s="172"/>
      <c r="N38" s="172"/>
      <c r="O38" s="174"/>
    </row>
    <row r="39" spans="1:22" ht="18" customHeight="1" thickBot="1">
      <c r="C39" s="179"/>
      <c r="D39" s="304" t="s">
        <v>93</v>
      </c>
      <c r="E39" s="305"/>
      <c r="F39" s="306"/>
      <c r="G39" s="170" t="s">
        <v>68</v>
      </c>
      <c r="H39" s="110">
        <f>P25</f>
        <v>19260200</v>
      </c>
      <c r="I39" s="172"/>
      <c r="J39" s="172"/>
      <c r="K39" s="111">
        <f>H39/J25</f>
        <v>0.32691393732008039</v>
      </c>
      <c r="L39" s="181" t="s">
        <v>69</v>
      </c>
      <c r="M39" s="182"/>
      <c r="N39" s="182"/>
      <c r="O39" s="174"/>
    </row>
    <row r="40" spans="1:22" ht="9.75" customHeight="1" thickBot="1">
      <c r="C40" s="184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6"/>
    </row>
  </sheetData>
  <mergeCells count="20">
    <mergeCell ref="D37:F37"/>
    <mergeCell ref="D39:F39"/>
    <mergeCell ref="M7:N7"/>
    <mergeCell ref="M8:N8"/>
    <mergeCell ref="O10:P10"/>
    <mergeCell ref="D31:F31"/>
    <mergeCell ref="D33:F33"/>
    <mergeCell ref="D35:F35"/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workbookViewId="0"/>
  </sheetViews>
  <sheetFormatPr baseColWidth="10" defaultRowHeight="16.5"/>
  <cols>
    <col min="1" max="1" width="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2.28515625" style="5" bestFit="1" customWidth="1"/>
    <col min="9" max="9" width="13.28515625" style="5" customWidth="1"/>
    <col min="10" max="10" width="13.5703125" style="5" customWidth="1"/>
    <col min="11" max="12" width="13.7109375" style="5" customWidth="1"/>
    <col min="13" max="13" width="11.42578125" style="5"/>
    <col min="14" max="14" width="7" style="5" customWidth="1"/>
    <col min="15" max="15" width="13.42578125" style="5" customWidth="1"/>
    <col min="16" max="16" width="13.5703125" style="5" customWidth="1"/>
    <col min="17" max="17" width="6.140625" style="5" customWidth="1"/>
    <col min="18" max="18" width="9.7109375" style="5" customWidth="1"/>
    <col min="19" max="19" width="9.7109375" style="5" bestFit="1" customWidth="1"/>
    <col min="20" max="20" width="9.7109375" style="5" customWidth="1"/>
    <col min="21" max="22" width="9.5703125" style="5" customWidth="1"/>
    <col min="23" max="16384" width="11.42578125" style="5"/>
  </cols>
  <sheetData>
    <row r="1" spans="1:22" ht="21">
      <c r="A1" s="259" t="s">
        <v>11</v>
      </c>
      <c r="B1" s="260"/>
      <c r="C1" s="263" t="s">
        <v>83</v>
      </c>
      <c r="D1" s="263" t="s">
        <v>84</v>
      </c>
      <c r="E1" s="263" t="s">
        <v>84</v>
      </c>
      <c r="F1" s="265" t="s">
        <v>97</v>
      </c>
      <c r="G1" s="267" t="s">
        <v>12</v>
      </c>
      <c r="H1" s="268"/>
      <c r="I1" s="268"/>
      <c r="J1" s="269"/>
      <c r="K1" s="1" t="s">
        <v>13</v>
      </c>
      <c r="L1" s="2"/>
      <c r="M1" s="270">
        <v>345000000</v>
      </c>
      <c r="N1" s="270"/>
      <c r="O1" s="3" t="s">
        <v>14</v>
      </c>
      <c r="P1" s="4">
        <v>34726</v>
      </c>
    </row>
    <row r="2" spans="1:22" ht="21">
      <c r="A2" s="261"/>
      <c r="B2" s="262"/>
      <c r="C2" s="264" t="s">
        <v>84</v>
      </c>
      <c r="D2" s="264" t="s">
        <v>84</v>
      </c>
      <c r="E2" s="264" t="s">
        <v>84</v>
      </c>
      <c r="F2" s="266"/>
      <c r="G2" s="6" t="s">
        <v>15</v>
      </c>
      <c r="H2" s="7"/>
      <c r="I2" s="8">
        <v>90</v>
      </c>
      <c r="J2" s="9"/>
      <c r="K2" s="10" t="s">
        <v>16</v>
      </c>
      <c r="L2" s="11"/>
      <c r="M2" s="258">
        <v>0</v>
      </c>
      <c r="N2" s="258"/>
      <c r="O2" s="11"/>
      <c r="P2" s="12"/>
    </row>
    <row r="3" spans="1:22">
      <c r="A3" s="261" t="s">
        <v>17</v>
      </c>
      <c r="B3" s="262"/>
      <c r="C3" s="264" t="s">
        <v>86</v>
      </c>
      <c r="D3" s="264"/>
      <c r="E3" s="264"/>
      <c r="F3" s="13"/>
      <c r="G3" s="6" t="s">
        <v>19</v>
      </c>
      <c r="H3" s="7"/>
      <c r="I3" s="14" t="s">
        <v>20</v>
      </c>
      <c r="J3" s="15"/>
      <c r="K3" s="10" t="s">
        <v>21</v>
      </c>
      <c r="L3" s="11"/>
      <c r="M3" s="258">
        <v>0</v>
      </c>
      <c r="N3" s="258"/>
      <c r="O3" s="11"/>
      <c r="P3" s="12"/>
    </row>
    <row r="4" spans="1:22">
      <c r="A4" s="261"/>
      <c r="B4" s="262"/>
      <c r="C4" s="264"/>
      <c r="D4" s="264"/>
      <c r="E4" s="264"/>
      <c r="F4" s="16"/>
      <c r="G4" s="6" t="s">
        <v>22</v>
      </c>
      <c r="H4" s="7"/>
      <c r="I4" s="17">
        <v>0.2</v>
      </c>
      <c r="J4" s="15"/>
      <c r="K4" s="10" t="s">
        <v>23</v>
      </c>
      <c r="L4" s="11"/>
      <c r="M4" s="258">
        <v>0</v>
      </c>
      <c r="N4" s="258"/>
      <c r="O4" s="11"/>
      <c r="P4" s="12"/>
    </row>
    <row r="5" spans="1:22">
      <c r="A5" s="194" t="s">
        <v>24</v>
      </c>
      <c r="B5" s="18"/>
      <c r="C5" s="18"/>
      <c r="D5" s="19"/>
      <c r="E5" s="20"/>
      <c r="F5" s="21"/>
      <c r="G5" s="6" t="s">
        <v>25</v>
      </c>
      <c r="H5" s="7"/>
      <c r="I5" s="14"/>
      <c r="J5" s="15" t="s">
        <v>26</v>
      </c>
      <c r="K5" s="10" t="s">
        <v>27</v>
      </c>
      <c r="L5" s="11"/>
      <c r="M5" s="258">
        <v>0</v>
      </c>
      <c r="N5" s="258"/>
      <c r="O5" s="11"/>
      <c r="P5" s="12"/>
    </row>
    <row r="6" spans="1:22">
      <c r="A6" s="194" t="s">
        <v>87</v>
      </c>
      <c r="B6" s="18"/>
      <c r="C6" s="18"/>
      <c r="D6" s="22">
        <v>42571</v>
      </c>
      <c r="E6" s="23"/>
      <c r="F6" s="24"/>
      <c r="G6" s="6"/>
      <c r="H6" s="14" t="s">
        <v>28</v>
      </c>
      <c r="I6" s="25">
        <v>0.05</v>
      </c>
      <c r="J6" s="15" t="s">
        <v>29</v>
      </c>
      <c r="K6" s="26"/>
      <c r="L6" s="11"/>
      <c r="M6" s="258"/>
      <c r="N6" s="258"/>
      <c r="O6" s="11"/>
      <c r="P6" s="12"/>
    </row>
    <row r="7" spans="1:22">
      <c r="A7" s="194" t="s">
        <v>88</v>
      </c>
      <c r="B7" s="18"/>
      <c r="C7" s="18"/>
      <c r="D7" s="22">
        <v>43364</v>
      </c>
      <c r="E7" s="23"/>
      <c r="F7" s="24"/>
      <c r="G7" s="6"/>
      <c r="H7" s="14" t="s">
        <v>30</v>
      </c>
      <c r="I7" s="27">
        <v>0.05</v>
      </c>
      <c r="J7" s="15" t="s">
        <v>29</v>
      </c>
      <c r="K7" s="28" t="s">
        <v>31</v>
      </c>
      <c r="L7" s="29"/>
      <c r="M7" s="274">
        <f>SUM(M1:M6)</f>
        <v>345000000</v>
      </c>
      <c r="N7" s="274"/>
      <c r="O7" s="11"/>
      <c r="P7" s="12"/>
    </row>
    <row r="8" spans="1:22">
      <c r="A8" s="30" t="s">
        <v>89</v>
      </c>
      <c r="B8" s="31"/>
      <c r="C8" s="31"/>
      <c r="D8" s="32">
        <v>43371</v>
      </c>
      <c r="E8" s="33"/>
      <c r="F8" s="34"/>
      <c r="G8" s="35"/>
      <c r="H8" s="36" t="s">
        <v>32</v>
      </c>
      <c r="I8" s="37">
        <v>0</v>
      </c>
      <c r="J8" s="38" t="s">
        <v>90</v>
      </c>
      <c r="K8" s="39" t="s">
        <v>33</v>
      </c>
      <c r="L8" s="40"/>
      <c r="M8" s="275">
        <f>M7*(1+$I$4)</f>
        <v>414000000</v>
      </c>
      <c r="N8" s="275"/>
      <c r="O8" s="41"/>
      <c r="P8" s="42"/>
    </row>
    <row r="10" spans="1:22">
      <c r="B10" s="5" t="s">
        <v>34</v>
      </c>
      <c r="C10" s="43">
        <v>43069</v>
      </c>
      <c r="E10" s="44"/>
      <c r="F10" s="45">
        <v>0.05</v>
      </c>
      <c r="G10" s="46"/>
      <c r="H10" s="47"/>
      <c r="O10" s="276" t="s">
        <v>35</v>
      </c>
      <c r="P10" s="277"/>
    </row>
    <row r="11" spans="1:22" ht="60">
      <c r="A11" s="48" t="s">
        <v>36</v>
      </c>
      <c r="B11" s="49" t="s">
        <v>37</v>
      </c>
      <c r="C11" s="49" t="s">
        <v>38</v>
      </c>
      <c r="D11" s="48" t="s">
        <v>39</v>
      </c>
      <c r="E11" s="49" t="s">
        <v>40</v>
      </c>
      <c r="F11" s="49" t="s">
        <v>41</v>
      </c>
      <c r="G11" s="49" t="s">
        <v>42</v>
      </c>
      <c r="H11" s="49" t="s">
        <v>43</v>
      </c>
      <c r="I11" s="49" t="s">
        <v>44</v>
      </c>
      <c r="J11" s="49" t="s">
        <v>45</v>
      </c>
      <c r="K11" s="49" t="s">
        <v>46</v>
      </c>
      <c r="L11" s="49" t="s">
        <v>47</v>
      </c>
      <c r="M11" s="49" t="s">
        <v>48</v>
      </c>
      <c r="N11" s="49" t="s">
        <v>91</v>
      </c>
      <c r="O11" s="49" t="s">
        <v>50</v>
      </c>
      <c r="P11" s="49" t="s">
        <v>51</v>
      </c>
      <c r="R11" s="197" t="s">
        <v>52</v>
      </c>
      <c r="S11" s="197" t="s">
        <v>53</v>
      </c>
      <c r="T11" s="197" t="s">
        <v>54</v>
      </c>
      <c r="U11" s="197" t="s">
        <v>55</v>
      </c>
      <c r="V11" s="197" t="s">
        <v>56</v>
      </c>
    </row>
    <row r="12" spans="1:22">
      <c r="A12" s="56">
        <v>1</v>
      </c>
      <c r="B12" s="56">
        <v>1100000050</v>
      </c>
      <c r="C12" s="58">
        <v>42655</v>
      </c>
      <c r="D12" s="59">
        <v>42643</v>
      </c>
      <c r="E12" s="51">
        <v>13000000</v>
      </c>
      <c r="F12" s="51">
        <f t="shared" ref="F12:F23" si="0">IF(-E12*$F$10=0,"",-E12*$F$10)</f>
        <v>-650000</v>
      </c>
      <c r="G12" s="51" t="str">
        <f t="shared" ref="G12:G23" si="1">IF(E12*$G$10=0,"",E12*$G$10)</f>
        <v/>
      </c>
      <c r="H12" s="51"/>
      <c r="I12" s="51">
        <f t="shared" ref="I12:I23" si="2">IFERROR(IF(G12="",E12+F12-H12,E12+F12-G12-H12),"")</f>
        <v>12350000</v>
      </c>
      <c r="J12" s="51">
        <f t="shared" ref="J12:J23" si="3">IFERROR(I12+(I12*$I$4),"")</f>
        <v>14820000</v>
      </c>
      <c r="K12" s="51">
        <f>SUM(K13:K15)</f>
        <v>11280000</v>
      </c>
      <c r="L12" s="52">
        <f t="shared" ref="L12:L23" si="4">IFERROR(IF(C12="","",C12+$I$2),"")</f>
        <v>42745</v>
      </c>
      <c r="M12" s="52"/>
      <c r="N12" s="53"/>
      <c r="O12" s="51">
        <f>IFERROR(IF(J12=K12,"",J12-K12),"")</f>
        <v>3540000</v>
      </c>
      <c r="P12" s="51">
        <f t="shared" ref="P12:P23" si="5">IFERROR(IF($C$10&lt;L12,"",O12),"")</f>
        <v>3540000</v>
      </c>
      <c r="Q12" s="54"/>
      <c r="R12" s="198" t="str">
        <f t="shared" ref="R12:R24" si="6">IF(N12&gt;=0,"",(IF(-N12&lt;=60,O12,"")))</f>
        <v/>
      </c>
      <c r="S12" s="198" t="str">
        <f t="shared" ref="S12:S24" si="7">IF(N12&gt;=0,"",(IF(N12&gt;=-60,"",IF(-60&gt;=N12,IF(N12&gt;=-120,O12,"")))))</f>
        <v/>
      </c>
      <c r="T12" s="198" t="str">
        <f t="shared" ref="T12:T24" si="8">IF(N12&gt;=0,"",(IF(N12&gt;-60,"",IF(-60&gt;=N12,IF(N12&gt;=-120,"",IF(N12&gt;=-180,O12,""))))))</f>
        <v/>
      </c>
      <c r="U12" s="198" t="str">
        <f t="shared" ref="U12:U24" si="9">IF(N12&gt;=0,"",(IF(N12&gt;-60,"",IF(-60&gt;=N12,IF(N12&gt;-120,"",IF(N12&gt;=-180,"",IF(N12&gt;=-365,O12,"")))))))</f>
        <v/>
      </c>
      <c r="V12" s="198" t="str">
        <f t="shared" ref="V12:V24" si="10">IF(N12&gt;=0,"",IF(365&lt;-N12,O12,""))</f>
        <v/>
      </c>
    </row>
    <row r="13" spans="1:22">
      <c r="A13" s="56"/>
      <c r="B13" s="56"/>
      <c r="C13" s="58"/>
      <c r="D13" s="59"/>
      <c r="E13" s="51"/>
      <c r="F13" s="51" t="str">
        <f t="shared" si="0"/>
        <v/>
      </c>
      <c r="G13" s="51" t="str">
        <f t="shared" si="1"/>
        <v/>
      </c>
      <c r="H13" s="51"/>
      <c r="I13" s="51" t="str">
        <f t="shared" si="2"/>
        <v/>
      </c>
      <c r="J13" s="51" t="str">
        <f t="shared" si="3"/>
        <v/>
      </c>
      <c r="K13" s="51">
        <v>3000000</v>
      </c>
      <c r="L13" s="52">
        <v>42745</v>
      </c>
      <c r="M13" s="52">
        <v>42824</v>
      </c>
      <c r="N13" s="53">
        <f t="shared" ref="N13:N23" si="11">IFERROR(-IF(L13=0,,IF(M13=0,($C$10-L13),M13-L13)),"")</f>
        <v>-79</v>
      </c>
      <c r="O13" s="51"/>
      <c r="P13" s="51"/>
      <c r="Q13" s="54"/>
      <c r="R13" s="198" t="str">
        <f t="shared" si="6"/>
        <v/>
      </c>
      <c r="S13" s="198">
        <f t="shared" si="7"/>
        <v>0</v>
      </c>
      <c r="T13" s="198" t="str">
        <f t="shared" si="8"/>
        <v/>
      </c>
      <c r="U13" s="198" t="str">
        <f t="shared" si="9"/>
        <v/>
      </c>
      <c r="V13" s="198" t="str">
        <f t="shared" si="10"/>
        <v/>
      </c>
    </row>
    <row r="14" spans="1:22">
      <c r="A14" s="56"/>
      <c r="B14" s="56"/>
      <c r="C14" s="58"/>
      <c r="D14" s="59"/>
      <c r="E14" s="51"/>
      <c r="F14" s="51" t="str">
        <f t="shared" si="0"/>
        <v/>
      </c>
      <c r="G14" s="51" t="str">
        <f t="shared" si="1"/>
        <v/>
      </c>
      <c r="H14" s="51"/>
      <c r="I14" s="51" t="str">
        <f t="shared" si="2"/>
        <v/>
      </c>
      <c r="J14" s="51" t="str">
        <f t="shared" si="3"/>
        <v/>
      </c>
      <c r="K14" s="51">
        <v>5280000</v>
      </c>
      <c r="L14" s="52">
        <v>42745</v>
      </c>
      <c r="M14" s="52">
        <v>42830</v>
      </c>
      <c r="N14" s="53">
        <f t="shared" si="11"/>
        <v>-85</v>
      </c>
      <c r="O14" s="51"/>
      <c r="P14" s="51"/>
      <c r="Q14" s="54"/>
      <c r="R14" s="198" t="str">
        <f t="shared" si="6"/>
        <v/>
      </c>
      <c r="S14" s="198">
        <f t="shared" si="7"/>
        <v>0</v>
      </c>
      <c r="T14" s="198" t="str">
        <f t="shared" si="8"/>
        <v/>
      </c>
      <c r="U14" s="198" t="str">
        <f t="shared" si="9"/>
        <v/>
      </c>
      <c r="V14" s="198" t="str">
        <f t="shared" si="10"/>
        <v/>
      </c>
    </row>
    <row r="15" spans="1:22">
      <c r="A15" s="56"/>
      <c r="B15" s="56"/>
      <c r="C15" s="58"/>
      <c r="D15" s="59"/>
      <c r="E15" s="51"/>
      <c r="F15" s="51" t="str">
        <f t="shared" si="0"/>
        <v/>
      </c>
      <c r="G15" s="51" t="str">
        <f t="shared" si="1"/>
        <v/>
      </c>
      <c r="H15" s="51"/>
      <c r="I15" s="51" t="str">
        <f t="shared" si="2"/>
        <v/>
      </c>
      <c r="J15" s="51" t="str">
        <f t="shared" si="3"/>
        <v/>
      </c>
      <c r="K15" s="51">
        <v>3000000</v>
      </c>
      <c r="L15" s="52">
        <v>42745</v>
      </c>
      <c r="M15" s="52">
        <v>42840</v>
      </c>
      <c r="N15" s="53">
        <f t="shared" si="11"/>
        <v>-95</v>
      </c>
      <c r="O15" s="51"/>
      <c r="P15" s="51"/>
      <c r="Q15" s="54"/>
      <c r="R15" s="198" t="str">
        <f t="shared" si="6"/>
        <v/>
      </c>
      <c r="S15" s="198">
        <f t="shared" si="7"/>
        <v>0</v>
      </c>
      <c r="T15" s="198" t="str">
        <f t="shared" si="8"/>
        <v/>
      </c>
      <c r="U15" s="198" t="str">
        <f t="shared" si="9"/>
        <v/>
      </c>
      <c r="V15" s="198" t="str">
        <f t="shared" si="10"/>
        <v/>
      </c>
    </row>
    <row r="16" spans="1:22">
      <c r="A16" s="56"/>
      <c r="B16" s="56"/>
      <c r="C16" s="58"/>
      <c r="D16" s="59"/>
      <c r="E16" s="51"/>
      <c r="F16" s="51" t="str">
        <f t="shared" si="0"/>
        <v/>
      </c>
      <c r="G16" s="51" t="str">
        <f t="shared" si="1"/>
        <v/>
      </c>
      <c r="H16" s="51"/>
      <c r="I16" s="51" t="str">
        <f t="shared" si="2"/>
        <v/>
      </c>
      <c r="J16" s="51" t="str">
        <f t="shared" si="3"/>
        <v/>
      </c>
      <c r="K16" s="51">
        <v>3540000</v>
      </c>
      <c r="L16" s="52">
        <v>42745</v>
      </c>
      <c r="M16" s="52">
        <v>42855</v>
      </c>
      <c r="N16" s="53">
        <f t="shared" si="11"/>
        <v>-110</v>
      </c>
      <c r="O16" s="51"/>
      <c r="P16" s="51"/>
      <c r="Q16" s="54"/>
      <c r="R16" s="198" t="str">
        <f t="shared" si="6"/>
        <v/>
      </c>
      <c r="S16" s="198">
        <f t="shared" si="7"/>
        <v>0</v>
      </c>
      <c r="T16" s="198" t="str">
        <f t="shared" si="8"/>
        <v/>
      </c>
      <c r="U16" s="198" t="str">
        <f t="shared" si="9"/>
        <v/>
      </c>
      <c r="V16" s="198" t="str">
        <f t="shared" si="10"/>
        <v/>
      </c>
    </row>
    <row r="17" spans="1:24" ht="19.5" customHeight="1">
      <c r="A17" s="56">
        <v>2</v>
      </c>
      <c r="B17" s="56">
        <v>1100000051</v>
      </c>
      <c r="C17" s="58">
        <v>42759</v>
      </c>
      <c r="D17" s="59">
        <v>42736</v>
      </c>
      <c r="E17" s="51">
        <v>11500000</v>
      </c>
      <c r="F17" s="51">
        <f t="shared" si="0"/>
        <v>-575000</v>
      </c>
      <c r="G17" s="51" t="str">
        <f t="shared" si="1"/>
        <v/>
      </c>
      <c r="H17" s="51"/>
      <c r="I17" s="51">
        <f t="shared" si="2"/>
        <v>10925000</v>
      </c>
      <c r="J17" s="51">
        <f t="shared" si="3"/>
        <v>13110000</v>
      </c>
      <c r="K17" s="51">
        <v>13110000</v>
      </c>
      <c r="L17" s="52">
        <f t="shared" si="4"/>
        <v>42849</v>
      </c>
      <c r="M17" s="52">
        <v>42926</v>
      </c>
      <c r="N17" s="53">
        <f t="shared" si="11"/>
        <v>-77</v>
      </c>
      <c r="O17" s="51" t="str">
        <f t="shared" ref="O17:O23" si="12">IFERROR(IF(J17=K17,"",J17-K17),"")</f>
        <v/>
      </c>
      <c r="P17" s="51" t="str">
        <f t="shared" si="5"/>
        <v/>
      </c>
      <c r="Q17" s="54"/>
      <c r="R17" s="198" t="str">
        <f t="shared" si="6"/>
        <v/>
      </c>
      <c r="S17" s="198" t="str">
        <f t="shared" si="7"/>
        <v/>
      </c>
      <c r="T17" s="198" t="str">
        <f t="shared" si="8"/>
        <v/>
      </c>
      <c r="U17" s="198" t="str">
        <f t="shared" si="9"/>
        <v/>
      </c>
      <c r="V17" s="198" t="str">
        <f t="shared" si="10"/>
        <v/>
      </c>
    </row>
    <row r="18" spans="1:24" ht="19.5" customHeight="1">
      <c r="A18" s="56">
        <v>3</v>
      </c>
      <c r="B18" s="56">
        <v>1100000052</v>
      </c>
      <c r="C18" s="61">
        <v>42817</v>
      </c>
      <c r="D18" s="59">
        <v>42767</v>
      </c>
      <c r="E18" s="51">
        <v>6730000</v>
      </c>
      <c r="F18" s="51">
        <f t="shared" si="0"/>
        <v>-336500</v>
      </c>
      <c r="G18" s="51" t="str">
        <f t="shared" si="1"/>
        <v/>
      </c>
      <c r="H18" s="51"/>
      <c r="I18" s="51">
        <f t="shared" si="2"/>
        <v>6393500</v>
      </c>
      <c r="J18" s="51">
        <f t="shared" si="3"/>
        <v>7672200</v>
      </c>
      <c r="K18" s="51"/>
      <c r="L18" s="52">
        <f t="shared" si="4"/>
        <v>42907</v>
      </c>
      <c r="M18" s="52">
        <v>43044</v>
      </c>
      <c r="N18" s="53">
        <f t="shared" si="11"/>
        <v>-137</v>
      </c>
      <c r="O18" s="51">
        <f t="shared" si="12"/>
        <v>7672200</v>
      </c>
      <c r="P18" s="51">
        <f t="shared" si="5"/>
        <v>7672200</v>
      </c>
      <c r="Q18" s="54"/>
      <c r="R18" s="198" t="str">
        <f t="shared" si="6"/>
        <v/>
      </c>
      <c r="S18" s="198" t="str">
        <f t="shared" si="7"/>
        <v/>
      </c>
      <c r="T18" s="198">
        <f t="shared" si="8"/>
        <v>7672200</v>
      </c>
      <c r="U18" s="198" t="str">
        <f t="shared" si="9"/>
        <v/>
      </c>
      <c r="V18" s="198" t="str">
        <f t="shared" si="10"/>
        <v/>
      </c>
    </row>
    <row r="19" spans="1:24" ht="19.5" customHeight="1">
      <c r="A19" s="56">
        <v>4</v>
      </c>
      <c r="B19" s="56">
        <v>1100000053</v>
      </c>
      <c r="C19" s="52">
        <v>42836</v>
      </c>
      <c r="D19" s="59">
        <v>42795</v>
      </c>
      <c r="E19" s="51">
        <v>7250000</v>
      </c>
      <c r="F19" s="51">
        <f t="shared" si="0"/>
        <v>-362500</v>
      </c>
      <c r="G19" s="51" t="str">
        <f t="shared" si="1"/>
        <v/>
      </c>
      <c r="H19" s="51"/>
      <c r="I19" s="51">
        <f t="shared" si="2"/>
        <v>6887500</v>
      </c>
      <c r="J19" s="51">
        <f t="shared" si="3"/>
        <v>8265000</v>
      </c>
      <c r="K19" s="51">
        <v>8265000</v>
      </c>
      <c r="L19" s="52">
        <f t="shared" si="4"/>
        <v>42926</v>
      </c>
      <c r="M19" s="52">
        <v>43044</v>
      </c>
      <c r="N19" s="53">
        <f t="shared" si="11"/>
        <v>-118</v>
      </c>
      <c r="O19" s="51" t="str">
        <f t="shared" si="12"/>
        <v/>
      </c>
      <c r="P19" s="51" t="str">
        <f t="shared" si="5"/>
        <v/>
      </c>
      <c r="Q19" s="54"/>
      <c r="R19" s="198" t="str">
        <f t="shared" si="6"/>
        <v/>
      </c>
      <c r="S19" s="198" t="str">
        <f t="shared" si="7"/>
        <v/>
      </c>
      <c r="T19" s="198" t="str">
        <f t="shared" si="8"/>
        <v/>
      </c>
      <c r="U19" s="198" t="str">
        <f t="shared" si="9"/>
        <v/>
      </c>
      <c r="V19" s="198" t="str">
        <f t="shared" si="10"/>
        <v/>
      </c>
    </row>
    <row r="20" spans="1:24" ht="19.5" customHeight="1">
      <c r="A20" s="56">
        <v>5</v>
      </c>
      <c r="B20" s="56">
        <v>1100000054</v>
      </c>
      <c r="C20" s="52">
        <v>42853</v>
      </c>
      <c r="D20" s="59">
        <v>42826</v>
      </c>
      <c r="E20" s="51">
        <v>13200000</v>
      </c>
      <c r="F20" s="51">
        <f t="shared" si="0"/>
        <v>-660000</v>
      </c>
      <c r="G20" s="51" t="str">
        <f t="shared" si="1"/>
        <v/>
      </c>
      <c r="H20" s="51"/>
      <c r="I20" s="51">
        <f t="shared" si="2"/>
        <v>12540000</v>
      </c>
      <c r="J20" s="51">
        <f t="shared" si="3"/>
        <v>15048000</v>
      </c>
      <c r="K20" s="51">
        <f>K21</f>
        <v>7000000</v>
      </c>
      <c r="L20" s="52">
        <f t="shared" si="4"/>
        <v>42943</v>
      </c>
      <c r="M20" s="52"/>
      <c r="N20" s="53"/>
      <c r="O20" s="51">
        <f t="shared" si="12"/>
        <v>8048000</v>
      </c>
      <c r="P20" s="51">
        <f t="shared" si="5"/>
        <v>8048000</v>
      </c>
      <c r="Q20" s="54"/>
      <c r="R20" s="198" t="str">
        <f t="shared" si="6"/>
        <v/>
      </c>
      <c r="S20" s="198" t="str">
        <f t="shared" si="7"/>
        <v/>
      </c>
      <c r="T20" s="198" t="str">
        <f t="shared" si="8"/>
        <v/>
      </c>
      <c r="U20" s="198" t="str">
        <f t="shared" si="9"/>
        <v/>
      </c>
      <c r="V20" s="198" t="str">
        <f t="shared" si="10"/>
        <v/>
      </c>
    </row>
    <row r="21" spans="1:24" ht="19.5" customHeight="1">
      <c r="A21" s="56"/>
      <c r="B21" s="56"/>
      <c r="C21" s="52"/>
      <c r="D21" s="59"/>
      <c r="E21" s="51"/>
      <c r="F21" s="51"/>
      <c r="G21" s="51"/>
      <c r="H21" s="51"/>
      <c r="I21" s="51"/>
      <c r="J21" s="51"/>
      <c r="K21" s="51">
        <v>7000000</v>
      </c>
      <c r="L21" s="52">
        <v>42943</v>
      </c>
      <c r="M21" s="52">
        <v>43008</v>
      </c>
      <c r="N21" s="53">
        <f t="shared" si="11"/>
        <v>-65</v>
      </c>
      <c r="O21" s="51"/>
      <c r="P21" s="51"/>
      <c r="Q21" s="54"/>
      <c r="R21" s="198" t="str">
        <f t="shared" si="6"/>
        <v/>
      </c>
      <c r="S21" s="198">
        <f t="shared" si="7"/>
        <v>0</v>
      </c>
      <c r="T21" s="198" t="str">
        <f t="shared" si="8"/>
        <v/>
      </c>
      <c r="U21" s="198" t="str">
        <f t="shared" si="9"/>
        <v/>
      </c>
      <c r="V21" s="198" t="str">
        <f t="shared" si="10"/>
        <v/>
      </c>
    </row>
    <row r="22" spans="1:24" ht="19.5" customHeight="1">
      <c r="A22" s="56"/>
      <c r="B22" s="56"/>
      <c r="C22" s="52"/>
      <c r="D22" s="59"/>
      <c r="E22" s="51"/>
      <c r="F22" s="51"/>
      <c r="G22" s="51"/>
      <c r="H22" s="51"/>
      <c r="I22" s="51"/>
      <c r="J22" s="51"/>
      <c r="K22" s="51">
        <v>8048000</v>
      </c>
      <c r="L22" s="52">
        <v>42943</v>
      </c>
      <c r="M22" s="52">
        <v>43023</v>
      </c>
      <c r="N22" s="53">
        <f t="shared" si="11"/>
        <v>-80</v>
      </c>
      <c r="O22" s="51"/>
      <c r="P22" s="51"/>
      <c r="Q22" s="54"/>
      <c r="R22" s="198" t="str">
        <f t="shared" si="6"/>
        <v/>
      </c>
      <c r="S22" s="198">
        <f t="shared" si="7"/>
        <v>0</v>
      </c>
      <c r="T22" s="198" t="str">
        <f t="shared" si="8"/>
        <v/>
      </c>
      <c r="U22" s="198" t="str">
        <f t="shared" si="9"/>
        <v/>
      </c>
      <c r="V22" s="198" t="str">
        <f t="shared" si="10"/>
        <v/>
      </c>
    </row>
    <row r="23" spans="1:24" ht="19.5" customHeight="1">
      <c r="A23" s="56"/>
      <c r="B23" s="56"/>
      <c r="C23" s="52"/>
      <c r="D23" s="59"/>
      <c r="E23" s="51"/>
      <c r="F23" s="51" t="str">
        <f t="shared" si="0"/>
        <v/>
      </c>
      <c r="G23" s="51" t="str">
        <f t="shared" si="1"/>
        <v/>
      </c>
      <c r="H23" s="51"/>
      <c r="I23" s="51" t="str">
        <f t="shared" si="2"/>
        <v/>
      </c>
      <c r="J23" s="51" t="str">
        <f t="shared" si="3"/>
        <v/>
      </c>
      <c r="K23" s="51"/>
      <c r="L23" s="52" t="str">
        <f t="shared" si="4"/>
        <v/>
      </c>
      <c r="M23" s="52"/>
      <c r="N23" s="53" t="str">
        <f t="shared" si="11"/>
        <v/>
      </c>
      <c r="O23" s="51" t="str">
        <f t="shared" si="12"/>
        <v/>
      </c>
      <c r="P23" s="51" t="str">
        <f t="shared" si="5"/>
        <v/>
      </c>
      <c r="Q23" s="54"/>
      <c r="R23" s="198" t="str">
        <f t="shared" si="6"/>
        <v/>
      </c>
      <c r="S23" s="198" t="str">
        <f t="shared" si="7"/>
        <v/>
      </c>
      <c r="T23" s="198" t="str">
        <f t="shared" si="8"/>
        <v/>
      </c>
      <c r="U23" s="198" t="str">
        <f t="shared" si="9"/>
        <v/>
      </c>
      <c r="V23" s="198" t="str">
        <f t="shared" si="10"/>
        <v/>
      </c>
    </row>
    <row r="24" spans="1:24" ht="19.5" customHeight="1" thickBot="1">
      <c r="A24" s="56"/>
      <c r="B24" s="57"/>
      <c r="C24" s="58"/>
      <c r="D24" s="59"/>
      <c r="E24" s="51"/>
      <c r="F24" s="51"/>
      <c r="G24" s="51"/>
      <c r="H24" s="51"/>
      <c r="I24" s="51"/>
      <c r="J24" s="51"/>
      <c r="K24" s="51"/>
      <c r="L24" s="52"/>
      <c r="M24" s="52"/>
      <c r="N24" s="62"/>
      <c r="O24" s="51"/>
      <c r="P24" s="57"/>
      <c r="Q24" s="54"/>
      <c r="R24" s="198" t="str">
        <f t="shared" si="6"/>
        <v/>
      </c>
      <c r="S24" s="198" t="str">
        <f t="shared" si="7"/>
        <v/>
      </c>
      <c r="T24" s="198" t="str">
        <f t="shared" si="8"/>
        <v/>
      </c>
      <c r="U24" s="198" t="str">
        <f t="shared" si="9"/>
        <v/>
      </c>
      <c r="V24" s="198" t="str">
        <f t="shared" si="10"/>
        <v/>
      </c>
    </row>
    <row r="25" spans="1:24" s="54" customFormat="1" ht="20.100000000000001" customHeight="1" thickBot="1">
      <c r="A25" s="63"/>
      <c r="B25" s="64" t="s">
        <v>58</v>
      </c>
      <c r="C25" s="64"/>
      <c r="D25" s="64"/>
      <c r="E25" s="65">
        <f t="shared" ref="E25:J25" si="13">SUM(E12:E24)</f>
        <v>51680000</v>
      </c>
      <c r="F25" s="65">
        <f t="shared" si="13"/>
        <v>-2584000</v>
      </c>
      <c r="G25" s="65">
        <f t="shared" si="13"/>
        <v>0</v>
      </c>
      <c r="H25" s="65">
        <f t="shared" si="13"/>
        <v>0</v>
      </c>
      <c r="I25" s="65">
        <f t="shared" si="13"/>
        <v>49096000</v>
      </c>
      <c r="J25" s="65">
        <f t="shared" si="13"/>
        <v>58915200</v>
      </c>
      <c r="K25" s="65">
        <f>K12+K17+K18+K19+K20</f>
        <v>39655000</v>
      </c>
      <c r="L25" s="66"/>
      <c r="M25" s="66"/>
      <c r="N25" s="66"/>
      <c r="O25" s="65">
        <f>SUM(O12:O24)</f>
        <v>19260200</v>
      </c>
      <c r="P25" s="67">
        <f>SUM(P12:P24)</f>
        <v>19260200</v>
      </c>
      <c r="R25" s="68">
        <f>SUM(R12:R24)</f>
        <v>0</v>
      </c>
      <c r="S25" s="68">
        <f>SUM(S12:S24)</f>
        <v>0</v>
      </c>
      <c r="T25" s="68">
        <f>SUM(T12:T24)</f>
        <v>7672200</v>
      </c>
      <c r="U25" s="68">
        <f>SUM(U12:U24)</f>
        <v>0</v>
      </c>
      <c r="V25" s="68">
        <f>SUM(V12:V24)</f>
        <v>0</v>
      </c>
      <c r="X25" s="68"/>
    </row>
    <row r="26" spans="1:24" ht="21" customHeight="1">
      <c r="A26" s="69"/>
      <c r="B26" s="70"/>
      <c r="C26" s="70"/>
      <c r="D26" s="71" t="s">
        <v>59</v>
      </c>
      <c r="E26" s="72">
        <f>+E25/$M$7</f>
        <v>0.14979710144927535</v>
      </c>
      <c r="F26" s="70"/>
      <c r="G26" s="70"/>
      <c r="H26" s="70"/>
      <c r="I26" s="70"/>
      <c r="J26" s="71" t="s">
        <v>60</v>
      </c>
      <c r="K26" s="72">
        <f>+K25/J25</f>
        <v>0.67308606267991966</v>
      </c>
      <c r="L26" s="70"/>
      <c r="M26" s="70"/>
      <c r="N26" s="70"/>
      <c r="O26" s="70"/>
      <c r="P26" s="73"/>
      <c r="Q26" s="54"/>
      <c r="R26" s="54"/>
      <c r="S26" s="54"/>
      <c r="T26" s="54"/>
      <c r="U26" s="54"/>
      <c r="V26" s="54"/>
    </row>
    <row r="27" spans="1:24" ht="21" customHeight="1" thickBot="1">
      <c r="A27" s="74"/>
      <c r="B27" s="75"/>
      <c r="C27" s="75"/>
      <c r="D27" s="76" t="s">
        <v>61</v>
      </c>
      <c r="E27" s="77">
        <f>+$M$7-$E$25</f>
        <v>293320000</v>
      </c>
      <c r="F27" s="78">
        <f>+E27/M7</f>
        <v>0.85020289855072462</v>
      </c>
      <c r="G27" s="75"/>
      <c r="H27" s="75"/>
      <c r="I27" s="75"/>
      <c r="J27" s="75"/>
      <c r="K27" s="75"/>
      <c r="L27" s="75"/>
      <c r="M27" s="75"/>
      <c r="N27" s="75"/>
      <c r="O27" s="75"/>
      <c r="P27" s="79"/>
      <c r="Q27" s="54"/>
      <c r="R27" s="54"/>
      <c r="S27" s="54"/>
      <c r="T27" s="54"/>
      <c r="U27" s="54"/>
      <c r="V27" s="54"/>
    </row>
    <row r="28" spans="1:24">
      <c r="A28" s="54"/>
      <c r="C28" s="69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3"/>
      <c r="P28" s="54"/>
      <c r="Q28" s="54"/>
      <c r="R28" s="54"/>
      <c r="S28" s="54"/>
      <c r="T28" s="54"/>
      <c r="U28" s="54"/>
      <c r="V28" s="54"/>
    </row>
    <row r="29" spans="1:24" ht="21">
      <c r="A29" s="54"/>
      <c r="C29" s="165"/>
      <c r="D29" s="166" t="s">
        <v>62</v>
      </c>
      <c r="E29" s="166"/>
      <c r="F29" s="166"/>
      <c r="G29" s="166"/>
      <c r="H29" s="166"/>
      <c r="I29" s="166"/>
      <c r="J29" s="167"/>
      <c r="K29" s="167"/>
      <c r="L29" s="167"/>
      <c r="M29" s="167"/>
      <c r="N29" s="167"/>
      <c r="O29" s="168"/>
      <c r="P29" s="54"/>
      <c r="Q29" s="54"/>
      <c r="R29" s="54"/>
      <c r="S29" s="54"/>
      <c r="T29" s="54"/>
      <c r="U29" s="54"/>
      <c r="V29" s="54"/>
    </row>
    <row r="30" spans="1:24" ht="17.25" thickBot="1">
      <c r="A30" s="54"/>
      <c r="C30" s="165"/>
      <c r="D30" s="167"/>
      <c r="E30" s="167"/>
      <c r="F30" s="167"/>
      <c r="G30" s="167"/>
      <c r="H30" s="169"/>
      <c r="I30" s="167"/>
      <c r="J30" s="167"/>
      <c r="K30" s="167"/>
      <c r="L30" s="167"/>
      <c r="M30" s="167"/>
      <c r="N30" s="167"/>
      <c r="O30" s="168"/>
      <c r="P30" s="54"/>
      <c r="Q30" s="54"/>
      <c r="R30" s="54"/>
      <c r="S30" s="54"/>
      <c r="T30" s="54"/>
      <c r="U30" s="54"/>
      <c r="V30" s="54"/>
    </row>
    <row r="31" spans="1:24" ht="18" customHeight="1" thickBot="1">
      <c r="A31" s="54"/>
      <c r="C31" s="165"/>
      <c r="D31" s="298" t="s">
        <v>63</v>
      </c>
      <c r="E31" s="299"/>
      <c r="F31" s="300"/>
      <c r="G31" s="170" t="s">
        <v>64</v>
      </c>
      <c r="H31" s="171">
        <f>M7</f>
        <v>345000000</v>
      </c>
      <c r="I31" s="172"/>
      <c r="J31" s="173"/>
      <c r="K31" s="172"/>
      <c r="L31" s="172"/>
      <c r="M31" s="172"/>
      <c r="N31" s="172"/>
      <c r="O31" s="174"/>
      <c r="P31" s="54"/>
      <c r="Q31" s="54"/>
      <c r="R31" s="54"/>
      <c r="S31" s="54"/>
      <c r="T31" s="175"/>
      <c r="U31" s="54"/>
      <c r="V31" s="54"/>
    </row>
    <row r="32" spans="1:24" ht="18" customHeight="1" thickBot="1">
      <c r="A32" s="54"/>
      <c r="C32" s="165"/>
      <c r="D32" s="170"/>
      <c r="E32" s="170"/>
      <c r="F32" s="170"/>
      <c r="G32" s="170"/>
      <c r="H32" s="172"/>
      <c r="I32" s="172"/>
      <c r="J32" s="172"/>
      <c r="K32" s="172"/>
      <c r="L32" s="172"/>
      <c r="M32" s="172"/>
      <c r="N32" s="172"/>
      <c r="O32" s="174"/>
      <c r="P32" s="54"/>
      <c r="Q32" s="54"/>
      <c r="R32" s="54"/>
      <c r="S32" s="54"/>
      <c r="T32" s="54"/>
      <c r="U32" s="54"/>
      <c r="V32" s="54"/>
    </row>
    <row r="33" spans="1:22" ht="17.25" thickBot="1">
      <c r="A33" s="54"/>
      <c r="C33" s="165"/>
      <c r="D33" s="301" t="s">
        <v>65</v>
      </c>
      <c r="E33" s="302"/>
      <c r="F33" s="303"/>
      <c r="G33" s="170" t="s">
        <v>64</v>
      </c>
      <c r="H33" s="176">
        <f>E25</f>
        <v>51680000</v>
      </c>
      <c r="I33" s="172"/>
      <c r="J33" s="172"/>
      <c r="K33" s="95">
        <f>H33/H31</f>
        <v>0.14979710144927535</v>
      </c>
      <c r="L33" s="177" t="s">
        <v>66</v>
      </c>
      <c r="M33" s="178"/>
      <c r="N33" s="178"/>
      <c r="O33" s="174"/>
      <c r="P33" s="54"/>
      <c r="Q33" s="54"/>
      <c r="R33" s="54"/>
      <c r="S33" s="54"/>
      <c r="T33" s="54"/>
      <c r="U33" s="54"/>
      <c r="V33" s="54"/>
    </row>
    <row r="34" spans="1:22" ht="17.25" thickBot="1">
      <c r="C34" s="179"/>
      <c r="D34" s="170"/>
      <c r="E34" s="170"/>
      <c r="F34" s="170"/>
      <c r="G34" s="170"/>
      <c r="H34" s="172"/>
      <c r="I34" s="172"/>
      <c r="J34" s="172"/>
      <c r="K34" s="172"/>
      <c r="L34" s="180"/>
      <c r="M34" s="172"/>
      <c r="N34" s="172"/>
      <c r="O34" s="174"/>
    </row>
    <row r="35" spans="1:22" ht="17.25" thickBot="1">
      <c r="C35" s="179"/>
      <c r="D35" s="304" t="s">
        <v>92</v>
      </c>
      <c r="E35" s="305"/>
      <c r="F35" s="306"/>
      <c r="G35" s="170" t="s">
        <v>68</v>
      </c>
      <c r="H35" s="101">
        <f>K25</f>
        <v>39655000</v>
      </c>
      <c r="I35" s="172"/>
      <c r="J35" s="172"/>
      <c r="K35" s="102">
        <f>H35/J25</f>
        <v>0.67308606267991966</v>
      </c>
      <c r="L35" s="181" t="s">
        <v>69</v>
      </c>
      <c r="M35" s="182"/>
      <c r="N35" s="182"/>
      <c r="O35" s="174"/>
    </row>
    <row r="36" spans="1:22" ht="17.25" thickBot="1">
      <c r="C36" s="179"/>
      <c r="D36" s="170"/>
      <c r="E36" s="170"/>
      <c r="F36" s="170"/>
      <c r="G36" s="170"/>
      <c r="H36" s="172"/>
      <c r="I36" s="172"/>
      <c r="J36" s="172"/>
      <c r="K36" s="172"/>
      <c r="L36" s="180"/>
      <c r="M36" s="172"/>
      <c r="N36" s="172"/>
      <c r="O36" s="174"/>
    </row>
    <row r="37" spans="1:22" ht="17.25" thickBot="1">
      <c r="C37" s="179"/>
      <c r="D37" s="304" t="s">
        <v>70</v>
      </c>
      <c r="E37" s="305"/>
      <c r="F37" s="306"/>
      <c r="G37" s="170" t="s">
        <v>68</v>
      </c>
      <c r="H37" s="106">
        <f>O25</f>
        <v>19260200</v>
      </c>
      <c r="I37" s="172"/>
      <c r="J37" s="172"/>
      <c r="K37" s="107">
        <f>H37/J25</f>
        <v>0.32691393732008039</v>
      </c>
      <c r="L37" s="181" t="s">
        <v>69</v>
      </c>
      <c r="M37" s="183"/>
      <c r="N37" s="183"/>
      <c r="O37" s="174"/>
    </row>
    <row r="38" spans="1:22" ht="17.25" thickBot="1">
      <c r="C38" s="179"/>
      <c r="D38" s="170"/>
      <c r="E38" s="170"/>
      <c r="F38" s="170"/>
      <c r="G38" s="170"/>
      <c r="H38" s="172"/>
      <c r="I38" s="172"/>
      <c r="J38" s="172"/>
      <c r="K38" s="172"/>
      <c r="L38" s="180"/>
      <c r="M38" s="172"/>
      <c r="N38" s="172"/>
      <c r="O38" s="174"/>
    </row>
    <row r="39" spans="1:22" ht="17.25" thickBot="1">
      <c r="C39" s="179"/>
      <c r="D39" s="304" t="s">
        <v>93</v>
      </c>
      <c r="E39" s="305"/>
      <c r="F39" s="306"/>
      <c r="G39" s="170" t="s">
        <v>68</v>
      </c>
      <c r="H39" s="110">
        <f>P25</f>
        <v>19260200</v>
      </c>
      <c r="I39" s="172"/>
      <c r="J39" s="172"/>
      <c r="K39" s="111">
        <f>H39/J25</f>
        <v>0.32691393732008039</v>
      </c>
      <c r="L39" s="181" t="s">
        <v>69</v>
      </c>
      <c r="M39" s="182"/>
      <c r="N39" s="182"/>
      <c r="O39" s="174"/>
    </row>
    <row r="40" spans="1:22" ht="17.25" thickBot="1">
      <c r="C40" s="184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6"/>
    </row>
  </sheetData>
  <mergeCells count="20">
    <mergeCell ref="D37:F37"/>
    <mergeCell ref="D39:F39"/>
    <mergeCell ref="M7:N7"/>
    <mergeCell ref="M8:N8"/>
    <mergeCell ref="O10:P10"/>
    <mergeCell ref="D31:F31"/>
    <mergeCell ref="D33:F33"/>
    <mergeCell ref="D35:F35"/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workbookViewId="0">
      <selection activeCell="C5" sqref="C5"/>
    </sheetView>
  </sheetViews>
  <sheetFormatPr baseColWidth="10" defaultColWidth="11.42578125" defaultRowHeight="16.5"/>
  <cols>
    <col min="1" max="1" width="8" style="5" customWidth="1"/>
    <col min="2" max="4" width="11.42578125" style="5"/>
    <col min="5" max="5" width="13.42578125" style="5" customWidth="1"/>
    <col min="6" max="6" width="12.85546875" style="5" bestFit="1" customWidth="1"/>
    <col min="7" max="7" width="12.5703125" style="5" customWidth="1"/>
    <col min="8" max="8" width="11.42578125" style="5"/>
    <col min="9" max="9" width="14.140625" style="5" customWidth="1"/>
    <col min="10" max="10" width="13.28515625" style="5" customWidth="1"/>
    <col min="11" max="11" width="13" style="5" customWidth="1"/>
    <col min="12" max="13" width="11.42578125" style="5"/>
    <col min="14" max="14" width="7" style="5" bestFit="1" customWidth="1"/>
    <col min="15" max="15" width="14.28515625" style="5" customWidth="1"/>
    <col min="16" max="16" width="12.5703125" style="5" customWidth="1"/>
    <col min="17" max="17" width="11.42578125" style="5"/>
    <col min="18" max="19" width="8.7109375" style="5" bestFit="1" customWidth="1"/>
    <col min="20" max="20" width="7.85546875" style="5" bestFit="1" customWidth="1"/>
    <col min="21" max="22" width="7.42578125" style="5" bestFit="1" customWidth="1"/>
    <col min="23" max="16384" width="11.42578125" style="5"/>
  </cols>
  <sheetData>
    <row r="1" spans="1:22" ht="21">
      <c r="A1" s="195" t="s">
        <v>11</v>
      </c>
      <c r="B1" s="199"/>
      <c r="C1" s="286" t="s">
        <v>108</v>
      </c>
      <c r="D1" s="286"/>
      <c r="E1" s="286"/>
      <c r="F1" s="315" t="s">
        <v>109</v>
      </c>
      <c r="G1" s="267" t="s">
        <v>12</v>
      </c>
      <c r="H1" s="268"/>
      <c r="I1" s="268"/>
      <c r="J1" s="269"/>
      <c r="K1" s="118" t="s">
        <v>13</v>
      </c>
      <c r="L1" s="119"/>
      <c r="M1" s="293">
        <v>103217637.42</v>
      </c>
      <c r="N1" s="293"/>
      <c r="O1" s="120" t="s">
        <v>14</v>
      </c>
      <c r="P1" s="121">
        <v>37341</v>
      </c>
    </row>
    <row r="2" spans="1:22" ht="21">
      <c r="A2" s="196"/>
      <c r="B2" s="127"/>
      <c r="C2" s="287"/>
      <c r="D2" s="287"/>
      <c r="E2" s="287"/>
      <c r="F2" s="316"/>
      <c r="G2" s="6" t="s">
        <v>15</v>
      </c>
      <c r="H2" s="7"/>
      <c r="I2" s="8">
        <v>30</v>
      </c>
      <c r="J2" s="9"/>
      <c r="K2" s="122" t="s">
        <v>110</v>
      </c>
      <c r="L2" s="123"/>
      <c r="M2" s="294">
        <f>1262500+1500291.8+1882149.25-247561.35+2262663.9</f>
        <v>6660043.5999999996</v>
      </c>
      <c r="N2" s="294"/>
      <c r="O2" s="242" t="s">
        <v>111</v>
      </c>
      <c r="P2" s="243">
        <v>1600000</v>
      </c>
      <c r="Q2" s="241"/>
    </row>
    <row r="3" spans="1:22">
      <c r="A3" s="196" t="s">
        <v>17</v>
      </c>
      <c r="B3" s="127"/>
      <c r="C3" s="287" t="s">
        <v>108</v>
      </c>
      <c r="D3" s="287"/>
      <c r="E3" s="287"/>
      <c r="F3" s="125"/>
      <c r="G3" s="6" t="s">
        <v>19</v>
      </c>
      <c r="H3" s="7"/>
      <c r="I3" s="14" t="s">
        <v>20</v>
      </c>
      <c r="J3" s="15"/>
      <c r="K3" s="122" t="s">
        <v>112</v>
      </c>
      <c r="L3" s="123"/>
      <c r="M3" s="294">
        <v>3500000</v>
      </c>
      <c r="N3" s="294">
        <v>3500000</v>
      </c>
      <c r="O3" s="242" t="s">
        <v>113</v>
      </c>
      <c r="P3" s="243">
        <v>4500000</v>
      </c>
      <c r="Q3" s="241"/>
    </row>
    <row r="4" spans="1:22">
      <c r="A4" s="196"/>
      <c r="B4" s="127"/>
      <c r="C4" s="287"/>
      <c r="D4" s="287"/>
      <c r="E4" s="287"/>
      <c r="F4" s="126"/>
      <c r="G4" s="6" t="s">
        <v>22</v>
      </c>
      <c r="H4" s="7"/>
      <c r="I4" s="17">
        <v>0</v>
      </c>
      <c r="J4" s="15"/>
      <c r="K4" s="122" t="s">
        <v>114</v>
      </c>
      <c r="L4" s="123"/>
      <c r="M4" s="294">
        <v>1148502.3999999999</v>
      </c>
      <c r="N4" s="294">
        <v>1148502.3999999999</v>
      </c>
      <c r="O4" s="242" t="s">
        <v>115</v>
      </c>
      <c r="P4" s="243">
        <v>122000</v>
      </c>
      <c r="Q4" s="241"/>
    </row>
    <row r="5" spans="1:22">
      <c r="A5" s="196" t="s">
        <v>24</v>
      </c>
      <c r="B5" s="127"/>
      <c r="C5" s="127"/>
      <c r="D5" s="128"/>
      <c r="E5" s="129"/>
      <c r="F5" s="130"/>
      <c r="G5" s="6" t="s">
        <v>25</v>
      </c>
      <c r="H5" s="7"/>
      <c r="I5" s="14"/>
      <c r="J5" s="15" t="s">
        <v>26</v>
      </c>
      <c r="K5" s="122" t="s">
        <v>116</v>
      </c>
      <c r="L5" s="123"/>
      <c r="M5" s="294">
        <v>2381801</v>
      </c>
      <c r="N5" s="294">
        <v>2381801</v>
      </c>
      <c r="O5" s="244" t="s">
        <v>117</v>
      </c>
      <c r="P5" s="243">
        <f>1750000+58170+416800+1077824.74</f>
        <v>3302794.74</v>
      </c>
      <c r="Q5" s="241"/>
    </row>
    <row r="6" spans="1:22">
      <c r="A6" s="196" t="s">
        <v>87</v>
      </c>
      <c r="B6" s="127"/>
      <c r="C6" s="127"/>
      <c r="D6" s="209" t="s">
        <v>118</v>
      </c>
      <c r="E6" s="132"/>
      <c r="F6" s="133"/>
      <c r="G6" s="6"/>
      <c r="H6" s="14" t="s">
        <v>28</v>
      </c>
      <c r="I6" s="245">
        <f>+F12/M1</f>
        <v>0.2473240101023037</v>
      </c>
      <c r="J6" s="15" t="s">
        <v>29</v>
      </c>
      <c r="K6" s="122" t="s">
        <v>119</v>
      </c>
      <c r="L6" s="123"/>
      <c r="M6" s="294">
        <v>400000</v>
      </c>
      <c r="N6" s="294">
        <v>400000</v>
      </c>
      <c r="O6" s="242" t="s">
        <v>120</v>
      </c>
      <c r="P6" s="243">
        <f>1526000.3+609175.28</f>
        <v>2135175.58</v>
      </c>
    </row>
    <row r="7" spans="1:22">
      <c r="A7" s="196" t="s">
        <v>88</v>
      </c>
      <c r="B7" s="127"/>
      <c r="C7" s="127"/>
      <c r="D7" s="209" t="s">
        <v>121</v>
      </c>
      <c r="E7" s="132"/>
      <c r="F7" s="133"/>
      <c r="G7" s="6"/>
      <c r="H7" s="14" t="s">
        <v>30</v>
      </c>
      <c r="I7" s="27">
        <v>0.05</v>
      </c>
      <c r="J7" s="15" t="s">
        <v>122</v>
      </c>
      <c r="K7" s="135" t="s">
        <v>31</v>
      </c>
      <c r="L7" s="136"/>
      <c r="M7" s="296">
        <f>SUM(M1:M6)+SUM(P2:P8)</f>
        <v>128967954.74000001</v>
      </c>
      <c r="N7" s="296"/>
      <c r="O7" s="242"/>
      <c r="P7" s="243"/>
    </row>
    <row r="8" spans="1:22">
      <c r="A8" s="137" t="s">
        <v>89</v>
      </c>
      <c r="B8" s="138"/>
      <c r="C8" s="138"/>
      <c r="D8" s="210" t="s">
        <v>121</v>
      </c>
      <c r="E8" s="140"/>
      <c r="F8" s="141"/>
      <c r="G8" s="35"/>
      <c r="H8" s="36" t="s">
        <v>32</v>
      </c>
      <c r="I8" s="37">
        <v>0.05</v>
      </c>
      <c r="J8" s="38" t="s">
        <v>29</v>
      </c>
      <c r="K8" s="142" t="s">
        <v>33</v>
      </c>
      <c r="L8" s="143"/>
      <c r="M8" s="297">
        <f>+M7*(1+$I$4)</f>
        <v>128967954.74000001</v>
      </c>
      <c r="N8" s="297"/>
      <c r="O8" s="246"/>
      <c r="P8" s="247"/>
    </row>
    <row r="10" spans="1:22">
      <c r="B10" s="5" t="s">
        <v>34</v>
      </c>
      <c r="C10" s="43">
        <v>43069</v>
      </c>
      <c r="E10" s="44"/>
      <c r="F10" s="46">
        <v>0.24732399999999999</v>
      </c>
      <c r="G10" s="46"/>
      <c r="H10" s="47"/>
      <c r="O10" s="313" t="s">
        <v>35</v>
      </c>
      <c r="P10" s="314"/>
    </row>
    <row r="11" spans="1:22" ht="60">
      <c r="A11" s="147" t="s">
        <v>36</v>
      </c>
      <c r="B11" s="148" t="s">
        <v>37</v>
      </c>
      <c r="C11" s="148" t="s">
        <v>38</v>
      </c>
      <c r="D11" s="147" t="s">
        <v>39</v>
      </c>
      <c r="E11" s="148" t="s">
        <v>40</v>
      </c>
      <c r="F11" s="148" t="s">
        <v>41</v>
      </c>
      <c r="G11" s="148" t="s">
        <v>42</v>
      </c>
      <c r="H11" s="148" t="s">
        <v>43</v>
      </c>
      <c r="I11" s="148" t="s">
        <v>44</v>
      </c>
      <c r="J11" s="148" t="s">
        <v>45</v>
      </c>
      <c r="K11" s="148" t="s">
        <v>46</v>
      </c>
      <c r="L11" s="148" t="s">
        <v>47</v>
      </c>
      <c r="M11" s="148" t="s">
        <v>48</v>
      </c>
      <c r="N11" s="148" t="s">
        <v>49</v>
      </c>
      <c r="O11" s="148" t="s">
        <v>50</v>
      </c>
      <c r="P11" s="148" t="s">
        <v>51</v>
      </c>
      <c r="R11" s="217" t="s">
        <v>52</v>
      </c>
      <c r="S11" s="217" t="s">
        <v>53</v>
      </c>
      <c r="T11" s="217" t="s">
        <v>54</v>
      </c>
      <c r="U11" s="217" t="s">
        <v>55</v>
      </c>
      <c r="V11" s="217" t="s">
        <v>56</v>
      </c>
    </row>
    <row r="12" spans="1:22">
      <c r="A12" s="218">
        <v>1</v>
      </c>
      <c r="B12" s="248">
        <v>1133002572</v>
      </c>
      <c r="C12" s="220">
        <v>42703</v>
      </c>
      <c r="D12" s="221">
        <v>42705</v>
      </c>
      <c r="E12" s="222"/>
      <c r="F12" s="222">
        <v>25528200</v>
      </c>
      <c r="G12" s="51">
        <f t="shared" ref="G12:G17" si="0">E12*$G$10</f>
        <v>0</v>
      </c>
      <c r="H12" s="222">
        <f>+E12*H9</f>
        <v>0</v>
      </c>
      <c r="I12" s="51">
        <f>+E12+F12-G12-H12</f>
        <v>25528200</v>
      </c>
      <c r="J12" s="51">
        <f>+I12*(1+$I$4)</f>
        <v>25528200</v>
      </c>
      <c r="K12" s="51">
        <f>J12</f>
        <v>25528200</v>
      </c>
      <c r="L12" s="52">
        <v>42710</v>
      </c>
      <c r="M12" s="52">
        <v>42733</v>
      </c>
      <c r="N12" s="53">
        <f t="shared" ref="N12:N36" si="1">-IF(L12=0,,IF(M12=0,($C$10-L12),M12-L12))</f>
        <v>-23</v>
      </c>
      <c r="O12" s="51">
        <f t="shared" ref="O12:O36" si="2">+J12-K12</f>
        <v>0</v>
      </c>
      <c r="P12" s="222">
        <f t="shared" ref="P12:P36" si="3">+IF($C$10&lt;L12,0,O12)</f>
        <v>0</v>
      </c>
      <c r="Q12" s="54"/>
      <c r="R12" s="223">
        <f t="shared" ref="R12:R36" si="4">IF(N12&gt;=0,0,(IF(-N12&lt;=60,O12,0)))</f>
        <v>0</v>
      </c>
      <c r="S12" s="223">
        <f t="shared" ref="S12:S36" si="5">IF(N12&gt;=0,0,(IF(N12&gt;=-60,0,IF(-60&gt;=N12,IF(N12&gt;=-120,O12,0)))))</f>
        <v>0</v>
      </c>
      <c r="T12" s="223">
        <f t="shared" ref="T12:T36" si="6">IF(N12&gt;=0,0,(IF(N12&gt;-60,0,IF(-60&gt;=N12,IF(N12&gt;=-120,0,IF(N12&gt;=-180,O12,0))))))</f>
        <v>0</v>
      </c>
      <c r="U12" s="223">
        <f t="shared" ref="U12:U36" si="7">IF(N12&gt;=0,0,(IF(N12&gt;-60,0,IF(-60&gt;=N12,IF(N12&gt;-120,0,IF(N12&gt;=-180,0,IF(N12&gt;=-365,O12,0)))))))</f>
        <v>0</v>
      </c>
      <c r="V12" s="223">
        <f t="shared" ref="V12:V36" si="8">IF(N12&gt;=0,0,IF(365&lt;-N12,O12,0))</f>
        <v>0</v>
      </c>
    </row>
    <row r="13" spans="1:22">
      <c r="A13" s="56">
        <v>2</v>
      </c>
      <c r="B13" s="57">
        <v>1133002730</v>
      </c>
      <c r="C13" s="58">
        <v>42725</v>
      </c>
      <c r="D13" s="59">
        <v>42675</v>
      </c>
      <c r="E13" s="51">
        <v>8984093.0199999996</v>
      </c>
      <c r="F13" s="51">
        <f>-E13*$I$6</f>
        <v>-2221981.9128385163</v>
      </c>
      <c r="G13" s="51">
        <f t="shared" si="0"/>
        <v>0</v>
      </c>
      <c r="H13" s="51">
        <f>+E13*$H$10</f>
        <v>0</v>
      </c>
      <c r="I13" s="51">
        <f>+E13+F13-G13-H13</f>
        <v>6762111.1071614828</v>
      </c>
      <c r="J13" s="51">
        <f t="shared" ref="J13:J31" si="9">+I13*(1+$I$4)</f>
        <v>6762111.1071614828</v>
      </c>
      <c r="K13" s="51">
        <f>+J13</f>
        <v>6762111.1071614828</v>
      </c>
      <c r="L13" s="52">
        <v>42776</v>
      </c>
      <c r="M13" s="52">
        <v>42782</v>
      </c>
      <c r="N13" s="53">
        <f t="shared" si="1"/>
        <v>-6</v>
      </c>
      <c r="O13" s="51">
        <f t="shared" si="2"/>
        <v>0</v>
      </c>
      <c r="P13" s="51">
        <f t="shared" si="3"/>
        <v>0</v>
      </c>
      <c r="Q13" s="54"/>
      <c r="R13" s="223">
        <f t="shared" si="4"/>
        <v>0</v>
      </c>
      <c r="S13" s="223">
        <f t="shared" si="5"/>
        <v>0</v>
      </c>
      <c r="T13" s="223">
        <f t="shared" si="6"/>
        <v>0</v>
      </c>
      <c r="U13" s="223">
        <f t="shared" si="7"/>
        <v>0</v>
      </c>
      <c r="V13" s="223">
        <f t="shared" si="8"/>
        <v>0</v>
      </c>
    </row>
    <row r="14" spans="1:22">
      <c r="A14" s="56">
        <v>3</v>
      </c>
      <c r="B14" s="57">
        <v>1133002755</v>
      </c>
      <c r="C14" s="58">
        <v>42744</v>
      </c>
      <c r="D14" s="59">
        <v>42705</v>
      </c>
      <c r="E14" s="51">
        <v>7015554.0499999998</v>
      </c>
      <c r="F14" s="51">
        <f t="shared" ref="F14:F36" si="10">-E14*$I$6</f>
        <v>-1735114.9607354577</v>
      </c>
      <c r="G14" s="51">
        <f t="shared" si="0"/>
        <v>0</v>
      </c>
      <c r="H14" s="51">
        <f t="shared" ref="H14:H17" si="11">+E14*$H$10</f>
        <v>0</v>
      </c>
      <c r="I14" s="51">
        <f>+E14+F14-G14-H14</f>
        <v>5280439.0892645419</v>
      </c>
      <c r="J14" s="51">
        <f t="shared" si="9"/>
        <v>5280439.0892645419</v>
      </c>
      <c r="K14" s="51">
        <f>+J14</f>
        <v>5280439.0892645419</v>
      </c>
      <c r="L14" s="52">
        <v>42776</v>
      </c>
      <c r="M14" s="52">
        <v>42794</v>
      </c>
      <c r="N14" s="53">
        <f t="shared" si="1"/>
        <v>-18</v>
      </c>
      <c r="O14" s="51">
        <f t="shared" si="2"/>
        <v>0</v>
      </c>
      <c r="P14" s="51">
        <f t="shared" si="3"/>
        <v>0</v>
      </c>
      <c r="Q14" s="54"/>
      <c r="R14" s="223">
        <f t="shared" si="4"/>
        <v>0</v>
      </c>
      <c r="S14" s="223">
        <f t="shared" si="5"/>
        <v>0</v>
      </c>
      <c r="T14" s="223">
        <f t="shared" si="6"/>
        <v>0</v>
      </c>
      <c r="U14" s="223">
        <f t="shared" si="7"/>
        <v>0</v>
      </c>
      <c r="V14" s="223">
        <f t="shared" si="8"/>
        <v>0</v>
      </c>
    </row>
    <row r="15" spans="1:22">
      <c r="A15" s="56">
        <v>4</v>
      </c>
      <c r="B15" s="56">
        <v>1133002802</v>
      </c>
      <c r="C15" s="58">
        <v>42768</v>
      </c>
      <c r="D15" s="59">
        <v>42394</v>
      </c>
      <c r="E15" s="51">
        <v>5223498.4050000003</v>
      </c>
      <c r="F15" s="51">
        <f t="shared" si="10"/>
        <v>-1291896.5722875874</v>
      </c>
      <c r="G15" s="51">
        <f t="shared" si="0"/>
        <v>0</v>
      </c>
      <c r="H15" s="51">
        <f t="shared" si="11"/>
        <v>0</v>
      </c>
      <c r="I15" s="51">
        <f t="shared" ref="I15:I36" si="12">+E15+F15-G15-H15</f>
        <v>3931601.8327124128</v>
      </c>
      <c r="J15" s="51">
        <f t="shared" si="9"/>
        <v>3931601.8327124128</v>
      </c>
      <c r="K15" s="51">
        <f>+J15</f>
        <v>3931601.8327124128</v>
      </c>
      <c r="L15" s="52">
        <v>42804</v>
      </c>
      <c r="M15" s="52">
        <v>42818</v>
      </c>
      <c r="N15" s="53">
        <f t="shared" si="1"/>
        <v>-14</v>
      </c>
      <c r="O15" s="51">
        <f t="shared" si="2"/>
        <v>0</v>
      </c>
      <c r="P15" s="51">
        <f t="shared" si="3"/>
        <v>0</v>
      </c>
      <c r="Q15" s="54"/>
      <c r="R15" s="223">
        <f t="shared" si="4"/>
        <v>0</v>
      </c>
      <c r="S15" s="223">
        <f t="shared" si="5"/>
        <v>0</v>
      </c>
      <c r="T15" s="223">
        <f t="shared" si="6"/>
        <v>0</v>
      </c>
      <c r="U15" s="223">
        <f t="shared" si="7"/>
        <v>0</v>
      </c>
      <c r="V15" s="223">
        <f t="shared" si="8"/>
        <v>0</v>
      </c>
    </row>
    <row r="16" spans="1:22">
      <c r="A16" s="56">
        <v>5</v>
      </c>
      <c r="B16" s="56">
        <v>1133002877</v>
      </c>
      <c r="C16" s="58">
        <v>42807</v>
      </c>
      <c r="D16" s="59">
        <v>42767</v>
      </c>
      <c r="E16" s="51">
        <v>1555414.28</v>
      </c>
      <c r="F16" s="51">
        <f t="shared" si="10"/>
        <v>-384691.29709998745</v>
      </c>
      <c r="G16" s="51">
        <f t="shared" si="0"/>
        <v>0</v>
      </c>
      <c r="H16" s="51">
        <f t="shared" si="11"/>
        <v>0</v>
      </c>
      <c r="I16" s="51">
        <f t="shared" si="12"/>
        <v>1170722.9829000125</v>
      </c>
      <c r="J16" s="51">
        <f t="shared" si="9"/>
        <v>1170722.9829000125</v>
      </c>
      <c r="K16" s="51">
        <f>+J16</f>
        <v>1170722.9829000125</v>
      </c>
      <c r="L16" s="52">
        <v>42835</v>
      </c>
      <c r="M16" s="52">
        <v>42835</v>
      </c>
      <c r="N16" s="53">
        <f t="shared" si="1"/>
        <v>0</v>
      </c>
      <c r="O16" s="51">
        <f t="shared" si="2"/>
        <v>0</v>
      </c>
      <c r="P16" s="51">
        <f t="shared" si="3"/>
        <v>0</v>
      </c>
      <c r="Q16" s="54"/>
      <c r="R16" s="223">
        <f t="shared" si="4"/>
        <v>0</v>
      </c>
      <c r="S16" s="223">
        <f t="shared" si="5"/>
        <v>0</v>
      </c>
      <c r="T16" s="223">
        <f t="shared" si="6"/>
        <v>0</v>
      </c>
      <c r="U16" s="223">
        <f t="shared" si="7"/>
        <v>0</v>
      </c>
      <c r="V16" s="223">
        <f t="shared" si="8"/>
        <v>0</v>
      </c>
    </row>
    <row r="17" spans="1:22">
      <c r="A17" s="56">
        <v>6</v>
      </c>
      <c r="B17" s="56">
        <v>1133002890</v>
      </c>
      <c r="C17" s="58">
        <v>42824</v>
      </c>
      <c r="D17" s="59">
        <v>42795</v>
      </c>
      <c r="E17" s="51">
        <v>7641924.2199999997</v>
      </c>
      <c r="F17" s="51">
        <f t="shared" si="10"/>
        <v>-1890031.3429883192</v>
      </c>
      <c r="G17" s="51">
        <f t="shared" si="0"/>
        <v>0</v>
      </c>
      <c r="H17" s="51">
        <f t="shared" si="11"/>
        <v>0</v>
      </c>
      <c r="I17" s="51">
        <f t="shared" si="12"/>
        <v>5751892.877011681</v>
      </c>
      <c r="J17" s="51">
        <f t="shared" si="9"/>
        <v>5751892.877011681</v>
      </c>
      <c r="K17" s="51">
        <f>+J17</f>
        <v>5751892.877011681</v>
      </c>
      <c r="L17" s="52">
        <v>42865</v>
      </c>
      <c r="M17" s="52">
        <v>42878</v>
      </c>
      <c r="N17" s="53">
        <f t="shared" si="1"/>
        <v>-13</v>
      </c>
      <c r="O17" s="51">
        <f t="shared" si="2"/>
        <v>0</v>
      </c>
      <c r="P17" s="51">
        <f t="shared" si="3"/>
        <v>0</v>
      </c>
      <c r="Q17" s="54"/>
      <c r="R17" s="223">
        <f t="shared" si="4"/>
        <v>0</v>
      </c>
      <c r="S17" s="223">
        <f t="shared" si="5"/>
        <v>0</v>
      </c>
      <c r="T17" s="223">
        <f t="shared" si="6"/>
        <v>0</v>
      </c>
      <c r="U17" s="223">
        <f t="shared" si="7"/>
        <v>0</v>
      </c>
      <c r="V17" s="223">
        <f t="shared" si="8"/>
        <v>0</v>
      </c>
    </row>
    <row r="18" spans="1:22">
      <c r="A18" s="56">
        <v>7</v>
      </c>
      <c r="B18" s="56">
        <v>1133002956</v>
      </c>
      <c r="C18" s="58">
        <v>42878</v>
      </c>
      <c r="D18" s="59">
        <v>42826</v>
      </c>
      <c r="E18" s="51">
        <v>1385061.7</v>
      </c>
      <c r="F18" s="51">
        <f t="shared" si="10"/>
        <v>-342559.01388311392</v>
      </c>
      <c r="G18" s="51">
        <f t="shared" ref="G18:G21" si="13">E18*$G$14</f>
        <v>0</v>
      </c>
      <c r="H18" s="51">
        <f t="shared" ref="H18:H21" si="14">+E18*$H$14</f>
        <v>0</v>
      </c>
      <c r="I18" s="51">
        <f t="shared" si="12"/>
        <v>1042502.6861168861</v>
      </c>
      <c r="J18" s="51">
        <f t="shared" si="9"/>
        <v>1042502.6861168861</v>
      </c>
      <c r="K18" s="51">
        <f t="shared" ref="K18" si="15">+J18</f>
        <v>1042502.6861168861</v>
      </c>
      <c r="L18" s="52">
        <v>42926</v>
      </c>
      <c r="M18" s="52">
        <v>42898</v>
      </c>
      <c r="N18" s="53">
        <f t="shared" si="1"/>
        <v>28</v>
      </c>
      <c r="O18" s="51">
        <f t="shared" si="2"/>
        <v>0</v>
      </c>
      <c r="P18" s="51">
        <f t="shared" si="3"/>
        <v>0</v>
      </c>
      <c r="Q18" s="54"/>
      <c r="R18" s="223">
        <f t="shared" si="4"/>
        <v>0</v>
      </c>
      <c r="S18" s="223">
        <f t="shared" si="5"/>
        <v>0</v>
      </c>
      <c r="T18" s="223">
        <f t="shared" si="6"/>
        <v>0</v>
      </c>
      <c r="U18" s="223">
        <f t="shared" si="7"/>
        <v>0</v>
      </c>
      <c r="V18" s="223">
        <f t="shared" si="8"/>
        <v>0</v>
      </c>
    </row>
    <row r="19" spans="1:22" ht="27">
      <c r="A19" s="249" t="s">
        <v>123</v>
      </c>
      <c r="B19" s="56">
        <v>1133002958</v>
      </c>
      <c r="C19" s="58">
        <v>42878</v>
      </c>
      <c r="D19" s="59">
        <v>42826</v>
      </c>
      <c r="E19" s="51">
        <v>2762791.8</v>
      </c>
      <c r="F19" s="51"/>
      <c r="G19" s="51">
        <f t="shared" si="13"/>
        <v>0</v>
      </c>
      <c r="H19" s="51">
        <f t="shared" si="14"/>
        <v>0</v>
      </c>
      <c r="I19" s="51">
        <f t="shared" si="12"/>
        <v>2762791.8</v>
      </c>
      <c r="J19" s="51">
        <f t="shared" si="9"/>
        <v>2762791.8</v>
      </c>
      <c r="K19" s="51">
        <f>+J19</f>
        <v>2762791.8</v>
      </c>
      <c r="L19" s="52">
        <v>42926</v>
      </c>
      <c r="M19" s="52">
        <v>42907</v>
      </c>
      <c r="N19" s="53">
        <f t="shared" si="1"/>
        <v>19</v>
      </c>
      <c r="O19" s="51">
        <f t="shared" si="2"/>
        <v>0</v>
      </c>
      <c r="P19" s="51">
        <f t="shared" si="3"/>
        <v>0</v>
      </c>
      <c r="Q19" s="54"/>
      <c r="R19" s="223">
        <f t="shared" si="4"/>
        <v>0</v>
      </c>
      <c r="S19" s="223">
        <f t="shared" si="5"/>
        <v>0</v>
      </c>
      <c r="T19" s="223">
        <f t="shared" si="6"/>
        <v>0</v>
      </c>
      <c r="U19" s="223">
        <f t="shared" si="7"/>
        <v>0</v>
      </c>
      <c r="V19" s="223">
        <f t="shared" si="8"/>
        <v>0</v>
      </c>
    </row>
    <row r="20" spans="1:22">
      <c r="A20" s="56" t="s">
        <v>124</v>
      </c>
      <c r="B20" s="56">
        <v>1133002982</v>
      </c>
      <c r="C20" s="58">
        <v>42891</v>
      </c>
      <c r="D20" s="59">
        <v>42856</v>
      </c>
      <c r="E20" s="51">
        <v>1882149.25</v>
      </c>
      <c r="F20" s="51"/>
      <c r="G20" s="51">
        <f t="shared" si="13"/>
        <v>0</v>
      </c>
      <c r="H20" s="51">
        <f t="shared" si="14"/>
        <v>0</v>
      </c>
      <c r="I20" s="51">
        <f t="shared" si="12"/>
        <v>1882149.25</v>
      </c>
      <c r="J20" s="51">
        <f t="shared" si="9"/>
        <v>1882149.25</v>
      </c>
      <c r="K20" s="51">
        <f>+J20</f>
        <v>1882149.25</v>
      </c>
      <c r="L20" s="52">
        <v>42926</v>
      </c>
      <c r="M20" s="52">
        <v>42907</v>
      </c>
      <c r="N20" s="53">
        <f t="shared" si="1"/>
        <v>19</v>
      </c>
      <c r="O20" s="51">
        <f t="shared" si="2"/>
        <v>0</v>
      </c>
      <c r="P20" s="51">
        <f t="shared" si="3"/>
        <v>0</v>
      </c>
      <c r="Q20" s="54"/>
      <c r="R20" s="223">
        <f t="shared" si="4"/>
        <v>0</v>
      </c>
      <c r="S20" s="223">
        <f t="shared" si="5"/>
        <v>0</v>
      </c>
      <c r="T20" s="223">
        <f t="shared" si="6"/>
        <v>0</v>
      </c>
      <c r="U20" s="223">
        <f t="shared" si="7"/>
        <v>0</v>
      </c>
      <c r="V20" s="223">
        <f t="shared" si="8"/>
        <v>0</v>
      </c>
    </row>
    <row r="21" spans="1:22">
      <c r="A21" s="56">
        <v>10</v>
      </c>
      <c r="B21" s="56">
        <v>1133002983</v>
      </c>
      <c r="C21" s="58">
        <v>42891</v>
      </c>
      <c r="D21" s="59">
        <v>42856</v>
      </c>
      <c r="E21" s="51">
        <v>2876973.6</v>
      </c>
      <c r="F21" s="51">
        <f t="shared" si="10"/>
        <v>-711544.64771046105</v>
      </c>
      <c r="G21" s="51">
        <f t="shared" si="13"/>
        <v>0</v>
      </c>
      <c r="H21" s="51">
        <f t="shared" si="14"/>
        <v>0</v>
      </c>
      <c r="I21" s="51">
        <f t="shared" si="12"/>
        <v>2165428.9522895389</v>
      </c>
      <c r="J21" s="51">
        <f t="shared" si="9"/>
        <v>2165428.9522895389</v>
      </c>
      <c r="K21" s="51">
        <f>+J21</f>
        <v>2165428.9522895389</v>
      </c>
      <c r="L21" s="52">
        <v>42926</v>
      </c>
      <c r="M21" s="52">
        <v>42907</v>
      </c>
      <c r="N21" s="53">
        <f t="shared" si="1"/>
        <v>19</v>
      </c>
      <c r="O21" s="51">
        <f t="shared" si="2"/>
        <v>0</v>
      </c>
      <c r="P21" s="51">
        <f t="shared" si="3"/>
        <v>0</v>
      </c>
      <c r="Q21" s="54"/>
      <c r="R21" s="223">
        <f t="shared" si="4"/>
        <v>0</v>
      </c>
      <c r="S21" s="223">
        <f t="shared" si="5"/>
        <v>0</v>
      </c>
      <c r="T21" s="223">
        <f t="shared" si="6"/>
        <v>0</v>
      </c>
      <c r="U21" s="223">
        <f t="shared" si="7"/>
        <v>0</v>
      </c>
      <c r="V21" s="223">
        <f t="shared" si="8"/>
        <v>0</v>
      </c>
    </row>
    <row r="22" spans="1:22">
      <c r="A22" s="56">
        <v>11</v>
      </c>
      <c r="B22" s="56">
        <v>1133003012</v>
      </c>
      <c r="C22" s="58">
        <v>42916</v>
      </c>
      <c r="D22" s="59">
        <v>42887</v>
      </c>
      <c r="E22" s="51">
        <f>4823101.23244+274400+255127.19</f>
        <v>5352628.4224400008</v>
      </c>
      <c r="F22" s="51">
        <v>-1192868.7379364241</v>
      </c>
      <c r="G22" s="51">
        <f t="shared" ref="G22:G25" si="16">E22*$G$16</f>
        <v>0</v>
      </c>
      <c r="H22" s="51">
        <f t="shared" ref="H22:H25" si="17">+E22*$H$16</f>
        <v>0</v>
      </c>
      <c r="I22" s="51">
        <f t="shared" si="12"/>
        <v>4159759.6845035767</v>
      </c>
      <c r="J22" s="51">
        <f t="shared" si="9"/>
        <v>4159759.6845035767</v>
      </c>
      <c r="K22" s="51">
        <f>+J22</f>
        <v>4159759.6845035767</v>
      </c>
      <c r="L22" s="52">
        <v>42957</v>
      </c>
      <c r="M22" s="52">
        <v>42947</v>
      </c>
      <c r="N22" s="53">
        <f t="shared" si="1"/>
        <v>10</v>
      </c>
      <c r="O22" s="51">
        <f t="shared" si="2"/>
        <v>0</v>
      </c>
      <c r="P22" s="51">
        <f t="shared" si="3"/>
        <v>0</v>
      </c>
      <c r="Q22" s="54"/>
      <c r="R22" s="223">
        <f t="shared" si="4"/>
        <v>0</v>
      </c>
      <c r="S22" s="223">
        <f t="shared" si="5"/>
        <v>0</v>
      </c>
      <c r="T22" s="223">
        <f t="shared" si="6"/>
        <v>0</v>
      </c>
      <c r="U22" s="223">
        <f t="shared" si="7"/>
        <v>0</v>
      </c>
      <c r="V22" s="223">
        <f t="shared" si="8"/>
        <v>0</v>
      </c>
    </row>
    <row r="23" spans="1:22">
      <c r="A23" s="56">
        <v>12</v>
      </c>
      <c r="B23" s="56">
        <v>1133003028</v>
      </c>
      <c r="C23" s="58">
        <v>42929</v>
      </c>
      <c r="D23" s="59">
        <v>42917</v>
      </c>
      <c r="E23" s="51">
        <v>3050000</v>
      </c>
      <c r="F23" s="51"/>
      <c r="G23" s="51">
        <f t="shared" si="16"/>
        <v>0</v>
      </c>
      <c r="H23" s="51">
        <f t="shared" si="17"/>
        <v>0</v>
      </c>
      <c r="I23" s="51">
        <f t="shared" si="12"/>
        <v>3050000</v>
      </c>
      <c r="J23" s="51">
        <f t="shared" si="9"/>
        <v>3050000</v>
      </c>
      <c r="K23" s="51">
        <f>+J23</f>
        <v>3050000</v>
      </c>
      <c r="L23" s="52">
        <v>42957</v>
      </c>
      <c r="M23" s="52">
        <v>42947</v>
      </c>
      <c r="N23" s="53">
        <f t="shared" si="1"/>
        <v>10</v>
      </c>
      <c r="O23" s="51">
        <f t="shared" si="2"/>
        <v>0</v>
      </c>
      <c r="P23" s="51">
        <f t="shared" si="3"/>
        <v>0</v>
      </c>
      <c r="Q23" s="54"/>
      <c r="R23" s="223">
        <f t="shared" si="4"/>
        <v>0</v>
      </c>
      <c r="S23" s="223">
        <f t="shared" si="5"/>
        <v>0</v>
      </c>
      <c r="T23" s="223">
        <f t="shared" si="6"/>
        <v>0</v>
      </c>
      <c r="U23" s="223">
        <f t="shared" si="7"/>
        <v>0</v>
      </c>
      <c r="V23" s="223">
        <f t="shared" si="8"/>
        <v>0</v>
      </c>
    </row>
    <row r="24" spans="1:22">
      <c r="A24" s="56">
        <v>13</v>
      </c>
      <c r="B24" s="56">
        <v>1133003031</v>
      </c>
      <c r="C24" s="58">
        <v>42936</v>
      </c>
      <c r="D24" s="59">
        <v>42917</v>
      </c>
      <c r="E24" s="51">
        <v>610000</v>
      </c>
      <c r="F24" s="51"/>
      <c r="G24" s="51">
        <f t="shared" si="16"/>
        <v>0</v>
      </c>
      <c r="H24" s="51">
        <f t="shared" si="17"/>
        <v>0</v>
      </c>
      <c r="I24" s="51">
        <f t="shared" si="12"/>
        <v>610000</v>
      </c>
      <c r="J24" s="51">
        <f t="shared" si="9"/>
        <v>610000</v>
      </c>
      <c r="K24" s="51">
        <f t="shared" ref="K24" si="18">+J24</f>
        <v>610000</v>
      </c>
      <c r="L24" s="52">
        <v>42988</v>
      </c>
      <c r="M24" s="52">
        <v>42958</v>
      </c>
      <c r="N24" s="53">
        <f t="shared" si="1"/>
        <v>30</v>
      </c>
      <c r="O24" s="51">
        <f t="shared" si="2"/>
        <v>0</v>
      </c>
      <c r="P24" s="51">
        <f t="shared" si="3"/>
        <v>0</v>
      </c>
      <c r="Q24" s="54"/>
      <c r="R24" s="223">
        <f t="shared" si="4"/>
        <v>0</v>
      </c>
      <c r="S24" s="223">
        <f t="shared" si="5"/>
        <v>0</v>
      </c>
      <c r="T24" s="223">
        <f t="shared" si="6"/>
        <v>0</v>
      </c>
      <c r="U24" s="223">
        <f t="shared" si="7"/>
        <v>0</v>
      </c>
      <c r="V24" s="223">
        <f t="shared" si="8"/>
        <v>0</v>
      </c>
    </row>
    <row r="25" spans="1:22">
      <c r="A25" s="56">
        <v>14</v>
      </c>
      <c r="B25" s="56">
        <v>1133003035</v>
      </c>
      <c r="C25" s="58">
        <v>42941</v>
      </c>
      <c r="D25" s="59">
        <v>42917</v>
      </c>
      <c r="E25" s="51">
        <v>610000</v>
      </c>
      <c r="F25" s="51"/>
      <c r="G25" s="51">
        <f t="shared" si="16"/>
        <v>0</v>
      </c>
      <c r="H25" s="51">
        <f t="shared" si="17"/>
        <v>0</v>
      </c>
      <c r="I25" s="51">
        <f t="shared" si="12"/>
        <v>610000</v>
      </c>
      <c r="J25" s="51">
        <f t="shared" si="9"/>
        <v>610000</v>
      </c>
      <c r="K25" s="51">
        <v>610000</v>
      </c>
      <c r="L25" s="52">
        <v>42988</v>
      </c>
      <c r="M25" s="52">
        <v>42958</v>
      </c>
      <c r="N25" s="53">
        <f t="shared" si="1"/>
        <v>30</v>
      </c>
      <c r="O25" s="51">
        <f t="shared" si="2"/>
        <v>0</v>
      </c>
      <c r="P25" s="51">
        <f t="shared" si="3"/>
        <v>0</v>
      </c>
      <c r="Q25" s="54"/>
      <c r="R25" s="223">
        <f t="shared" si="4"/>
        <v>0</v>
      </c>
      <c r="S25" s="223">
        <f t="shared" si="5"/>
        <v>0</v>
      </c>
      <c r="T25" s="223">
        <f t="shared" si="6"/>
        <v>0</v>
      </c>
      <c r="U25" s="223">
        <f t="shared" si="7"/>
        <v>0</v>
      </c>
      <c r="V25" s="223">
        <f t="shared" si="8"/>
        <v>0</v>
      </c>
    </row>
    <row r="26" spans="1:22">
      <c r="A26" s="56">
        <v>15</v>
      </c>
      <c r="B26" s="56">
        <v>1133003124</v>
      </c>
      <c r="C26" s="58">
        <v>42947</v>
      </c>
      <c r="D26" s="59">
        <v>42917</v>
      </c>
      <c r="E26" s="51">
        <f>14643657.73-247561.35+630665.56+1269265.31+85400</f>
        <v>16381427.250000002</v>
      </c>
      <c r="F26" s="51">
        <v>-3621728.1523491978</v>
      </c>
      <c r="G26" s="51">
        <f t="shared" ref="G26:G27" si="19">E26*$G$19</f>
        <v>0</v>
      </c>
      <c r="H26" s="51">
        <f t="shared" ref="H26:H27" si="20">+E26*$H$19</f>
        <v>0</v>
      </c>
      <c r="I26" s="51">
        <f t="shared" si="12"/>
        <v>12759699.097650804</v>
      </c>
      <c r="J26" s="51">
        <f t="shared" si="9"/>
        <v>12759699.097650804</v>
      </c>
      <c r="K26" s="51">
        <v>12759699.1</v>
      </c>
      <c r="L26" s="52">
        <v>42988</v>
      </c>
      <c r="M26" s="52">
        <v>43003</v>
      </c>
      <c r="N26" s="53">
        <f t="shared" si="1"/>
        <v>-15</v>
      </c>
      <c r="O26" s="51">
        <f t="shared" si="2"/>
        <v>-2.3491960018873215E-3</v>
      </c>
      <c r="P26" s="51">
        <f t="shared" si="3"/>
        <v>-2.3491960018873215E-3</v>
      </c>
      <c r="Q26" s="54"/>
      <c r="R26" s="223">
        <f t="shared" si="4"/>
        <v>-2.3491960018873215E-3</v>
      </c>
      <c r="S26" s="223">
        <f t="shared" si="5"/>
        <v>0</v>
      </c>
      <c r="T26" s="223">
        <f t="shared" si="6"/>
        <v>0</v>
      </c>
      <c r="U26" s="223">
        <f t="shared" si="7"/>
        <v>0</v>
      </c>
      <c r="V26" s="223">
        <f t="shared" si="8"/>
        <v>0</v>
      </c>
    </row>
    <row r="27" spans="1:22">
      <c r="A27" s="56">
        <v>16</v>
      </c>
      <c r="B27" s="56">
        <v>1133003150</v>
      </c>
      <c r="C27" s="58">
        <v>42990</v>
      </c>
      <c r="D27" s="59">
        <v>42948</v>
      </c>
      <c r="E27" s="51">
        <v>14646092.26</v>
      </c>
      <c r="F27" s="51">
        <v>-3067797.29</v>
      </c>
      <c r="G27" s="51">
        <f t="shared" si="19"/>
        <v>0</v>
      </c>
      <c r="H27" s="51">
        <f t="shared" si="20"/>
        <v>0</v>
      </c>
      <c r="I27" s="51">
        <f t="shared" si="12"/>
        <v>11578294.969999999</v>
      </c>
      <c r="J27" s="51">
        <f t="shared" si="9"/>
        <v>11578294.969999999</v>
      </c>
      <c r="K27" s="51">
        <f>+J27</f>
        <v>11578294.969999999</v>
      </c>
      <c r="L27" s="52">
        <v>43049</v>
      </c>
      <c r="M27" s="52">
        <v>43039</v>
      </c>
      <c r="N27" s="53">
        <f t="shared" si="1"/>
        <v>10</v>
      </c>
      <c r="O27" s="51">
        <f t="shared" si="2"/>
        <v>0</v>
      </c>
      <c r="P27" s="51">
        <f t="shared" si="3"/>
        <v>0</v>
      </c>
      <c r="Q27" s="54"/>
      <c r="R27" s="223">
        <f t="shared" si="4"/>
        <v>0</v>
      </c>
      <c r="S27" s="223">
        <f t="shared" si="5"/>
        <v>0</v>
      </c>
      <c r="T27" s="223">
        <f t="shared" si="6"/>
        <v>0</v>
      </c>
      <c r="U27" s="223">
        <f t="shared" si="7"/>
        <v>0</v>
      </c>
      <c r="V27" s="223">
        <f t="shared" si="8"/>
        <v>0</v>
      </c>
    </row>
    <row r="28" spans="1:22">
      <c r="A28" s="56">
        <v>17</v>
      </c>
      <c r="B28" s="56">
        <v>1133003180</v>
      </c>
      <c r="C28" s="58">
        <v>43019</v>
      </c>
      <c r="D28" s="59">
        <v>42979</v>
      </c>
      <c r="E28" s="51">
        <v>14286673.279999999</v>
      </c>
      <c r="F28" s="51">
        <v>-2712761.38</v>
      </c>
      <c r="G28" s="51">
        <f t="shared" ref="G28:G29" si="21">E28*$G$23</f>
        <v>0</v>
      </c>
      <c r="H28" s="51">
        <f t="shared" ref="H28:H29" si="22">+E28*$H$23</f>
        <v>0</v>
      </c>
      <c r="I28" s="51">
        <f t="shared" si="12"/>
        <v>11573911.899999999</v>
      </c>
      <c r="J28" s="51">
        <f t="shared" si="9"/>
        <v>11573911.899999999</v>
      </c>
      <c r="K28" s="51">
        <f>+J28</f>
        <v>11573911.899999999</v>
      </c>
      <c r="L28" s="52">
        <v>43049</v>
      </c>
      <c r="M28" s="52">
        <v>43060</v>
      </c>
      <c r="N28" s="53">
        <f t="shared" si="1"/>
        <v>-11</v>
      </c>
      <c r="O28" s="51">
        <f t="shared" si="2"/>
        <v>0</v>
      </c>
      <c r="P28" s="51">
        <f t="shared" si="3"/>
        <v>0</v>
      </c>
      <c r="Q28" s="54"/>
      <c r="R28" s="223">
        <f t="shared" si="4"/>
        <v>0</v>
      </c>
      <c r="S28" s="223">
        <f t="shared" si="5"/>
        <v>0</v>
      </c>
      <c r="T28" s="223">
        <f t="shared" si="6"/>
        <v>0</v>
      </c>
      <c r="U28" s="223">
        <f t="shared" si="7"/>
        <v>0</v>
      </c>
      <c r="V28" s="223">
        <f t="shared" si="8"/>
        <v>0</v>
      </c>
    </row>
    <row r="29" spans="1:22">
      <c r="A29" s="56">
        <v>18</v>
      </c>
      <c r="B29" s="56">
        <v>1133003191</v>
      </c>
      <c r="C29" s="58">
        <v>43033</v>
      </c>
      <c r="D29" s="59">
        <v>43009</v>
      </c>
      <c r="E29" s="51">
        <v>610000</v>
      </c>
      <c r="F29" s="51"/>
      <c r="G29" s="51">
        <f t="shared" si="21"/>
        <v>0</v>
      </c>
      <c r="H29" s="51">
        <f t="shared" si="22"/>
        <v>0</v>
      </c>
      <c r="I29" s="51">
        <f t="shared" si="12"/>
        <v>610000</v>
      </c>
      <c r="J29" s="51">
        <f t="shared" si="9"/>
        <v>610000</v>
      </c>
      <c r="K29" s="51"/>
      <c r="L29" s="52">
        <v>43064</v>
      </c>
      <c r="M29" s="52"/>
      <c r="N29" s="53">
        <f t="shared" si="1"/>
        <v>-5</v>
      </c>
      <c r="O29" s="51">
        <f t="shared" si="2"/>
        <v>610000</v>
      </c>
      <c r="P29" s="51">
        <f t="shared" si="3"/>
        <v>610000</v>
      </c>
      <c r="Q29" s="54"/>
      <c r="R29" s="223">
        <f t="shared" si="4"/>
        <v>610000</v>
      </c>
      <c r="S29" s="223">
        <f t="shared" si="5"/>
        <v>0</v>
      </c>
      <c r="T29" s="223">
        <f t="shared" si="6"/>
        <v>0</v>
      </c>
      <c r="U29" s="223">
        <f t="shared" si="7"/>
        <v>0</v>
      </c>
      <c r="V29" s="223">
        <f t="shared" si="8"/>
        <v>0</v>
      </c>
    </row>
    <row r="30" spans="1:22">
      <c r="A30" s="56">
        <v>19</v>
      </c>
      <c r="B30" s="56">
        <v>1133003231</v>
      </c>
      <c r="C30" s="58">
        <v>43054</v>
      </c>
      <c r="D30" s="59">
        <v>43009</v>
      </c>
      <c r="E30" s="51">
        <v>20289978.460000001</v>
      </c>
      <c r="F30" s="51">
        <v>-4051038.39</v>
      </c>
      <c r="G30" s="51"/>
      <c r="H30" s="51"/>
      <c r="I30" s="51">
        <f t="shared" si="12"/>
        <v>16238940.07</v>
      </c>
      <c r="J30" s="51">
        <f t="shared" si="9"/>
        <v>16238940.07</v>
      </c>
      <c r="K30" s="51"/>
      <c r="L30" s="52">
        <v>43084</v>
      </c>
      <c r="M30" s="52"/>
      <c r="N30" s="53">
        <f t="shared" si="1"/>
        <v>15</v>
      </c>
      <c r="O30" s="51">
        <f t="shared" si="2"/>
        <v>16238940.07</v>
      </c>
      <c r="P30" s="51">
        <f t="shared" si="3"/>
        <v>0</v>
      </c>
      <c r="Q30" s="54"/>
      <c r="R30" s="223">
        <f t="shared" si="4"/>
        <v>0</v>
      </c>
      <c r="S30" s="223">
        <f t="shared" si="5"/>
        <v>0</v>
      </c>
      <c r="T30" s="223">
        <f t="shared" si="6"/>
        <v>0</v>
      </c>
      <c r="U30" s="223">
        <f t="shared" si="7"/>
        <v>0</v>
      </c>
      <c r="V30" s="223">
        <f t="shared" si="8"/>
        <v>0</v>
      </c>
    </row>
    <row r="31" spans="1:22">
      <c r="A31" s="56"/>
      <c r="B31" s="56"/>
      <c r="C31" s="58"/>
      <c r="D31" s="59"/>
      <c r="E31" s="51"/>
      <c r="F31" s="51">
        <f t="shared" ref="F31" si="23">-E31*$I$6</f>
        <v>0</v>
      </c>
      <c r="G31" s="51">
        <f t="shared" ref="G31:G36" si="24">E31*$G$10</f>
        <v>0</v>
      </c>
      <c r="H31" s="51">
        <f t="shared" ref="H31" si="25">+E31*$H$10</f>
        <v>0</v>
      </c>
      <c r="I31" s="51">
        <f t="shared" si="12"/>
        <v>0</v>
      </c>
      <c r="J31" s="51">
        <f t="shared" si="9"/>
        <v>0</v>
      </c>
      <c r="K31" s="51"/>
      <c r="L31" s="52"/>
      <c r="M31" s="52"/>
      <c r="N31" s="53">
        <f t="shared" si="1"/>
        <v>0</v>
      </c>
      <c r="O31" s="51">
        <f t="shared" si="2"/>
        <v>0</v>
      </c>
      <c r="P31" s="51">
        <f t="shared" si="3"/>
        <v>0</v>
      </c>
      <c r="Q31" s="54"/>
      <c r="R31" s="223">
        <f t="shared" si="4"/>
        <v>0</v>
      </c>
      <c r="S31" s="223">
        <f t="shared" si="5"/>
        <v>0</v>
      </c>
      <c r="T31" s="223">
        <f t="shared" si="6"/>
        <v>0</v>
      </c>
      <c r="U31" s="223">
        <f t="shared" si="7"/>
        <v>0</v>
      </c>
      <c r="V31" s="223">
        <f t="shared" si="8"/>
        <v>0</v>
      </c>
    </row>
    <row r="32" spans="1:22">
      <c r="A32" s="56" t="s">
        <v>125</v>
      </c>
      <c r="B32" s="56">
        <v>1133002827</v>
      </c>
      <c r="C32" s="58">
        <v>42780</v>
      </c>
      <c r="D32" s="59">
        <v>42675</v>
      </c>
      <c r="E32" s="51">
        <v>219244</v>
      </c>
      <c r="F32" s="51"/>
      <c r="G32" s="51">
        <f t="shared" si="24"/>
        <v>0</v>
      </c>
      <c r="H32" s="51">
        <f>+E32*$H$10</f>
        <v>0</v>
      </c>
      <c r="I32" s="51">
        <f t="shared" si="12"/>
        <v>219244</v>
      </c>
      <c r="J32" s="51">
        <f>+I32*(1+20%)</f>
        <v>263092.8</v>
      </c>
      <c r="K32" s="51"/>
      <c r="L32" s="52">
        <v>42808</v>
      </c>
      <c r="M32" s="52"/>
      <c r="N32" s="53">
        <f t="shared" si="1"/>
        <v>-261</v>
      </c>
      <c r="O32" s="51">
        <f t="shared" si="2"/>
        <v>263092.8</v>
      </c>
      <c r="P32" s="51">
        <f t="shared" si="3"/>
        <v>263092.8</v>
      </c>
      <c r="Q32" s="54"/>
      <c r="R32" s="223">
        <f t="shared" si="4"/>
        <v>0</v>
      </c>
      <c r="S32" s="223">
        <f t="shared" si="5"/>
        <v>0</v>
      </c>
      <c r="T32" s="223">
        <f t="shared" si="6"/>
        <v>0</v>
      </c>
      <c r="U32" s="223">
        <f t="shared" si="7"/>
        <v>263092.8</v>
      </c>
      <c r="V32" s="223">
        <f t="shared" si="8"/>
        <v>0</v>
      </c>
    </row>
    <row r="33" spans="1:22">
      <c r="A33" s="56" t="s">
        <v>125</v>
      </c>
      <c r="B33" s="56">
        <v>1133002830</v>
      </c>
      <c r="C33" s="58">
        <v>42783</v>
      </c>
      <c r="D33" s="59">
        <v>42705</v>
      </c>
      <c r="E33" s="51">
        <v>208403.21</v>
      </c>
      <c r="F33" s="51"/>
      <c r="G33" s="51">
        <f t="shared" si="24"/>
        <v>0</v>
      </c>
      <c r="H33" s="51">
        <f t="shared" ref="H33:H36" si="26">+E33*$H$10</f>
        <v>0</v>
      </c>
      <c r="I33" s="51">
        <f t="shared" si="12"/>
        <v>208403.21</v>
      </c>
      <c r="J33" s="51">
        <f>+I33*(1+20%)</f>
        <v>250083.85199999998</v>
      </c>
      <c r="K33" s="51"/>
      <c r="L33" s="52">
        <v>42811</v>
      </c>
      <c r="M33" s="52"/>
      <c r="N33" s="53">
        <f t="shared" si="1"/>
        <v>-258</v>
      </c>
      <c r="O33" s="51">
        <f t="shared" si="2"/>
        <v>250083.85199999998</v>
      </c>
      <c r="P33" s="51">
        <f t="shared" si="3"/>
        <v>250083.85199999998</v>
      </c>
      <c r="Q33" s="54"/>
      <c r="R33" s="223">
        <f t="shared" si="4"/>
        <v>0</v>
      </c>
      <c r="S33" s="223">
        <f t="shared" si="5"/>
        <v>0</v>
      </c>
      <c r="T33" s="223">
        <f t="shared" si="6"/>
        <v>0</v>
      </c>
      <c r="U33" s="223">
        <f t="shared" si="7"/>
        <v>250083.85199999998</v>
      </c>
      <c r="V33" s="223">
        <f t="shared" si="8"/>
        <v>0</v>
      </c>
    </row>
    <row r="34" spans="1:22">
      <c r="A34" s="56"/>
      <c r="B34" s="56"/>
      <c r="C34" s="58"/>
      <c r="D34" s="59"/>
      <c r="E34" s="51"/>
      <c r="F34" s="51">
        <f t="shared" si="10"/>
        <v>0</v>
      </c>
      <c r="G34" s="51">
        <f t="shared" si="24"/>
        <v>0</v>
      </c>
      <c r="H34" s="51">
        <f t="shared" si="26"/>
        <v>0</v>
      </c>
      <c r="I34" s="51">
        <f t="shared" si="12"/>
        <v>0</v>
      </c>
      <c r="J34" s="51">
        <f t="shared" ref="J34:J36" si="27">+I34*(1+$I$4)</f>
        <v>0</v>
      </c>
      <c r="K34" s="51"/>
      <c r="L34" s="52"/>
      <c r="M34" s="52"/>
      <c r="N34" s="53">
        <f t="shared" si="1"/>
        <v>0</v>
      </c>
      <c r="O34" s="51">
        <f t="shared" si="2"/>
        <v>0</v>
      </c>
      <c r="P34" s="51">
        <f t="shared" si="3"/>
        <v>0</v>
      </c>
      <c r="Q34" s="54"/>
      <c r="R34" s="223">
        <f t="shared" si="4"/>
        <v>0</v>
      </c>
      <c r="S34" s="223">
        <f t="shared" si="5"/>
        <v>0</v>
      </c>
      <c r="T34" s="223">
        <f t="shared" si="6"/>
        <v>0</v>
      </c>
      <c r="U34" s="223">
        <f t="shared" si="7"/>
        <v>0</v>
      </c>
      <c r="V34" s="223">
        <f t="shared" si="8"/>
        <v>0</v>
      </c>
    </row>
    <row r="35" spans="1:22">
      <c r="A35" s="56"/>
      <c r="B35" s="56"/>
      <c r="C35" s="58"/>
      <c r="D35" s="59"/>
      <c r="E35" s="51"/>
      <c r="F35" s="51">
        <f t="shared" si="10"/>
        <v>0</v>
      </c>
      <c r="G35" s="51">
        <f t="shared" si="24"/>
        <v>0</v>
      </c>
      <c r="H35" s="51">
        <f t="shared" si="26"/>
        <v>0</v>
      </c>
      <c r="I35" s="51">
        <f t="shared" si="12"/>
        <v>0</v>
      </c>
      <c r="J35" s="51">
        <f t="shared" si="27"/>
        <v>0</v>
      </c>
      <c r="K35" s="51"/>
      <c r="L35" s="52"/>
      <c r="M35" s="52"/>
      <c r="N35" s="53">
        <f t="shared" si="1"/>
        <v>0</v>
      </c>
      <c r="O35" s="51">
        <f t="shared" si="2"/>
        <v>0</v>
      </c>
      <c r="P35" s="51">
        <f t="shared" si="3"/>
        <v>0</v>
      </c>
      <c r="Q35" s="54"/>
      <c r="R35" s="223">
        <f t="shared" si="4"/>
        <v>0</v>
      </c>
      <c r="S35" s="223">
        <f t="shared" si="5"/>
        <v>0</v>
      </c>
      <c r="T35" s="223">
        <f t="shared" si="6"/>
        <v>0</v>
      </c>
      <c r="U35" s="223">
        <f t="shared" si="7"/>
        <v>0</v>
      </c>
      <c r="V35" s="223">
        <f t="shared" si="8"/>
        <v>0</v>
      </c>
    </row>
    <row r="36" spans="1:22">
      <c r="A36" s="56"/>
      <c r="B36" s="56"/>
      <c r="C36" s="58"/>
      <c r="D36" s="59"/>
      <c r="E36" s="51"/>
      <c r="F36" s="51">
        <f t="shared" si="10"/>
        <v>0</v>
      </c>
      <c r="G36" s="51">
        <f t="shared" si="24"/>
        <v>0</v>
      </c>
      <c r="H36" s="51">
        <f t="shared" si="26"/>
        <v>0</v>
      </c>
      <c r="I36" s="51">
        <f t="shared" si="12"/>
        <v>0</v>
      </c>
      <c r="J36" s="51">
        <f t="shared" si="27"/>
        <v>0</v>
      </c>
      <c r="K36" s="51"/>
      <c r="L36" s="52"/>
      <c r="M36" s="52"/>
      <c r="N36" s="53">
        <f t="shared" si="1"/>
        <v>0</v>
      </c>
      <c r="O36" s="51">
        <f t="shared" si="2"/>
        <v>0</v>
      </c>
      <c r="P36" s="51">
        <f t="shared" si="3"/>
        <v>0</v>
      </c>
      <c r="Q36" s="54"/>
      <c r="R36" s="223">
        <f t="shared" si="4"/>
        <v>0</v>
      </c>
      <c r="S36" s="223">
        <f t="shared" si="5"/>
        <v>0</v>
      </c>
      <c r="T36" s="223">
        <f t="shared" si="6"/>
        <v>0</v>
      </c>
      <c r="U36" s="223">
        <f t="shared" si="7"/>
        <v>0</v>
      </c>
      <c r="V36" s="223">
        <f t="shared" si="8"/>
        <v>0</v>
      </c>
    </row>
    <row r="37" spans="1:22" ht="17.25" thickBot="1">
      <c r="A37" s="56"/>
      <c r="B37" s="57"/>
      <c r="C37" s="58"/>
      <c r="D37" s="59"/>
      <c r="E37" s="51"/>
      <c r="F37" s="51"/>
      <c r="G37" s="51"/>
      <c r="H37" s="51"/>
      <c r="I37" s="51"/>
      <c r="J37" s="51"/>
      <c r="K37" s="51"/>
      <c r="L37" s="52"/>
      <c r="M37" s="52"/>
      <c r="N37" s="62"/>
      <c r="O37" s="51"/>
      <c r="P37" s="57"/>
      <c r="Q37" s="54"/>
      <c r="R37" s="223"/>
      <c r="S37" s="223"/>
      <c r="T37" s="223"/>
      <c r="U37" s="223"/>
      <c r="V37" s="223"/>
    </row>
    <row r="38" spans="1:22" s="54" customFormat="1" ht="20.100000000000001" customHeight="1" thickBot="1">
      <c r="A38" s="160"/>
      <c r="B38" s="161" t="s">
        <v>58</v>
      </c>
      <c r="C38" s="161"/>
      <c r="D38" s="161"/>
      <c r="E38" s="162">
        <f t="shared" ref="E38:K38" si="28">SUM(E12:E37)</f>
        <v>115591907.20744</v>
      </c>
      <c r="F38" s="162">
        <f t="shared" si="28"/>
        <v>2304186.3021709318</v>
      </c>
      <c r="G38" s="162">
        <f t="shared" si="28"/>
        <v>0</v>
      </c>
      <c r="H38" s="162">
        <f t="shared" si="28"/>
        <v>0</v>
      </c>
      <c r="I38" s="162">
        <f t="shared" si="28"/>
        <v>117896093.50961094</v>
      </c>
      <c r="J38" s="162">
        <f t="shared" si="28"/>
        <v>117981622.95161094</v>
      </c>
      <c r="K38" s="162">
        <f t="shared" si="28"/>
        <v>100619506.23196012</v>
      </c>
      <c r="L38" s="163"/>
      <c r="M38" s="163"/>
      <c r="N38" s="163"/>
      <c r="O38" s="162">
        <f>SUM(O12:O37)</f>
        <v>17362116.719650805</v>
      </c>
      <c r="P38" s="164">
        <f>SUM(P12:P37)</f>
        <v>1123176.649650804</v>
      </c>
      <c r="R38" s="68">
        <f>SUM(R12:R37)</f>
        <v>609999.997650804</v>
      </c>
      <c r="S38" s="68">
        <f>SUM(S12:S37)</f>
        <v>0</v>
      </c>
      <c r="T38" s="68">
        <f>SUM(T12:T37)</f>
        <v>0</v>
      </c>
      <c r="U38" s="68">
        <f>SUM(U12:U37)</f>
        <v>513176.652</v>
      </c>
      <c r="V38" s="68">
        <f>SUM(V12:V37)</f>
        <v>0</v>
      </c>
    </row>
    <row r="39" spans="1:22">
      <c r="A39" s="69"/>
      <c r="B39" s="70"/>
      <c r="C39" s="70"/>
      <c r="D39" s="71" t="s">
        <v>59</v>
      </c>
      <c r="E39" s="72">
        <f>+E38/$M$7</f>
        <v>0.89628394464713212</v>
      </c>
      <c r="F39" s="70"/>
      <c r="G39" s="70"/>
      <c r="H39" s="70"/>
      <c r="I39" s="70"/>
      <c r="J39" s="71" t="s">
        <v>60</v>
      </c>
      <c r="K39" s="72">
        <f>+K38/J38</f>
        <v>0.85284049934817618</v>
      </c>
      <c r="L39" s="70"/>
      <c r="M39" s="70"/>
      <c r="N39" s="70"/>
      <c r="O39" s="70"/>
      <c r="P39" s="73"/>
      <c r="Q39" s="54"/>
      <c r="R39" s="54"/>
      <c r="S39" s="54"/>
      <c r="T39" s="54"/>
      <c r="U39" s="54"/>
      <c r="V39" s="54"/>
    </row>
    <row r="40" spans="1:22" ht="17.25" thickBot="1">
      <c r="A40" s="74"/>
      <c r="B40" s="75"/>
      <c r="C40" s="75"/>
      <c r="D40" s="76" t="s">
        <v>61</v>
      </c>
      <c r="E40" s="77">
        <f>+$M$7-$E$38</f>
        <v>13376047.532560006</v>
      </c>
      <c r="F40" s="78">
        <f>+E40/M7</f>
        <v>0.10371605535286792</v>
      </c>
      <c r="G40" s="75"/>
      <c r="H40" s="75"/>
      <c r="I40" s="75"/>
      <c r="J40" s="75"/>
      <c r="K40" s="75"/>
      <c r="L40" s="75"/>
      <c r="M40" s="75"/>
      <c r="N40" s="75"/>
      <c r="O40" s="75"/>
      <c r="P40" s="79"/>
      <c r="Q40" s="54"/>
      <c r="R40" s="54"/>
      <c r="S40" s="54"/>
      <c r="T40" s="54"/>
      <c r="U40" s="54"/>
      <c r="V40" s="54"/>
    </row>
    <row r="41" spans="1:22">
      <c r="A41" s="54"/>
      <c r="B41" s="69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3"/>
      <c r="O41" s="54"/>
      <c r="P41" s="54"/>
      <c r="Q41" s="54"/>
      <c r="R41" s="54"/>
      <c r="S41" s="54"/>
      <c r="T41" s="54"/>
      <c r="U41" s="54"/>
      <c r="V41" s="54"/>
    </row>
    <row r="42" spans="1:22" ht="21">
      <c r="A42" s="54"/>
      <c r="B42" s="165"/>
      <c r="C42" s="166" t="s">
        <v>62</v>
      </c>
      <c r="D42" s="166"/>
      <c r="E42" s="166"/>
      <c r="F42" s="166"/>
      <c r="G42" s="166"/>
      <c r="H42" s="166" t="s">
        <v>126</v>
      </c>
      <c r="I42" s="167"/>
      <c r="J42" s="167"/>
      <c r="K42" s="167"/>
      <c r="L42" s="167"/>
      <c r="M42" s="167"/>
      <c r="N42" s="168"/>
      <c r="O42" s="54"/>
      <c r="P42" s="87"/>
      <c r="Q42" s="54"/>
      <c r="R42" s="54"/>
      <c r="S42" s="54"/>
      <c r="T42" s="54"/>
      <c r="U42" s="54"/>
      <c r="V42" s="54"/>
    </row>
    <row r="43" spans="1:22" ht="17.25" thickBot="1">
      <c r="A43" s="54"/>
      <c r="B43" s="165"/>
      <c r="C43" s="167"/>
      <c r="D43" s="167"/>
      <c r="E43" s="167"/>
      <c r="F43" s="167"/>
      <c r="G43" s="169"/>
      <c r="H43" s="167"/>
      <c r="I43" s="167"/>
      <c r="J43" s="167"/>
      <c r="K43" s="167"/>
      <c r="L43" s="167"/>
      <c r="M43" s="167"/>
      <c r="N43" s="168"/>
      <c r="O43" s="54"/>
      <c r="P43" s="87"/>
      <c r="Q43" s="54"/>
      <c r="R43" s="54"/>
      <c r="S43" s="54"/>
      <c r="T43" s="54"/>
      <c r="U43" s="54"/>
      <c r="V43" s="54"/>
    </row>
    <row r="44" spans="1:22" ht="17.25" thickBot="1">
      <c r="A44" s="54"/>
      <c r="B44" s="165"/>
      <c r="C44" s="298" t="s">
        <v>63</v>
      </c>
      <c r="D44" s="299"/>
      <c r="E44" s="300"/>
      <c r="F44" s="170" t="s">
        <v>64</v>
      </c>
      <c r="G44" s="171">
        <f>+M7</f>
        <v>128967954.74000001</v>
      </c>
      <c r="H44" s="170"/>
      <c r="I44" s="250"/>
      <c r="J44" s="170"/>
      <c r="K44" s="170"/>
      <c r="L44" s="170"/>
      <c r="M44" s="172"/>
      <c r="N44" s="174"/>
      <c r="O44" s="54"/>
      <c r="P44" s="54"/>
      <c r="Q44" s="54"/>
      <c r="R44" s="54"/>
      <c r="S44" s="54"/>
      <c r="T44" s="54"/>
      <c r="U44" s="54"/>
      <c r="V44" s="54"/>
    </row>
    <row r="45" spans="1:22" ht="17.25" thickBot="1">
      <c r="A45" s="54"/>
      <c r="B45" s="165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2"/>
      <c r="N45" s="174"/>
      <c r="O45" s="54"/>
      <c r="P45" s="54"/>
      <c r="Q45" s="54"/>
      <c r="R45" s="54"/>
      <c r="S45" s="54"/>
      <c r="T45" s="54"/>
      <c r="U45" s="54"/>
      <c r="V45" s="54"/>
    </row>
    <row r="46" spans="1:22" ht="17.25" thickBot="1">
      <c r="A46" s="54"/>
      <c r="B46" s="165"/>
      <c r="C46" s="301" t="s">
        <v>65</v>
      </c>
      <c r="D46" s="302"/>
      <c r="E46" s="303"/>
      <c r="F46" s="170" t="s">
        <v>64</v>
      </c>
      <c r="G46" s="176">
        <f>+E38</f>
        <v>115591907.20744</v>
      </c>
      <c r="H46" s="170"/>
      <c r="I46" s="170"/>
      <c r="J46" s="95">
        <f>G46/G44</f>
        <v>0.89628394464713212</v>
      </c>
      <c r="K46" s="177" t="s">
        <v>66</v>
      </c>
      <c r="L46" s="251"/>
      <c r="M46" s="178"/>
      <c r="N46" s="174"/>
      <c r="O46" s="54"/>
      <c r="P46" s="54"/>
      <c r="Q46" s="54"/>
      <c r="R46" s="54"/>
      <c r="S46" s="54"/>
      <c r="T46" s="54"/>
      <c r="U46" s="54"/>
      <c r="V46" s="54"/>
    </row>
    <row r="47" spans="1:22" ht="17.25" thickBot="1">
      <c r="B47" s="179"/>
      <c r="C47" s="170"/>
      <c r="D47" s="170"/>
      <c r="E47" s="170"/>
      <c r="F47" s="170"/>
      <c r="G47" s="170"/>
      <c r="H47" s="170"/>
      <c r="I47" s="170"/>
      <c r="J47" s="170"/>
      <c r="K47" s="180"/>
      <c r="L47" s="170"/>
      <c r="M47" s="172"/>
      <c r="N47" s="174"/>
    </row>
    <row r="48" spans="1:22" ht="17.25" thickBot="1">
      <c r="B48" s="179"/>
      <c r="C48" s="304" t="s">
        <v>67</v>
      </c>
      <c r="D48" s="305"/>
      <c r="E48" s="306"/>
      <c r="F48" s="170" t="s">
        <v>68</v>
      </c>
      <c r="G48" s="101">
        <f>+K38</f>
        <v>100619506.23196012</v>
      </c>
      <c r="H48" s="170"/>
      <c r="I48" s="170"/>
      <c r="J48" s="102">
        <f>+G48/J38</f>
        <v>0.85284049934817618</v>
      </c>
      <c r="K48" s="181" t="s">
        <v>69</v>
      </c>
      <c r="L48" s="252"/>
      <c r="M48" s="182"/>
      <c r="N48" s="174"/>
    </row>
    <row r="49" spans="2:14" ht="17.25" thickBot="1">
      <c r="B49" s="179"/>
      <c r="C49" s="170"/>
      <c r="D49" s="170"/>
      <c r="E49" s="170"/>
      <c r="F49" s="170"/>
      <c r="G49" s="170"/>
      <c r="H49" s="170"/>
      <c r="I49" s="170"/>
      <c r="J49" s="170"/>
      <c r="K49" s="180"/>
      <c r="L49" s="170"/>
      <c r="M49" s="172"/>
      <c r="N49" s="174"/>
    </row>
    <row r="50" spans="2:14" ht="17.25" thickBot="1">
      <c r="B50" s="179"/>
      <c r="C50" s="304" t="s">
        <v>70</v>
      </c>
      <c r="D50" s="305"/>
      <c r="E50" s="306"/>
      <c r="F50" s="170" t="s">
        <v>68</v>
      </c>
      <c r="G50" s="253">
        <f>+O38</f>
        <v>17362116.719650805</v>
      </c>
      <c r="H50" s="170"/>
      <c r="I50" s="170"/>
      <c r="J50" s="107">
        <f>+G50/J38</f>
        <v>0.14715950065182368</v>
      </c>
      <c r="K50" s="181" t="s">
        <v>69</v>
      </c>
      <c r="L50" s="254"/>
      <c r="M50" s="183"/>
      <c r="N50" s="174"/>
    </row>
    <row r="51" spans="2:14" ht="17.25" thickBot="1">
      <c r="B51" s="179"/>
      <c r="C51" s="170"/>
      <c r="D51" s="170"/>
      <c r="E51" s="170"/>
      <c r="F51" s="170"/>
      <c r="G51" s="170"/>
      <c r="H51" s="170"/>
      <c r="I51" s="170"/>
      <c r="J51" s="170"/>
      <c r="K51" s="180"/>
      <c r="L51" s="170"/>
      <c r="M51" s="172"/>
      <c r="N51" s="174"/>
    </row>
    <row r="52" spans="2:14" ht="17.25" thickBot="1">
      <c r="B52" s="179"/>
      <c r="C52" s="304" t="s">
        <v>71</v>
      </c>
      <c r="D52" s="305"/>
      <c r="E52" s="306"/>
      <c r="F52" s="170" t="s">
        <v>68</v>
      </c>
      <c r="G52" s="110">
        <f>+P38</f>
        <v>1123176.649650804</v>
      </c>
      <c r="H52" s="170"/>
      <c r="I52" s="170"/>
      <c r="J52" s="111">
        <f>+G52/I38</f>
        <v>9.5268351665888078E-3</v>
      </c>
      <c r="K52" s="181" t="s">
        <v>69</v>
      </c>
      <c r="L52" s="252"/>
      <c r="M52" s="182"/>
      <c r="N52" s="174"/>
    </row>
    <row r="53" spans="2:14" ht="17.25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6"/>
    </row>
    <row r="56" spans="2:14">
      <c r="G56" s="255"/>
    </row>
  </sheetData>
  <mergeCells count="18">
    <mergeCell ref="C46:E46"/>
    <mergeCell ref="C48:E48"/>
    <mergeCell ref="C50:E50"/>
    <mergeCell ref="C52:E52"/>
    <mergeCell ref="M5:N5"/>
    <mergeCell ref="M6:N6"/>
    <mergeCell ref="M7:N7"/>
    <mergeCell ref="M8:N8"/>
    <mergeCell ref="O10:P10"/>
    <mergeCell ref="C44:E44"/>
    <mergeCell ref="C1:E2"/>
    <mergeCell ref="F1:F2"/>
    <mergeCell ref="G1:J1"/>
    <mergeCell ref="M1:N1"/>
    <mergeCell ref="M2:N2"/>
    <mergeCell ref="C3:E4"/>
    <mergeCell ref="M3:N3"/>
    <mergeCell ref="M4:N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"/>
  <sheetViews>
    <sheetView workbookViewId="0">
      <selection sqref="A1:B2"/>
    </sheetView>
  </sheetViews>
  <sheetFormatPr baseColWidth="10" defaultColWidth="11.42578125" defaultRowHeight="16.5"/>
  <cols>
    <col min="1" max="4" width="11.7109375" style="5" customWidth="1"/>
    <col min="5" max="5" width="13.28515625" style="5" bestFit="1" customWidth="1"/>
    <col min="6" max="6" width="12.42578125" style="5" customWidth="1"/>
    <col min="7" max="8" width="11.7109375" style="5" customWidth="1"/>
    <col min="9" max="9" width="13.28515625" style="5" bestFit="1" customWidth="1"/>
    <col min="10" max="10" width="13.5703125" style="5" customWidth="1"/>
    <col min="11" max="11" width="13" style="5" customWidth="1"/>
    <col min="12" max="14" width="11.7109375" style="5" customWidth="1"/>
    <col min="15" max="15" width="12.85546875" style="5" bestFit="1" customWidth="1"/>
    <col min="16" max="16" width="12.7109375" style="5" customWidth="1"/>
    <col min="17" max="22" width="11.7109375" style="5" customWidth="1"/>
    <col min="23" max="23" width="11.42578125" style="5"/>
    <col min="24" max="24" width="12.7109375" style="5" bestFit="1" customWidth="1"/>
    <col min="25" max="16384" width="11.42578125" style="5"/>
  </cols>
  <sheetData>
    <row r="1" spans="1:24" ht="21" customHeight="1">
      <c r="A1" s="259" t="s">
        <v>11</v>
      </c>
      <c r="B1" s="260"/>
      <c r="C1" s="263" t="s">
        <v>73</v>
      </c>
      <c r="D1" s="263"/>
      <c r="E1" s="263"/>
      <c r="F1" s="265" t="s">
        <v>96</v>
      </c>
      <c r="G1" s="267" t="s">
        <v>12</v>
      </c>
      <c r="H1" s="268"/>
      <c r="I1" s="268"/>
      <c r="J1" s="269"/>
      <c r="K1" s="1" t="s">
        <v>13</v>
      </c>
      <c r="L1" s="2"/>
      <c r="M1" s="270">
        <v>259394877.09959999</v>
      </c>
      <c r="N1" s="270"/>
      <c r="O1" s="3" t="s">
        <v>14</v>
      </c>
      <c r="P1" s="4">
        <v>33364</v>
      </c>
    </row>
    <row r="2" spans="1:24" ht="21">
      <c r="A2" s="261"/>
      <c r="B2" s="262"/>
      <c r="C2" s="264"/>
      <c r="D2" s="264"/>
      <c r="E2" s="264"/>
      <c r="F2" s="266"/>
      <c r="G2" s="6" t="s">
        <v>15</v>
      </c>
      <c r="H2" s="7"/>
      <c r="I2" s="8">
        <v>45</v>
      </c>
      <c r="J2" s="9"/>
      <c r="K2" s="10" t="s">
        <v>16</v>
      </c>
      <c r="L2" s="11"/>
      <c r="M2" s="258"/>
      <c r="N2" s="258"/>
      <c r="O2" s="11"/>
      <c r="P2" s="12"/>
    </row>
    <row r="3" spans="1:24" ht="16.5" customHeight="1">
      <c r="A3" s="261" t="s">
        <v>17</v>
      </c>
      <c r="B3" s="262"/>
      <c r="C3" s="264" t="s">
        <v>18</v>
      </c>
      <c r="D3" s="264"/>
      <c r="E3" s="264"/>
      <c r="F3" s="13"/>
      <c r="G3" s="6" t="s">
        <v>19</v>
      </c>
      <c r="H3" s="7"/>
      <c r="I3" s="14" t="s">
        <v>20</v>
      </c>
      <c r="J3" s="15"/>
      <c r="K3" s="10" t="s">
        <v>21</v>
      </c>
      <c r="L3" s="11"/>
      <c r="M3" s="258">
        <v>3167960.99</v>
      </c>
      <c r="N3" s="258"/>
      <c r="O3" s="11"/>
      <c r="P3" s="12"/>
    </row>
    <row r="4" spans="1:24">
      <c r="A4" s="261"/>
      <c r="B4" s="262"/>
      <c r="C4" s="264"/>
      <c r="D4" s="264"/>
      <c r="E4" s="264"/>
      <c r="F4" s="16"/>
      <c r="G4" s="6" t="s">
        <v>22</v>
      </c>
      <c r="H4" s="7"/>
      <c r="I4" s="17">
        <v>0.2</v>
      </c>
      <c r="J4" s="15"/>
      <c r="K4" s="10" t="s">
        <v>23</v>
      </c>
      <c r="L4" s="11"/>
      <c r="M4" s="258">
        <v>2313866.92</v>
      </c>
      <c r="N4" s="258"/>
      <c r="O4" s="11"/>
      <c r="P4" s="12"/>
    </row>
    <row r="5" spans="1:24">
      <c r="A5" s="194" t="s">
        <v>24</v>
      </c>
      <c r="B5" s="18"/>
      <c r="C5" s="18"/>
      <c r="D5" s="19" t="s">
        <v>75</v>
      </c>
      <c r="E5" s="20"/>
      <c r="F5" s="21"/>
      <c r="G5" s="6" t="s">
        <v>25</v>
      </c>
      <c r="H5" s="7"/>
      <c r="I5" s="14"/>
      <c r="J5" s="15" t="s">
        <v>26</v>
      </c>
      <c r="K5" s="10" t="s">
        <v>27</v>
      </c>
      <c r="L5" s="11"/>
      <c r="M5" s="258"/>
      <c r="N5" s="258"/>
      <c r="O5" s="11"/>
      <c r="P5" s="12"/>
    </row>
    <row r="6" spans="1:24">
      <c r="A6" s="194" t="s">
        <v>76</v>
      </c>
      <c r="B6" s="18"/>
      <c r="C6" s="18"/>
      <c r="D6" s="22" t="s">
        <v>79</v>
      </c>
      <c r="E6" s="23"/>
      <c r="F6" s="24"/>
      <c r="G6" s="6"/>
      <c r="H6" s="14" t="s">
        <v>28</v>
      </c>
      <c r="I6" s="25">
        <v>0.125</v>
      </c>
      <c r="J6" s="15" t="s">
        <v>29</v>
      </c>
      <c r="K6" s="26"/>
      <c r="L6" s="11"/>
      <c r="M6" s="258"/>
      <c r="N6" s="258"/>
      <c r="O6" s="11"/>
      <c r="P6" s="12"/>
    </row>
    <row r="7" spans="1:24">
      <c r="A7" s="194" t="s">
        <v>77</v>
      </c>
      <c r="B7" s="18"/>
      <c r="C7" s="18"/>
      <c r="D7" s="22" t="s">
        <v>80</v>
      </c>
      <c r="E7" s="23"/>
      <c r="F7" s="24"/>
      <c r="G7" s="6"/>
      <c r="H7" s="14" t="s">
        <v>30</v>
      </c>
      <c r="I7" s="27">
        <v>7.0000000000000007E-2</v>
      </c>
      <c r="J7" s="15" t="s">
        <v>29</v>
      </c>
      <c r="K7" s="28" t="s">
        <v>31</v>
      </c>
      <c r="L7" s="29"/>
      <c r="M7" s="274">
        <f>SUM(M1:M6)</f>
        <v>264876705.00959998</v>
      </c>
      <c r="N7" s="274"/>
      <c r="O7" s="11"/>
      <c r="P7" s="12"/>
    </row>
    <row r="8" spans="1:24">
      <c r="A8" s="30" t="s">
        <v>78</v>
      </c>
      <c r="B8" s="31"/>
      <c r="C8" s="31"/>
      <c r="D8" s="32" t="s">
        <v>81</v>
      </c>
      <c r="E8" s="33"/>
      <c r="F8" s="34"/>
      <c r="G8" s="35"/>
      <c r="H8" s="36" t="s">
        <v>32</v>
      </c>
      <c r="I8" s="37">
        <v>0.03</v>
      </c>
      <c r="J8" s="38" t="s">
        <v>29</v>
      </c>
      <c r="K8" s="39" t="s">
        <v>33</v>
      </c>
      <c r="L8" s="40"/>
      <c r="M8" s="275">
        <f>+M7*(1+$I$4)</f>
        <v>317852046.01151997</v>
      </c>
      <c r="N8" s="275"/>
      <c r="O8" s="41"/>
      <c r="P8" s="42"/>
    </row>
    <row r="10" spans="1:24">
      <c r="B10" s="5" t="s">
        <v>34</v>
      </c>
      <c r="C10" s="43">
        <v>43069</v>
      </c>
      <c r="E10" s="44"/>
      <c r="F10" s="45"/>
      <c r="G10" s="46">
        <v>0.1</v>
      </c>
      <c r="H10" s="47">
        <v>0.02</v>
      </c>
      <c r="O10" s="276" t="s">
        <v>35</v>
      </c>
      <c r="P10" s="277"/>
    </row>
    <row r="11" spans="1:24" ht="60">
      <c r="A11" s="48" t="s">
        <v>36</v>
      </c>
      <c r="B11" s="49" t="s">
        <v>37</v>
      </c>
      <c r="C11" s="49" t="s">
        <v>38</v>
      </c>
      <c r="D11" s="48" t="s">
        <v>39</v>
      </c>
      <c r="E11" s="49" t="s">
        <v>40</v>
      </c>
      <c r="F11" s="49" t="s">
        <v>41</v>
      </c>
      <c r="G11" s="49" t="s">
        <v>42</v>
      </c>
      <c r="H11" s="49" t="s">
        <v>43</v>
      </c>
      <c r="I11" s="49" t="s">
        <v>44</v>
      </c>
      <c r="J11" s="49" t="s">
        <v>45</v>
      </c>
      <c r="K11" s="49" t="s">
        <v>46</v>
      </c>
      <c r="L11" s="49" t="s">
        <v>47</v>
      </c>
      <c r="M11" s="49" t="s">
        <v>48</v>
      </c>
      <c r="N11" s="49" t="s">
        <v>49</v>
      </c>
      <c r="O11" s="49" t="s">
        <v>50</v>
      </c>
      <c r="P11" s="49" t="s">
        <v>51</v>
      </c>
      <c r="R11" s="217" t="s">
        <v>52</v>
      </c>
      <c r="S11" s="217" t="s">
        <v>53</v>
      </c>
      <c r="T11" s="217" t="s">
        <v>54</v>
      </c>
      <c r="U11" s="217" t="s">
        <v>55</v>
      </c>
      <c r="V11" s="217" t="s">
        <v>56</v>
      </c>
      <c r="X11" s="217" t="s">
        <v>57</v>
      </c>
    </row>
    <row r="12" spans="1:24">
      <c r="A12" s="56">
        <v>1</v>
      </c>
      <c r="B12" s="56">
        <v>1133000010</v>
      </c>
      <c r="C12" s="58">
        <v>42674</v>
      </c>
      <c r="D12" s="59">
        <v>42644</v>
      </c>
      <c r="E12" s="51">
        <v>3730304.77</v>
      </c>
      <c r="F12" s="51">
        <v>-1016288.09</v>
      </c>
      <c r="G12" s="51">
        <v>0</v>
      </c>
      <c r="H12" s="51">
        <f t="shared" ref="H12:H22" si="0">+E12*$H$10</f>
        <v>74606.095400000006</v>
      </c>
      <c r="I12" s="51">
        <f t="shared" ref="I12:I18" si="1">+E12+F12-G12-H12</f>
        <v>2639410.5846000002</v>
      </c>
      <c r="J12" s="51">
        <f t="shared" ref="J12:J22" si="2">+I12+(I12*$I$4)</f>
        <v>3167292.7015200001</v>
      </c>
      <c r="K12" s="51">
        <f>+J12</f>
        <v>3167292.7015200001</v>
      </c>
      <c r="L12" s="52">
        <v>42735</v>
      </c>
      <c r="M12" s="52">
        <v>42741</v>
      </c>
      <c r="N12" s="53">
        <f t="shared" ref="N12:N22" si="3">-IF(L12=0,,IF(M12=0,($C$10-L12),M12-L12))</f>
        <v>-6</v>
      </c>
      <c r="O12" s="51">
        <f t="shared" ref="O12:O22" si="4">+J12-K12</f>
        <v>0</v>
      </c>
      <c r="P12" s="51">
        <f t="shared" ref="P12:P22" si="5">+IF($C$10&lt;L12,0,O12)</f>
        <v>0</v>
      </c>
      <c r="Q12" s="54"/>
      <c r="R12" s="223">
        <f t="shared" ref="R12:R22" si="6">IF(N12&gt;=0,0,(IF(-N12&lt;=60,O12,0)))</f>
        <v>0</v>
      </c>
      <c r="S12" s="223">
        <f t="shared" ref="S12:S22" si="7">IF(N12&gt;=0,0,(IF(N12&gt;=-60,0,IF(-60&gt;=N12,IF(N12&gt;=-120,O12,0)))))</f>
        <v>0</v>
      </c>
      <c r="T12" s="223">
        <f t="shared" ref="T12:T22" si="8">IF(N12&gt;=0,0,(IF(N12&gt;-60,0,IF(-60&gt;=N12,IF(N12&gt;=-120,0,IF(N12&gt;=-180,O12,0))))))</f>
        <v>0</v>
      </c>
      <c r="U12" s="223">
        <f t="shared" ref="U12:U22" si="9">IF(N12&gt;=0,0,(IF(N12&gt;-60,0,IF(-60&gt;=N12,IF(N12&gt;-120,0,IF(N12&gt;=-180,0,IF(N12&gt;=-365,O12,0)))))))</f>
        <v>0</v>
      </c>
      <c r="V12" s="223">
        <f t="shared" ref="V12:V22" si="10">IF(N12&gt;=0,0,IF(365&lt;-N12,O12,0))</f>
        <v>0</v>
      </c>
      <c r="X12" s="256">
        <f t="shared" ref="X12:X16" si="11">+(J12*N12*(2.25+3)/100)/(365)</f>
        <v>-2733.4169889830141</v>
      </c>
    </row>
    <row r="13" spans="1:24">
      <c r="A13" s="56">
        <v>2</v>
      </c>
      <c r="B13" s="56">
        <v>1133000011</v>
      </c>
      <c r="C13" s="58">
        <v>42704</v>
      </c>
      <c r="D13" s="59">
        <v>42675</v>
      </c>
      <c r="E13" s="51">
        <v>4590101</v>
      </c>
      <c r="F13" s="51">
        <v>-923762.62454242073</v>
      </c>
      <c r="G13" s="51">
        <v>0</v>
      </c>
      <c r="H13" s="51">
        <f t="shared" si="0"/>
        <v>91802.02</v>
      </c>
      <c r="I13" s="51">
        <f t="shared" si="1"/>
        <v>3574536.3554575793</v>
      </c>
      <c r="J13" s="51">
        <f t="shared" si="2"/>
        <v>4289443.6265490949</v>
      </c>
      <c r="K13" s="51">
        <f>+J13</f>
        <v>4289443.6265490949</v>
      </c>
      <c r="L13" s="52">
        <v>42768</v>
      </c>
      <c r="M13" s="52">
        <v>42769</v>
      </c>
      <c r="N13" s="53">
        <f t="shared" si="3"/>
        <v>-1</v>
      </c>
      <c r="O13" s="51">
        <f t="shared" si="4"/>
        <v>0</v>
      </c>
      <c r="P13" s="51">
        <f t="shared" si="5"/>
        <v>0</v>
      </c>
      <c r="Q13" s="54"/>
      <c r="R13" s="223">
        <f t="shared" si="6"/>
        <v>0</v>
      </c>
      <c r="S13" s="223">
        <f t="shared" si="7"/>
        <v>0</v>
      </c>
      <c r="T13" s="223">
        <f t="shared" si="8"/>
        <v>0</v>
      </c>
      <c r="U13" s="223">
        <f t="shared" si="9"/>
        <v>0</v>
      </c>
      <c r="V13" s="223">
        <f t="shared" si="10"/>
        <v>0</v>
      </c>
      <c r="X13" s="256">
        <f t="shared" si="11"/>
        <v>-616.97476820226711</v>
      </c>
    </row>
    <row r="14" spans="1:24">
      <c r="A14" s="56">
        <v>3</v>
      </c>
      <c r="B14" s="56">
        <v>1133000012</v>
      </c>
      <c r="C14" s="58">
        <v>42735</v>
      </c>
      <c r="D14" s="59">
        <v>42705</v>
      </c>
      <c r="E14" s="51">
        <v>8626044.8608809095</v>
      </c>
      <c r="F14" s="51">
        <v>-665755.60761011392</v>
      </c>
      <c r="G14" s="51">
        <v>0</v>
      </c>
      <c r="H14" s="51">
        <f t="shared" si="0"/>
        <v>172520.89721761819</v>
      </c>
      <c r="I14" s="51">
        <f t="shared" si="1"/>
        <v>7787768.3560531773</v>
      </c>
      <c r="J14" s="51">
        <f t="shared" si="2"/>
        <v>9345322.0272638127</v>
      </c>
      <c r="K14" s="51">
        <f>+J14</f>
        <v>9345322.0272638127</v>
      </c>
      <c r="L14" s="52">
        <v>42797</v>
      </c>
      <c r="M14" s="52">
        <v>42811</v>
      </c>
      <c r="N14" s="53">
        <f t="shared" si="3"/>
        <v>-14</v>
      </c>
      <c r="O14" s="51">
        <f t="shared" si="4"/>
        <v>0</v>
      </c>
      <c r="P14" s="51">
        <f t="shared" si="5"/>
        <v>0</v>
      </c>
      <c r="Q14" s="54"/>
      <c r="R14" s="223">
        <f t="shared" si="6"/>
        <v>0</v>
      </c>
      <c r="S14" s="223">
        <f t="shared" si="7"/>
        <v>0</v>
      </c>
      <c r="T14" s="223">
        <f t="shared" si="8"/>
        <v>0</v>
      </c>
      <c r="U14" s="223">
        <f t="shared" si="9"/>
        <v>0</v>
      </c>
      <c r="V14" s="223">
        <f t="shared" si="10"/>
        <v>0</v>
      </c>
      <c r="X14" s="256">
        <f t="shared" si="11"/>
        <v>-18818.662164490146</v>
      </c>
    </row>
    <row r="15" spans="1:24">
      <c r="A15" s="56">
        <v>4</v>
      </c>
      <c r="B15" s="56">
        <v>1133000013</v>
      </c>
      <c r="C15" s="58">
        <v>42766</v>
      </c>
      <c r="D15" s="59">
        <v>42736</v>
      </c>
      <c r="E15" s="51">
        <v>6280153.9800000004</v>
      </c>
      <c r="F15" s="51">
        <f>-0.125*E15</f>
        <v>-785019.24750000006</v>
      </c>
      <c r="G15" s="51">
        <v>0</v>
      </c>
      <c r="H15" s="51">
        <f t="shared" si="0"/>
        <v>125603.07960000001</v>
      </c>
      <c r="I15" s="51">
        <f t="shared" si="1"/>
        <v>5369531.6529000001</v>
      </c>
      <c r="J15" s="51">
        <f t="shared" si="2"/>
        <v>6443437.9834799999</v>
      </c>
      <c r="K15" s="51">
        <f t="shared" ref="K15:K16" si="12">+J15</f>
        <v>6443437.9834799999</v>
      </c>
      <c r="L15" s="52">
        <v>42818</v>
      </c>
      <c r="M15" s="52">
        <v>42829</v>
      </c>
      <c r="N15" s="53">
        <f t="shared" si="3"/>
        <v>-11</v>
      </c>
      <c r="O15" s="51">
        <f t="shared" si="4"/>
        <v>0</v>
      </c>
      <c r="P15" s="51">
        <f t="shared" si="5"/>
        <v>0</v>
      </c>
      <c r="Q15" s="54"/>
      <c r="R15" s="223">
        <f t="shared" si="6"/>
        <v>0</v>
      </c>
      <c r="S15" s="223">
        <f t="shared" si="7"/>
        <v>0</v>
      </c>
      <c r="T15" s="223">
        <f t="shared" si="8"/>
        <v>0</v>
      </c>
      <c r="U15" s="223">
        <f t="shared" si="9"/>
        <v>0</v>
      </c>
      <c r="V15" s="223">
        <f t="shared" si="10"/>
        <v>0</v>
      </c>
      <c r="X15" s="256">
        <f t="shared" si="11"/>
        <v>-10194.754617697807</v>
      </c>
    </row>
    <row r="16" spans="1:24">
      <c r="A16" s="56">
        <v>5</v>
      </c>
      <c r="B16" s="56">
        <v>1133000014</v>
      </c>
      <c r="C16" s="58">
        <v>42794</v>
      </c>
      <c r="D16" s="59">
        <v>42767</v>
      </c>
      <c r="E16" s="51">
        <v>7532934.4500000002</v>
      </c>
      <c r="F16" s="51">
        <f>-0.125*E16</f>
        <v>-941616.80625000002</v>
      </c>
      <c r="G16" s="51">
        <v>0</v>
      </c>
      <c r="H16" s="51">
        <f t="shared" si="0"/>
        <v>150658.68900000001</v>
      </c>
      <c r="I16" s="51">
        <f t="shared" si="1"/>
        <v>6440658.9547499996</v>
      </c>
      <c r="J16" s="51">
        <f t="shared" si="2"/>
        <v>7728790.7456999999</v>
      </c>
      <c r="K16" s="51">
        <f t="shared" si="12"/>
        <v>7728790.7456999999</v>
      </c>
      <c r="L16" s="52">
        <v>42849</v>
      </c>
      <c r="M16" s="52">
        <v>42849</v>
      </c>
      <c r="N16" s="53">
        <f t="shared" si="3"/>
        <v>0</v>
      </c>
      <c r="O16" s="51">
        <f t="shared" si="4"/>
        <v>0</v>
      </c>
      <c r="P16" s="51">
        <f t="shared" si="5"/>
        <v>0</v>
      </c>
      <c r="Q16" s="54"/>
      <c r="R16" s="223">
        <f t="shared" si="6"/>
        <v>0</v>
      </c>
      <c r="S16" s="223">
        <f t="shared" si="7"/>
        <v>0</v>
      </c>
      <c r="T16" s="223">
        <f t="shared" si="8"/>
        <v>0</v>
      </c>
      <c r="U16" s="223">
        <f t="shared" si="9"/>
        <v>0</v>
      </c>
      <c r="V16" s="223">
        <f t="shared" si="10"/>
        <v>0</v>
      </c>
      <c r="X16" s="256">
        <f t="shared" si="11"/>
        <v>0</v>
      </c>
    </row>
    <row r="17" spans="1:24">
      <c r="A17" s="56">
        <v>6</v>
      </c>
      <c r="B17" s="56">
        <v>1133000015</v>
      </c>
      <c r="C17" s="58">
        <v>42825</v>
      </c>
      <c r="D17" s="59">
        <v>42795</v>
      </c>
      <c r="E17" s="51">
        <v>11074683.960000001</v>
      </c>
      <c r="F17" s="51">
        <f>-0.125*E17</f>
        <v>-1384335.4950000001</v>
      </c>
      <c r="G17" s="51">
        <v>0</v>
      </c>
      <c r="H17" s="51">
        <f t="shared" si="0"/>
        <v>221493.67920000001</v>
      </c>
      <c r="I17" s="51">
        <f t="shared" si="1"/>
        <v>9468854.7858000007</v>
      </c>
      <c r="J17" s="51">
        <f t="shared" si="2"/>
        <v>11362625.74296</v>
      </c>
      <c r="K17" s="51"/>
      <c r="L17" s="52">
        <v>42888</v>
      </c>
      <c r="M17" s="52"/>
      <c r="N17" s="53">
        <f t="shared" si="3"/>
        <v>-181</v>
      </c>
      <c r="O17" s="51">
        <f t="shared" si="4"/>
        <v>11362625.74296</v>
      </c>
      <c r="P17" s="51">
        <f t="shared" si="5"/>
        <v>11362625.74296</v>
      </c>
      <c r="Q17" s="54"/>
      <c r="R17" s="223">
        <f t="shared" si="6"/>
        <v>0</v>
      </c>
      <c r="S17" s="223">
        <f t="shared" si="7"/>
        <v>0</v>
      </c>
      <c r="T17" s="223">
        <f t="shared" si="8"/>
        <v>0</v>
      </c>
      <c r="U17" s="223">
        <f t="shared" si="9"/>
        <v>11362625.74296</v>
      </c>
      <c r="V17" s="223">
        <f t="shared" si="10"/>
        <v>0</v>
      </c>
      <c r="X17" s="256"/>
    </row>
    <row r="18" spans="1:24">
      <c r="A18" s="56">
        <v>7</v>
      </c>
      <c r="B18" s="56">
        <v>1133000016</v>
      </c>
      <c r="C18" s="61">
        <v>42855</v>
      </c>
      <c r="D18" s="59">
        <v>42826</v>
      </c>
      <c r="E18" s="51">
        <v>11895116.57</v>
      </c>
      <c r="F18" s="51">
        <f>-0.125*E18</f>
        <v>-1486889.57125</v>
      </c>
      <c r="G18" s="51">
        <v>0</v>
      </c>
      <c r="H18" s="51">
        <f t="shared" si="0"/>
        <v>237902.33140000002</v>
      </c>
      <c r="I18" s="51">
        <f t="shared" si="1"/>
        <v>10170324.667350002</v>
      </c>
      <c r="J18" s="51">
        <f t="shared" si="2"/>
        <v>12204389.600820001</v>
      </c>
      <c r="K18" s="51"/>
      <c r="L18" s="52">
        <v>42912</v>
      </c>
      <c r="M18" s="52"/>
      <c r="N18" s="53">
        <f t="shared" si="3"/>
        <v>-157</v>
      </c>
      <c r="O18" s="51">
        <f t="shared" si="4"/>
        <v>12204389.600820001</v>
      </c>
      <c r="P18" s="51">
        <f t="shared" si="5"/>
        <v>12204389.600820001</v>
      </c>
      <c r="Q18" s="54"/>
      <c r="R18" s="223">
        <f t="shared" si="6"/>
        <v>0</v>
      </c>
      <c r="S18" s="223">
        <f t="shared" si="7"/>
        <v>0</v>
      </c>
      <c r="T18" s="223">
        <f t="shared" si="8"/>
        <v>12204389.600820001</v>
      </c>
      <c r="U18" s="223">
        <f t="shared" si="9"/>
        <v>0</v>
      </c>
      <c r="V18" s="223">
        <f t="shared" si="10"/>
        <v>0</v>
      </c>
      <c r="X18" s="256"/>
    </row>
    <row r="19" spans="1:24">
      <c r="A19" s="56">
        <v>8</v>
      </c>
      <c r="B19" s="56">
        <v>1133000017</v>
      </c>
      <c r="C19" s="52">
        <v>42886</v>
      </c>
      <c r="D19" s="59">
        <v>42856</v>
      </c>
      <c r="E19" s="51">
        <v>11358269.310000001</v>
      </c>
      <c r="F19" s="51">
        <f>-0.125*E19</f>
        <v>-1419783.6637500001</v>
      </c>
      <c r="G19" s="51">
        <v>0</v>
      </c>
      <c r="H19" s="51">
        <f t="shared" si="0"/>
        <v>227165.38620000001</v>
      </c>
      <c r="I19" s="51">
        <f>+E19+F19-G19-H19</f>
        <v>9711320.2600500006</v>
      </c>
      <c r="J19" s="51">
        <f t="shared" si="2"/>
        <v>11653584.31206</v>
      </c>
      <c r="K19" s="51"/>
      <c r="L19" s="52">
        <v>42931</v>
      </c>
      <c r="M19" s="52"/>
      <c r="N19" s="53">
        <f t="shared" si="3"/>
        <v>-138</v>
      </c>
      <c r="O19" s="51">
        <f t="shared" si="4"/>
        <v>11653584.31206</v>
      </c>
      <c r="P19" s="51">
        <f t="shared" si="5"/>
        <v>11653584.31206</v>
      </c>
      <c r="Q19" s="54"/>
      <c r="R19" s="223">
        <f t="shared" si="6"/>
        <v>0</v>
      </c>
      <c r="S19" s="223">
        <f t="shared" si="7"/>
        <v>0</v>
      </c>
      <c r="T19" s="223">
        <f t="shared" si="8"/>
        <v>11653584.31206</v>
      </c>
      <c r="U19" s="223">
        <f t="shared" si="9"/>
        <v>0</v>
      </c>
      <c r="V19" s="223">
        <f t="shared" si="10"/>
        <v>0</v>
      </c>
      <c r="X19" s="256"/>
    </row>
    <row r="20" spans="1:24">
      <c r="A20" s="56">
        <v>9</v>
      </c>
      <c r="B20" s="56">
        <v>1133000018</v>
      </c>
      <c r="C20" s="52">
        <v>42916</v>
      </c>
      <c r="D20" s="59">
        <v>42795</v>
      </c>
      <c r="E20" s="51">
        <f t="shared" ref="E20:F22" si="13">-E17</f>
        <v>-11074683.960000001</v>
      </c>
      <c r="F20" s="51">
        <f t="shared" si="13"/>
        <v>1384335.4950000001</v>
      </c>
      <c r="G20" s="51">
        <v>0</v>
      </c>
      <c r="H20" s="51">
        <f t="shared" si="0"/>
        <v>-221493.67920000001</v>
      </c>
      <c r="I20" s="51">
        <f>+E20+F20-G20-H20</f>
        <v>-9468854.7858000007</v>
      </c>
      <c r="J20" s="51">
        <f t="shared" si="2"/>
        <v>-11362625.74296</v>
      </c>
      <c r="K20" s="51"/>
      <c r="L20" s="52">
        <v>42888</v>
      </c>
      <c r="M20" s="52"/>
      <c r="N20" s="53">
        <f t="shared" si="3"/>
        <v>-181</v>
      </c>
      <c r="O20" s="51">
        <f t="shared" si="4"/>
        <v>-11362625.74296</v>
      </c>
      <c r="P20" s="51">
        <f t="shared" si="5"/>
        <v>-11362625.74296</v>
      </c>
      <c r="Q20" s="54"/>
      <c r="R20" s="223">
        <f t="shared" si="6"/>
        <v>0</v>
      </c>
      <c r="S20" s="223">
        <f t="shared" si="7"/>
        <v>0</v>
      </c>
      <c r="T20" s="223">
        <f t="shared" si="8"/>
        <v>0</v>
      </c>
      <c r="U20" s="223">
        <f t="shared" si="9"/>
        <v>-11362625.74296</v>
      </c>
      <c r="V20" s="223">
        <f t="shared" si="10"/>
        <v>0</v>
      </c>
      <c r="X20" s="256"/>
    </row>
    <row r="21" spans="1:24">
      <c r="A21" s="56">
        <v>10</v>
      </c>
      <c r="B21" s="56">
        <v>1133000019</v>
      </c>
      <c r="C21" s="52">
        <v>42916</v>
      </c>
      <c r="D21" s="59">
        <v>42826</v>
      </c>
      <c r="E21" s="51">
        <f t="shared" si="13"/>
        <v>-11895116.57</v>
      </c>
      <c r="F21" s="51">
        <f t="shared" si="13"/>
        <v>1486889.57125</v>
      </c>
      <c r="G21" s="51">
        <v>0</v>
      </c>
      <c r="H21" s="51">
        <f t="shared" si="0"/>
        <v>-237902.33140000002</v>
      </c>
      <c r="I21" s="51">
        <f t="shared" ref="I21:I22" si="14">+E21+F21-G21-H21</f>
        <v>-10170324.667350002</v>
      </c>
      <c r="J21" s="51">
        <f t="shared" si="2"/>
        <v>-12204389.600820001</v>
      </c>
      <c r="K21" s="51"/>
      <c r="L21" s="52">
        <v>42912</v>
      </c>
      <c r="M21" s="52"/>
      <c r="N21" s="53">
        <f t="shared" si="3"/>
        <v>-157</v>
      </c>
      <c r="O21" s="51">
        <f t="shared" si="4"/>
        <v>-12204389.600820001</v>
      </c>
      <c r="P21" s="51">
        <f t="shared" si="5"/>
        <v>-12204389.600820001</v>
      </c>
      <c r="Q21" s="54"/>
      <c r="R21" s="223">
        <f t="shared" si="6"/>
        <v>0</v>
      </c>
      <c r="S21" s="223">
        <f t="shared" si="7"/>
        <v>0</v>
      </c>
      <c r="T21" s="223">
        <f t="shared" si="8"/>
        <v>-12204389.600820001</v>
      </c>
      <c r="U21" s="223">
        <f t="shared" si="9"/>
        <v>0</v>
      </c>
      <c r="V21" s="223">
        <f t="shared" si="10"/>
        <v>0</v>
      </c>
      <c r="X21" s="256"/>
    </row>
    <row r="22" spans="1:24">
      <c r="A22" s="56">
        <v>11</v>
      </c>
      <c r="B22" s="56">
        <v>1133000020</v>
      </c>
      <c r="C22" s="52">
        <v>42916</v>
      </c>
      <c r="D22" s="59">
        <v>42856</v>
      </c>
      <c r="E22" s="51">
        <f t="shared" si="13"/>
        <v>-11358269.310000001</v>
      </c>
      <c r="F22" s="51">
        <f t="shared" si="13"/>
        <v>1419783.6637500001</v>
      </c>
      <c r="G22" s="51">
        <v>0</v>
      </c>
      <c r="H22" s="51">
        <f t="shared" si="0"/>
        <v>-227165.38620000001</v>
      </c>
      <c r="I22" s="51">
        <f t="shared" si="14"/>
        <v>-9711320.2600500006</v>
      </c>
      <c r="J22" s="51">
        <f t="shared" si="2"/>
        <v>-11653584.31206</v>
      </c>
      <c r="K22" s="51"/>
      <c r="L22" s="52">
        <v>43084</v>
      </c>
      <c r="M22" s="52"/>
      <c r="N22" s="53">
        <f t="shared" si="3"/>
        <v>15</v>
      </c>
      <c r="O22" s="51">
        <f t="shared" si="4"/>
        <v>-11653584.31206</v>
      </c>
      <c r="P22" s="51">
        <f t="shared" si="5"/>
        <v>0</v>
      </c>
      <c r="Q22" s="54"/>
      <c r="R22" s="223">
        <f t="shared" si="6"/>
        <v>0</v>
      </c>
      <c r="S22" s="223">
        <f t="shared" si="7"/>
        <v>0</v>
      </c>
      <c r="T22" s="223">
        <f t="shared" si="8"/>
        <v>0</v>
      </c>
      <c r="U22" s="223">
        <f t="shared" si="9"/>
        <v>0</v>
      </c>
      <c r="V22" s="223">
        <f t="shared" si="10"/>
        <v>0</v>
      </c>
      <c r="X22" s="256"/>
    </row>
    <row r="23" spans="1:24" ht="17.25" thickBot="1">
      <c r="A23" s="56"/>
      <c r="B23" s="57"/>
      <c r="C23" s="58"/>
      <c r="D23" s="59"/>
      <c r="E23" s="51"/>
      <c r="F23" s="51"/>
      <c r="G23" s="51"/>
      <c r="H23" s="51"/>
      <c r="I23" s="51"/>
      <c r="J23" s="51"/>
      <c r="K23" s="51"/>
      <c r="L23" s="52"/>
      <c r="M23" s="52"/>
      <c r="N23" s="62"/>
      <c r="O23" s="51"/>
      <c r="P23" s="57"/>
      <c r="Q23" s="54"/>
      <c r="R23" s="223"/>
      <c r="S23" s="223"/>
      <c r="T23" s="223"/>
      <c r="U23" s="223"/>
      <c r="V23" s="223"/>
      <c r="X23" s="256"/>
    </row>
    <row r="24" spans="1:24" s="54" customFormat="1" ht="20.100000000000001" customHeight="1" thickBot="1">
      <c r="A24" s="63"/>
      <c r="B24" s="64" t="s">
        <v>58</v>
      </c>
      <c r="C24" s="64"/>
      <c r="D24" s="64"/>
      <c r="E24" s="65">
        <f t="shared" ref="E24:K24" si="15">SUM(E12:E23)</f>
        <v>30759539.060880907</v>
      </c>
      <c r="F24" s="65">
        <f t="shared" si="15"/>
        <v>-4332442.3759025335</v>
      </c>
      <c r="G24" s="65">
        <f t="shared" si="15"/>
        <v>0</v>
      </c>
      <c r="H24" s="65">
        <f t="shared" si="15"/>
        <v>615190.78121761791</v>
      </c>
      <c r="I24" s="65">
        <f t="shared" si="15"/>
        <v>25811905.903760754</v>
      </c>
      <c r="J24" s="65">
        <f t="shared" si="15"/>
        <v>30974287.084512904</v>
      </c>
      <c r="K24" s="65">
        <f t="shared" si="15"/>
        <v>30974287.084512904</v>
      </c>
      <c r="L24" s="66"/>
      <c r="M24" s="66"/>
      <c r="N24" s="66"/>
      <c r="O24" s="65">
        <f>SUM(O12:O23)</f>
        <v>0</v>
      </c>
      <c r="P24" s="67">
        <f>SUM(P12:P23)</f>
        <v>11653584.312060002</v>
      </c>
      <c r="R24" s="68">
        <f>SUM(R12:R23)</f>
        <v>0</v>
      </c>
      <c r="S24" s="68">
        <f>SUM(S12:S23)</f>
        <v>0</v>
      </c>
      <c r="T24" s="68">
        <f>SUM(T12:T23)</f>
        <v>11653584.312060002</v>
      </c>
      <c r="U24" s="68">
        <f>SUM(U12:U23)</f>
        <v>0</v>
      </c>
      <c r="V24" s="68">
        <f>SUM(V12:V23)</f>
        <v>0</v>
      </c>
      <c r="X24" s="68">
        <f>+SUM(X12:X23)</f>
        <v>-32363.808539373233</v>
      </c>
    </row>
    <row r="25" spans="1:24">
      <c r="A25" s="69"/>
      <c r="B25" s="70"/>
      <c r="C25" s="70"/>
      <c r="D25" s="71" t="s">
        <v>59</v>
      </c>
      <c r="E25" s="72">
        <f>+E24/$M$7</f>
        <v>0.11612776238577145</v>
      </c>
      <c r="F25" s="70"/>
      <c r="G25" s="70"/>
      <c r="H25" s="70">
        <f>+H24*1.2</f>
        <v>738228.9374611415</v>
      </c>
      <c r="I25" s="70"/>
      <c r="J25" s="71" t="s">
        <v>60</v>
      </c>
      <c r="K25" s="72">
        <f>+K24/J24</f>
        <v>1</v>
      </c>
      <c r="L25" s="70"/>
      <c r="M25" s="70"/>
      <c r="N25" s="70"/>
      <c r="O25" s="70"/>
      <c r="P25" s="73"/>
      <c r="Q25" s="54"/>
      <c r="R25" s="54"/>
      <c r="S25" s="54"/>
      <c r="T25" s="54"/>
      <c r="U25" s="54"/>
      <c r="V25" s="54"/>
    </row>
    <row r="26" spans="1:24" ht="17.25" thickBot="1">
      <c r="A26" s="74"/>
      <c r="B26" s="75"/>
      <c r="C26" s="75"/>
      <c r="D26" s="76" t="s">
        <v>61</v>
      </c>
      <c r="E26" s="77">
        <f>+$M$7-$E$24</f>
        <v>234117165.94871908</v>
      </c>
      <c r="F26" s="78">
        <f>+E26/M7</f>
        <v>0.88387223761422862</v>
      </c>
      <c r="G26" s="75"/>
      <c r="H26" s="75"/>
      <c r="I26" s="75"/>
      <c r="J26" s="75"/>
      <c r="K26" s="75"/>
      <c r="L26" s="75"/>
      <c r="M26" s="75"/>
      <c r="N26" s="75"/>
      <c r="O26" s="75"/>
      <c r="P26" s="79"/>
      <c r="Q26" s="54"/>
      <c r="R26" s="54"/>
      <c r="S26" s="54"/>
      <c r="T26" s="54"/>
      <c r="U26" s="54"/>
      <c r="V26" s="54"/>
    </row>
    <row r="27" spans="1:24">
      <c r="A27" s="54"/>
      <c r="B27" s="80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2"/>
      <c r="O27" s="54"/>
      <c r="P27" s="54"/>
      <c r="Q27" s="54"/>
      <c r="R27" s="54"/>
      <c r="S27" s="54"/>
      <c r="T27" s="54"/>
      <c r="U27" s="54"/>
      <c r="V27" s="54"/>
    </row>
    <row r="28" spans="1:24" ht="21">
      <c r="A28" s="54"/>
      <c r="B28" s="83"/>
      <c r="C28" s="84" t="s">
        <v>62</v>
      </c>
      <c r="D28" s="84"/>
      <c r="E28" s="84"/>
      <c r="F28" s="84"/>
      <c r="G28" s="84"/>
      <c r="H28" s="84"/>
      <c r="I28" s="85"/>
      <c r="J28" s="85"/>
      <c r="K28" s="85"/>
      <c r="L28" s="85"/>
      <c r="M28" s="85"/>
      <c r="N28" s="86"/>
      <c r="O28" s="54"/>
      <c r="P28" s="87"/>
      <c r="Q28" s="54"/>
      <c r="R28" s="54"/>
      <c r="S28" s="54"/>
      <c r="T28" s="54"/>
      <c r="U28" s="54"/>
      <c r="V28" s="54"/>
    </row>
    <row r="29" spans="1:24" ht="17.25" thickBot="1">
      <c r="A29" s="54"/>
      <c r="B29" s="83"/>
      <c r="C29" s="85"/>
      <c r="D29" s="85"/>
      <c r="E29" s="85"/>
      <c r="F29" s="85"/>
      <c r="G29" s="88"/>
      <c r="H29" s="85"/>
      <c r="I29" s="85"/>
      <c r="J29" s="85"/>
      <c r="K29" s="85"/>
      <c r="L29" s="85"/>
      <c r="M29" s="85"/>
      <c r="N29" s="86"/>
      <c r="O29" s="54"/>
      <c r="P29" s="87"/>
      <c r="Q29" s="54"/>
      <c r="R29" s="54"/>
      <c r="S29" s="54"/>
      <c r="T29" s="54"/>
      <c r="U29" s="54"/>
      <c r="V29" s="54"/>
    </row>
    <row r="30" spans="1:24" ht="17.25" thickBot="1">
      <c r="A30" s="54"/>
      <c r="B30" s="83"/>
      <c r="C30" s="278" t="s">
        <v>63</v>
      </c>
      <c r="D30" s="279"/>
      <c r="E30" s="280"/>
      <c r="F30" s="89" t="s">
        <v>64</v>
      </c>
      <c r="G30" s="90">
        <f>+M7</f>
        <v>264876705.00959998</v>
      </c>
      <c r="H30" s="89"/>
      <c r="I30" s="91"/>
      <c r="J30" s="89"/>
      <c r="K30" s="89"/>
      <c r="L30" s="89"/>
      <c r="M30" s="92"/>
      <c r="N30" s="93"/>
      <c r="O30" s="54"/>
      <c r="P30" s="54"/>
      <c r="Q30" s="54"/>
      <c r="R30" s="54"/>
      <c r="S30" s="54"/>
      <c r="T30" s="54"/>
      <c r="U30" s="54"/>
      <c r="V30" s="54"/>
    </row>
    <row r="31" spans="1:24" ht="17.25" thickBot="1">
      <c r="A31" s="54"/>
      <c r="B31" s="83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92"/>
      <c r="N31" s="93"/>
      <c r="O31" s="54"/>
      <c r="P31" s="54"/>
      <c r="Q31" s="54"/>
      <c r="R31" s="54"/>
      <c r="S31" s="54"/>
      <c r="T31" s="54"/>
      <c r="U31" s="54"/>
      <c r="V31" s="54"/>
    </row>
    <row r="32" spans="1:24" ht="17.25" thickBot="1">
      <c r="A32" s="54"/>
      <c r="B32" s="83"/>
      <c r="C32" s="281" t="s">
        <v>65</v>
      </c>
      <c r="D32" s="282"/>
      <c r="E32" s="283"/>
      <c r="F32" s="89" t="s">
        <v>64</v>
      </c>
      <c r="G32" s="94">
        <f>+E24</f>
        <v>30759539.060880907</v>
      </c>
      <c r="H32" s="89"/>
      <c r="I32" s="89"/>
      <c r="J32" s="95">
        <f>G32/G30</f>
        <v>0.11612776238577145</v>
      </c>
      <c r="K32" s="96" t="s">
        <v>66</v>
      </c>
      <c r="L32" s="97"/>
      <c r="M32" s="98"/>
      <c r="N32" s="93"/>
      <c r="O32" s="54"/>
      <c r="P32" s="54"/>
      <c r="Q32" s="54"/>
      <c r="R32" s="54"/>
      <c r="S32" s="54"/>
      <c r="T32" s="54"/>
      <c r="U32" s="54"/>
      <c r="V32" s="54"/>
    </row>
    <row r="33" spans="2:14" ht="17.25" thickBot="1">
      <c r="B33" s="99"/>
      <c r="C33" s="89"/>
      <c r="D33" s="89"/>
      <c r="E33" s="89"/>
      <c r="F33" s="89"/>
      <c r="G33" s="89"/>
      <c r="H33" s="89"/>
      <c r="I33" s="89"/>
      <c r="J33" s="89"/>
      <c r="K33" s="100"/>
      <c r="L33" s="89"/>
      <c r="M33" s="92"/>
      <c r="N33" s="93"/>
    </row>
    <row r="34" spans="2:14" ht="17.25" thickBot="1">
      <c r="B34" s="99"/>
      <c r="C34" s="271" t="s">
        <v>67</v>
      </c>
      <c r="D34" s="272"/>
      <c r="E34" s="273"/>
      <c r="F34" s="89" t="s">
        <v>68</v>
      </c>
      <c r="G34" s="101">
        <f>+K24</f>
        <v>30974287.084512904</v>
      </c>
      <c r="H34" s="89"/>
      <c r="I34" s="89"/>
      <c r="J34" s="102">
        <f>+G34/J24</f>
        <v>1</v>
      </c>
      <c r="K34" s="103" t="s">
        <v>69</v>
      </c>
      <c r="L34" s="104"/>
      <c r="M34" s="105"/>
      <c r="N34" s="93"/>
    </row>
    <row r="35" spans="2:14" ht="17.25" thickBot="1">
      <c r="B35" s="99"/>
      <c r="C35" s="89"/>
      <c r="D35" s="89"/>
      <c r="E35" s="89"/>
      <c r="F35" s="89"/>
      <c r="G35" s="89"/>
      <c r="H35" s="89"/>
      <c r="I35" s="89"/>
      <c r="J35" s="89"/>
      <c r="K35" s="100"/>
      <c r="L35" s="89"/>
      <c r="M35" s="92"/>
      <c r="N35" s="93"/>
    </row>
    <row r="36" spans="2:14" ht="17.25" thickBot="1">
      <c r="B36" s="99"/>
      <c r="C36" s="271" t="s">
        <v>70</v>
      </c>
      <c r="D36" s="272"/>
      <c r="E36" s="273"/>
      <c r="F36" s="89" t="s">
        <v>68</v>
      </c>
      <c r="G36" s="106">
        <f>+O24</f>
        <v>0</v>
      </c>
      <c r="H36" s="89"/>
      <c r="I36" s="89"/>
      <c r="J36" s="107">
        <f>+G36/J24</f>
        <v>0</v>
      </c>
      <c r="K36" s="103" t="s">
        <v>69</v>
      </c>
      <c r="L36" s="108"/>
      <c r="M36" s="109"/>
      <c r="N36" s="93"/>
    </row>
    <row r="37" spans="2:14" ht="17.25" thickBot="1">
      <c r="B37" s="99"/>
      <c r="C37" s="89"/>
      <c r="D37" s="89"/>
      <c r="E37" s="89"/>
      <c r="F37" s="89"/>
      <c r="G37" s="89"/>
      <c r="H37" s="89"/>
      <c r="I37" s="89"/>
      <c r="J37" s="89"/>
      <c r="K37" s="100"/>
      <c r="L37" s="89"/>
      <c r="M37" s="92"/>
      <c r="N37" s="93"/>
    </row>
    <row r="38" spans="2:14" ht="17.25" thickBot="1">
      <c r="B38" s="99"/>
      <c r="C38" s="271" t="s">
        <v>71</v>
      </c>
      <c r="D38" s="272"/>
      <c r="E38" s="273"/>
      <c r="F38" s="89" t="s">
        <v>68</v>
      </c>
      <c r="G38" s="110">
        <f>+P24</f>
        <v>11653584.312060002</v>
      </c>
      <c r="H38" s="89"/>
      <c r="I38" s="89"/>
      <c r="J38" s="111">
        <f>+G38/I24</f>
        <v>0.45148096988692699</v>
      </c>
      <c r="K38" s="103" t="s">
        <v>69</v>
      </c>
      <c r="L38" s="104"/>
      <c r="M38" s="105"/>
      <c r="N38" s="93"/>
    </row>
    <row r="39" spans="2:14" ht="17.25" thickBot="1">
      <c r="B39" s="112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4"/>
    </row>
    <row r="41" spans="2:14">
      <c r="H41" s="115"/>
    </row>
    <row r="42" spans="2:14">
      <c r="G42" s="116"/>
      <c r="H42" s="116"/>
    </row>
    <row r="43" spans="2:14">
      <c r="G43" s="116"/>
      <c r="H43" s="116"/>
    </row>
    <row r="44" spans="2:14">
      <c r="G44" s="116"/>
      <c r="H44" s="116"/>
    </row>
    <row r="45" spans="2:14">
      <c r="H45" s="115"/>
    </row>
    <row r="46" spans="2:14">
      <c r="H46" s="116"/>
    </row>
    <row r="47" spans="2:14">
      <c r="H47" s="115"/>
    </row>
  </sheetData>
  <mergeCells count="20">
    <mergeCell ref="C36:E36"/>
    <mergeCell ref="C38:E38"/>
    <mergeCell ref="M7:N7"/>
    <mergeCell ref="M8:N8"/>
    <mergeCell ref="O10:P10"/>
    <mergeCell ref="C30:E30"/>
    <mergeCell ref="C32:E32"/>
    <mergeCell ref="C34:E34"/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SYNTHESE</vt:lpstr>
      <vt:lpstr>RECAP</vt:lpstr>
      <vt:lpstr>210</vt:lpstr>
      <vt:lpstr>210 bw</vt:lpstr>
      <vt:lpstr>210cw</vt:lpstr>
      <vt:lpstr>211</vt:lpstr>
      <vt:lpstr>212</vt:lpstr>
      <vt:lpstr>220-G</vt:lpstr>
      <vt:lpstr>221</vt:lpstr>
      <vt:lpstr>230A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dcterms:created xsi:type="dcterms:W3CDTF">2017-11-25T19:56:20Z</dcterms:created>
  <dcterms:modified xsi:type="dcterms:W3CDTF">2017-12-20T11:31:36Z</dcterms:modified>
</cp:coreProperties>
</file>