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m.sahir\Desktop\Compte client\"/>
    </mc:Choice>
  </mc:AlternateContent>
  <bookViews>
    <workbookView xWindow="0" yWindow="0" windowWidth="17715" windowHeight="7830"/>
  </bookViews>
  <sheets>
    <sheet name="RECAP" sheetId="1" r:id="rId1"/>
    <sheet name="211" sheetId="18" r:id="rId2"/>
    <sheet name="210" sheetId="17" r:id="rId3"/>
  </sheets>
  <definedNames>
    <definedName name="_Key2" hidden="1">#REF!</definedName>
    <definedName name="_Order2" hidden="1">255</definedName>
    <definedName name="_Sort" hidden="1">#REF!</definedName>
    <definedName name="AC" hidden="1">{#N/A,#N/A,FALSE,"Classe";#N/A,#N/A,FALSE,"Destination";#N/A,#N/A,FALSE,"Consolidation"}</definedName>
    <definedName name="AEZ" hidden="1">{#N/A,#N/A,FALSE,"Classe";#N/A,#N/A,FALSE,"Destination";#N/A,#N/A,FALSE,"Consolidation"}</definedName>
    <definedName name="AMAL" hidden="1">{#N/A,#N/A,FALSE,"Classe";#N/A,#N/A,FALSE,"Destination";#N/A,#N/A,FALSE,"Consolidation"}</definedName>
    <definedName name="AQS" hidden="1">{#N/A,#N/A,FALSE,"Classe";#N/A,#N/A,FALSE,"Destination";#N/A,#N/A,FALSE,"Consolidation"}</definedName>
    <definedName name="AW" hidden="1">{#N/A,#N/A,FALSE,"Classe";#N/A,#N/A,FALSE,"Destination";#N/A,#N/A,FALSE,"Consolidation"}</definedName>
    <definedName name="AX" hidden="1">{#N/A,#N/A,FALSE,"Classe";#N/A,#N/A,FALSE,"Destination";#N/A,#N/A,FALSE,"Consolidation"}</definedName>
    <definedName name="AZ" hidden="1">{#N/A,#N/A,FALSE,"Classe";#N/A,#N/A,FALSE,"Destination";#N/A,#N/A,FALSE,"Consolidation"}</definedName>
    <definedName name="AZDAZ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AZRETF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bb" hidden="1">{#N/A,#N/A,FALSE,"MOD";#N/A,#N/A,FALSE,"Menuiseries intérieures";#N/A,#N/A,FALSE,"Menuiseries int.";#N/A,#N/A,FALSE,"MOI";#N/A,#N/A,FALSE,"Encadrement";#N/A,#N/A,FALSE,"FO1";#N/A,#N/A,FALSE,"Maitrise";#N/A,#N/A,FALSE,"MOD2"}</definedName>
    <definedName name="BC" hidden="1">{#N/A,#N/A,FALSE,"Classe";#N/A,#N/A,FALSE,"Destination";#N/A,#N/A,FALSE,"Consolidation"}</definedName>
    <definedName name="BG" hidden="1">{#N/A,#N/A,FALSE,"Classe";#N/A,#N/A,FALSE,"Destination";#N/A,#N/A,FALSE,"Consolidation"}</definedName>
    <definedName name="BI" hidden="1">{#N/A,#N/A,FALSE,"Classe";#N/A,#N/A,FALSE,"Destination";#N/A,#N/A,FALSE,"Consolidation"}</definedName>
    <definedName name="BIL" hidden="1">{#N/A,#N/A,FALSE,"Classe";#N/A,#N/A,FALSE,"Destination";#N/A,#N/A,FALSE,"Consolidation"}</definedName>
    <definedName name="BILAN" hidden="1">{#N/A,#N/A,FALSE,"Classe";#N/A,#N/A,FALSE,"Destination";#N/A,#N/A,FALSE,"Consolidation"}</definedName>
    <definedName name="BN" hidden="1">{#N/A,#N/A,FALSE,"Classe";#N/A,#N/A,FALSE,"Destination";#N/A,#N/A,FALSE,"Consolidation"}</definedName>
    <definedName name="BV" hidden="1">{#N/A,#N/A,FALSE,"Classe";#N/A,#N/A,FALSE,"Destination";#N/A,#N/A,FALSE,"Consolidation"}</definedName>
    <definedName name="CAR" hidden="1">{#N/A,#N/A,FALSE,"Classe";#N/A,#N/A,FALSE,"Destination";#N/A,#N/A,FALSE,"Consolidation"}</definedName>
    <definedName name="CARR" hidden="1">{#N/A,#N/A,FALSE,"Classe";#N/A,#N/A,FALSE,"Destination";#N/A,#N/A,FALSE,"Consolidation"}</definedName>
    <definedName name="CARR7" hidden="1">{#N/A,#N/A,FALSE,"Classe";#N/A,#N/A,FALSE,"Destination";#N/A,#N/A,FALSE,"Consolidation"}</definedName>
    <definedName name="CARRI" hidden="1">{#N/A,#N/A,FALSE,"Classe";#N/A,#N/A,FALSE,"Destination";#N/A,#N/A,FALSE,"Consolidation"}</definedName>
    <definedName name="carriere.06" hidden="1">{#N/A,#N/A,FALSE,"Classe";#N/A,#N/A,FALSE,"Destination";#N/A,#N/A,FALSE,"Consolidation"}</definedName>
    <definedName name="CB" hidden="1">{#N/A,#N/A,FALSE,"Classe";#N/A,#N/A,FALSE,"Destination";#N/A,#N/A,FALSE,"Consolidation"}</definedName>
    <definedName name="CR" hidden="1">{#N/A,#N/A,FALSE,"Classe";#N/A,#N/A,FALSE,"Destination";#N/A,#N/A,FALSE,"Consolidation"}</definedName>
    <definedName name="CV" hidden="1">{#N/A,#N/A,FALSE,"Classe";#N/A,#N/A,FALSE,"Destination";#N/A,#N/A,FALSE,"Consolidation"}</definedName>
    <definedName name="cycles" hidden="1">{#N/A,#N/A,FALSE,"MOD";#N/A,#N/A,FALSE,"Menuiseries intérieures";#N/A,#N/A,FALSE,"Menuiseries int.";#N/A,#N/A,FALSE,"MOI";#N/A,#N/A,FALSE,"Encadrement";#N/A,#N/A,FALSE,"FO1";#N/A,#N/A,FALSE,"Maitrise";#N/A,#N/A,FALSE,"MOD2"}</definedName>
    <definedName name="DA" hidden="1">{#N/A,#N/A,FALSE,"Classe";#N/A,#N/A,FALSE,"Destination";#N/A,#N/A,FALSE,"Consolidation"}</definedName>
    <definedName name="DC" hidden="1">{#N/A,#N/A,FALSE,"Classe";#N/A,#N/A,FALSE,"Destination";#N/A,#N/A,FALSE,"Consolidation"}</definedName>
    <definedName name="DCX" hidden="1">{#N/A,#N/A,FALSE,"Classe";#N/A,#N/A,FALSE,"Destination";#N/A,#N/A,FALSE,"Consolidation"}</definedName>
    <definedName name="dd" hidden="1">{#N/A,#N/A,FALSE,"Etanchéité";#N/A,#N/A,FALSE,"Etanchéité2";#N/A,#N/A,FALSE,"MOI";#N/A,#N/A,FALSE,"Encadrement"}</definedName>
    <definedName name="de" hidden="1">{#N/A,#N/A,FALSE,"R.D. Maroc";#N/A,#N/A,FALSE,"Colle";#N/A,#N/A,FALSE,"Métaci"}</definedName>
    <definedName name="DFR" hidden="1">{#N/A,#N/A,FALSE,"Classe";#N/A,#N/A,FALSE,"Destination";#N/A,#N/A,FALSE,"Consolidation"}</definedName>
    <definedName name="ds" hidden="1">{#N/A,#N/A,FALSE,"Menuiserie extérieure";#N/A,#N/A,FALSE,"Menuiserie ext.";#N/A,#N/A,FALSE,"MOI";#N/A,#N/A,FALSE,"Encadrement";#N/A,#N/A,FALSE,"Fournitures"}</definedName>
    <definedName name="EA" hidden="1">{#N/A,#N/A,FALSE,"Classe";#N/A,#N/A,FALSE,"Destination";#N/A,#N/A,FALSE,"Consolidation"}</definedName>
    <definedName name="EI" hidden="1">{#N/A,#N/A,FALSE,"Classe";#N/A,#N/A,FALSE,"Destination";#N/A,#N/A,FALSE,"Consolidation"}</definedName>
    <definedName name="ELLE" hidden="1">{#N/A,#N/A,FALSE,"Classe";#N/A,#N/A,FALSE,"Destination";#N/A,#N/A,FALSE,"Consolidation"}</definedName>
    <definedName name="ER" hidden="1">{#N/A,#N/A,FALSE,"Classe";#N/A,#N/A,FALSE,"Destination";#N/A,#N/A,FALSE,"Consolidation"}</definedName>
    <definedName name="FD" hidden="1">{#N/A,#N/A,FALSE,"Classe";#N/A,#N/A,FALSE,"Destination";#N/A,#N/A,FALSE,"Consolidation"}</definedName>
    <definedName name="FR" hidden="1">{#N/A,#N/A,FALSE,"Classe";#N/A,#N/A,FALSE,"Destination";#N/A,#N/A,FALSE,"Consolidation"}</definedName>
    <definedName name="GF" hidden="1">{#N/A,#N/A,FALSE,"Classe";#N/A,#N/A,FALSE,"Destination";#N/A,#N/A,FALSE,"Consolidation"}</definedName>
    <definedName name="GFD" hidden="1">{#N/A,#N/A,FALSE,"Classe";#N/A,#N/A,FALSE,"Destination";#N/A,#N/A,FALSE,"Consolidation"}</definedName>
    <definedName name="GR" hidden="1">{#N/A,#N/A,FALSE,"Classe";#N/A,#N/A,FALSE,"Destination";#N/A,#N/A,FALSE,"Consolidation"}</definedName>
    <definedName name="HA" hidden="1">{#N/A,#N/A,FALSE,"Classe";#N/A,#N/A,FALSE,"Destination";#N/A,#N/A,FALSE,"Consolidation"}</definedName>
    <definedName name="HG" hidden="1">{#N/A,#N/A,FALSE,"Classe";#N/A,#N/A,FALSE,"Destination";#N/A,#N/A,FALSE,"Consolidation"}</definedName>
    <definedName name="HGFG" hidden="1">{#N/A,#N/A,FALSE,"Classe";#N/A,#N/A,FALSE,"Destination";#N/A,#N/A,FALSE,"Consolidation"}</definedName>
    <definedName name="hh" hidden="1">{#N/A,#N/A,FALSE,"MOD";#N/A,#N/A,FALSE,"Menuiseries intérieures";#N/A,#N/A,FALSE,"Menuiseries int.";#N/A,#N/A,FALSE,"MOI";#N/A,#N/A,FALSE,"Encadrement";#N/A,#N/A,FALSE,"FO1";#N/A,#N/A,FALSE,"Maitrise";#N/A,#N/A,FALSE,"MOD2"}</definedName>
    <definedName name="HY" hidden="1">{#N/A,#N/A,FALSE,"Classe";#N/A,#N/A,FALSE,"Destination";#N/A,#N/A,FALSE,"Consolidation"}</definedName>
    <definedName name="IG" hidden="1">{#N/A,#N/A,FALSE,"Classe";#N/A,#N/A,FALSE,"Destination";#N/A,#N/A,FALSE,"Consolidation"}</definedName>
    <definedName name="II" hidden="1">{#N/A,#N/A,FALSE,"MOD";#N/A,#N/A,FALSE,"Menuiseries intérieures";#N/A,#N/A,FALSE,"Menuiseries int.";#N/A,#N/A,FALSE,"MOI";#N/A,#N/A,FALSE,"Encadrement";#N/A,#N/A,FALSE,"FO1";#N/A,#N/A,FALSE,"Maitrise";#N/A,#N/A,FALSE,"MOD2"}</definedName>
    <definedName name="IJK" hidden="1">{#N/A,#N/A,FALSE,"Classe";#N/A,#N/A,FALSE,"Destination";#N/A,#N/A,FALSE,"Consolidation"}</definedName>
    <definedName name="IK" hidden="1">{#N/A,#N/A,FALSE,"Classe";#N/A,#N/A,FALSE,"Destination";#N/A,#N/A,FALSE,"Consolidation"}</definedName>
    <definedName name="IL" hidden="1">{#N/A,#N/A,FALSE,"Classe";#N/A,#N/A,FALSE,"Destination";#N/A,#N/A,FALSE,"Consolidation"}</definedName>
    <definedName name="IR" hidden="1">{#N/A,#N/A,FALSE,"Classe";#N/A,#N/A,FALSE,"Destination";#N/A,#N/A,FALSE,"Consolidation"}</definedName>
    <definedName name="IU" hidden="1">{#N/A,#N/A,FALSE,"Classe";#N/A,#N/A,FALSE,"Destination";#N/A,#N/A,FALSE,"Consolidation"}</definedName>
    <definedName name="JA" hidden="1">{#N/A,#N/A,FALSE,"Classe";#N/A,#N/A,FALSE,"Destination";#N/A,#N/A,FALSE,"Consolidation"}</definedName>
    <definedName name="jgjghty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jgjgjgj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JGKGKGK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jj" hidden="1">{#N/A,#N/A,FALSE,"MOD";#N/A,#N/A,FALSE,"Menuiseries intérieures";#N/A,#N/A,FALSE,"Menuiseries int.";#N/A,#N/A,FALSE,"MOI";#N/A,#N/A,FALSE,"Encadrement";#N/A,#N/A,FALSE,"FO1";#N/A,#N/A,FALSE,"Maitrise";#N/A,#N/A,FALSE,"MOD2"}</definedName>
    <definedName name="JKI" hidden="1">{#N/A,#N/A,FALSE,"Classe";#N/A,#N/A,FALSE,"Destination";#N/A,#N/A,FALSE,"Consolidation"}</definedName>
    <definedName name="JR" hidden="1">{#N/A,#N/A,FALSE,"Classe";#N/A,#N/A,FALSE,"Destination";#N/A,#N/A,FALSE,"Consolidation"}</definedName>
    <definedName name="JUS" hidden="1">{#N/A,#N/A,FALSE,"Classe";#N/A,#N/A,FALSE,"Destination";#N/A,#N/A,FALSE,"Consolidation"}</definedName>
    <definedName name="KA" hidden="1">{#N/A,#N/A,FALSE,"Classe";#N/A,#N/A,FALSE,"Destination";#N/A,#N/A,FALSE,"Consolidation"}</definedName>
    <definedName name="khjgutj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KID" hidden="1">{#N/A,#N/A,FALSE,"Classe";#N/A,#N/A,FALSE,"Destination";#N/A,#N/A,FALSE,"Consolidation"}</definedName>
    <definedName name="KIJ" hidden="1">{#N/A,#N/A,FALSE,"Classe";#N/A,#N/A,FALSE,"Destination";#N/A,#N/A,FALSE,"Consolidation"}</definedName>
    <definedName name="KLA" hidden="1">{#N/A,#N/A,FALSE,"Classe";#N/A,#N/A,FALSE,"Destination";#N/A,#N/A,FALSE,"Consolidation"}</definedName>
    <definedName name="KTA" hidden="1">{#N/A,#N/A,FALSE,"Classe";#N/A,#N/A,FALSE,"Destination";#N/A,#N/A,FALSE,"Consolidation"}</definedName>
    <definedName name="LA" hidden="1">{#N/A,#N/A,FALSE,"Classe";#N/A,#N/A,FALSE,"Destination";#N/A,#N/A,FALSE,"Consolidation"}</definedName>
    <definedName name="LK" hidden="1">{#N/A,#N/A,FALSE,"Classe";#N/A,#N/A,FALSE,"Destination";#N/A,#N/A,FALSE,"Consolidation"}</definedName>
    <definedName name="LOI" hidden="1">{#N/A,#N/A,FALSE,"Classe";#N/A,#N/A,FALSE,"Destination";#N/A,#N/A,FALSE,"Consolidation"}</definedName>
    <definedName name="LU" hidden="1">{#N/A,#N/A,FALSE,"Classe";#N/A,#N/A,FALSE,"Destination";#N/A,#N/A,FALSE,"Consolidation"}</definedName>
    <definedName name="MA" hidden="1">{#N/A,#N/A,FALSE,"Classe";#N/A,#N/A,FALSE,"Destination";#N/A,#N/A,FALSE,"Consolidation"}</definedName>
    <definedName name="MBO" hidden="1">{#N/A,#N/A,FALSE,"Classe";#N/A,#N/A,FALSE,"Destination";#N/A,#N/A,FALSE,"Consolidation"}</definedName>
    <definedName name="MM" hidden="1">{#N/A,#N/A,FALSE,"MOD";#N/A,#N/A,FALSE,"Menuiseries intérieures";#N/A,#N/A,FALSE,"Menuiseries int.";#N/A,#N/A,FALSE,"MOI";#N/A,#N/A,FALSE,"Encadrement";#N/A,#N/A,FALSE,"FO1";#N/A,#N/A,FALSE,"Maitrise";#N/A,#N/A,FALSE,"MOD2"}</definedName>
    <definedName name="NA" hidden="1">{#N/A,#N/A,FALSE,"Classe";#N/A,#N/A,FALSE,"Destination";#N/A,#N/A,FALSE,"Consolidation"}</definedName>
    <definedName name="NBV" hidden="1">{#N/A,#N/A,FALSE,"Classe";#N/A,#N/A,FALSE,"Destination";#N/A,#N/A,FALSE,"Consolidation"}</definedName>
    <definedName name="NF" hidden="1">{#N/A,#N/A,FALSE,"Classe";#N/A,#N/A,FALSE,"Destination";#N/A,#N/A,FALSE,"Consolidation"}</definedName>
    <definedName name="NG" hidden="1">{#N/A,#N/A,FALSE,"Classe";#N/A,#N/A,FALSE,"Destination";#N/A,#N/A,FALSE,"Consolidation"}</definedName>
    <definedName name="NH" hidden="1">{#N/A,#N/A,FALSE,"Classe";#N/A,#N/A,FALSE,"Destination";#N/A,#N/A,FALSE,"Consolidation"}</definedName>
    <definedName name="NHG" hidden="1">{#N/A,#N/A,FALSE,"Classe";#N/A,#N/A,FALSE,"Destination";#N/A,#N/A,FALSE,"Consolidation"}</definedName>
    <definedName name="NN" hidden="1">{#N/A,#N/A,FALSE,"DH";#N/A,#N/A,FALSE,"FFR";#N/A,#N/A,FALSE,"AVDH";#N/A,#N/A,FALSE,"AVFFR";#N/A,#N/A,FALSE,"RevDH";#N/A,#N/A,FALSE,"RevFFR";#N/A,#N/A,FALSE,"Base-App-Dh";#N/A,#N/A,FALSE,"Base-App-FF"}</definedName>
    <definedName name="NNF" hidden="1">{#N/A,#N/A,FALSE,"Classe";#N/A,#N/A,FALSE,"Destination";#N/A,#N/A,FALSE,"Consolidation"}</definedName>
    <definedName name="NO" hidden="1">{#N/A,#N/A,FALSE,"Classe";#N/A,#N/A,FALSE,"Destination";#N/A,#N/A,FALSE,"Consolidation"}</definedName>
    <definedName name="NON" hidden="1">{#N/A,#N/A,FALSE,"Classe";#N/A,#N/A,FALSE,"Destination";#N/A,#N/A,FALSE,"Consolidation"}</definedName>
    <definedName name="nouveau" hidden="1">{#N/A,#N/A,FALSE,"Classe";#N/A,#N/A,FALSE,"Destination";#N/A,#N/A,FALSE,"Consolidation"}</definedName>
    <definedName name="NR" hidden="1">{#N/A,#N/A,FALSE,"Classe";#N/A,#N/A,FALSE,"Destination";#N/A,#N/A,FALSE,"Consolidation"}</definedName>
    <definedName name="OL" hidden="1">{#N/A,#N/A,FALSE,"Classe";#N/A,#N/A,FALSE,"Destination";#N/A,#N/A,FALSE,"Consolidation"}</definedName>
    <definedName name="OP" hidden="1">{#N/A,#N/A,FALSE,"Classe";#N/A,#N/A,FALSE,"Destination";#N/A,#N/A,FALSE,"Consolidation"}</definedName>
    <definedName name="OT" hidden="1">{#N/A,#N/A,FALSE,"Classe";#N/A,#N/A,FALSE,"Destination";#N/A,#N/A,FALSE,"Consolidation"}</definedName>
    <definedName name="PA" hidden="1">{#N/A,#N/A,FALSE,"Classe";#N/A,#N/A,FALSE,"Destination";#N/A,#N/A,FALSE,"Consolidation"}</definedName>
    <definedName name="PO" hidden="1">{#N/A,#N/A,FALSE,"Classe";#N/A,#N/A,FALSE,"Destination";#N/A,#N/A,FALSE,"Consolidation"}</definedName>
    <definedName name="poiu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POIUYT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POR" hidden="1">{#N/A,#N/A,FALSE,"Classe";#N/A,#N/A,FALSE,"Destination";#N/A,#N/A,FALSE,"Consolidation"}</definedName>
    <definedName name="portr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pp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PU" hidden="1">{#N/A,#N/A,FALSE,"Classe";#N/A,#N/A,FALSE,"Destination";#N/A,#N/A,FALSE,"Consolidation"}</definedName>
    <definedName name="qq" hidden="1">{#N/A,#N/A,FALSE,"MOD";#N/A,#N/A,FALSE,"Menuiseries intérieures";#N/A,#N/A,FALSE,"Menuiseries int.";#N/A,#N/A,FALSE,"MOI";#N/A,#N/A,FALSE,"Encadrement";#N/A,#N/A,FALSE,"FO1";#N/A,#N/A,FALSE,"Maitrise";#N/A,#N/A,FALSE,"MOD2"}</definedName>
    <definedName name="QZ" hidden="1">{#N/A,#N/A,FALSE,"Classe";#N/A,#N/A,FALSE,"Destination";#N/A,#N/A,FALSE,"Consolidation"}</definedName>
    <definedName name="RED" hidden="1">{#N/A,#N/A,FALSE,"Classe";#N/A,#N/A,FALSE,"Destination";#N/A,#N/A,FALSE,"Consolidation"}</definedName>
    <definedName name="rr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SA" hidden="1">{#N/A,#N/A,FALSE,"Classe";#N/A,#N/A,FALSE,"Destination";#N/A,#N/A,FALSE,"Consolidation"}</definedName>
    <definedName name="SD" hidden="1">{#N/A,#N/A,FALSE,"Classe";#N/A,#N/A,FALSE,"Destination";#N/A,#N/A,FALSE,"Consolidation"}</definedName>
    <definedName name="SQ" hidden="1">{#N/A,#N/A,FALSE,"Classe";#N/A,#N/A,FALSE,"Destination";#N/A,#N/A,FALSE,"Consolidation"}</definedName>
    <definedName name="SS" hidden="1">{#N/A,#N/A,FALSE,"MOD";#N/A,#N/A,FALSE,"Menuiseries intérieures";#N/A,#N/A,FALSE,"Menuiseries int.";#N/A,#N/A,FALSE,"MOI";#N/A,#N/A,FALSE,"Encadrement";#N/A,#N/A,FALSE,"FO1";#N/A,#N/A,FALSE,"Maitrise";#N/A,#N/A,FALSE,"MOD2"}</definedName>
    <definedName name="SZ" hidden="1">{#N/A,#N/A,FALSE,"Classe";#N/A,#N/A,FALSE,"Destination";#N/A,#N/A,FALSE,"Consolidation"}</definedName>
    <definedName name="TP" hidden="1">{#N/A,#N/A,FALSE,"Classe";#N/A,#N/A,FALSE,"Destination";#N/A,#N/A,FALSE,"Consolidation"}</definedName>
    <definedName name="TR" hidden="1">{#N/A,#N/A,FALSE,"Classe";#N/A,#N/A,FALSE,"Destination";#N/A,#N/A,FALSE,"Consolidation"}</definedName>
    <definedName name="TRE" hidden="1">{#N/A,#N/A,FALSE,"Classe";#N/A,#N/A,FALSE,"Destination";#N/A,#N/A,FALSE,"Consolidation"}</definedName>
    <definedName name="TY" hidden="1">{#N/A,#N/A,FALSE,"Classe";#N/A,#N/A,FALSE,"Destination";#N/A,#N/A,FALSE,"Consolidation"}</definedName>
    <definedName name="UA" hidden="1">{#N/A,#N/A,FALSE,"Classe";#N/A,#N/A,FALSE,"Destination";#N/A,#N/A,FALSE,"Consolidation"}</definedName>
    <definedName name="UJ" hidden="1">{#N/A,#N/A,FALSE,"Classe";#N/A,#N/A,FALSE,"Destination";#N/A,#N/A,FALSE,"Consolidation"}</definedName>
    <definedName name="UJY" hidden="1">{#N/A,#N/A,FALSE,"Classe";#N/A,#N/A,FALSE,"Destination";#N/A,#N/A,FALSE,"Consolidation"}</definedName>
    <definedName name="UTUTUTU" hidden="1">{#N/A,#N/A,FALSE,"MOD";#N/A,#N/A,FALSE,"Menuiseries intérieures";#N/A,#N/A,FALSE,"Menuiseries int.";#N/A,#N/A,FALSE,"MOI";#N/A,#N/A,FALSE,"Encadrement";#N/A,#N/A,FALSE,"FO1";#N/A,#N/A,FALSE,"Maitrise";#N/A,#N/A,FALSE,"MOD2"}</definedName>
    <definedName name="utututy" hidden="1">{#N/A,#N/A,FALSE,"MOD";#N/A,#N/A,FALSE,"Menuiseries intérieures";#N/A,#N/A,FALSE,"Menuiseries int.";#N/A,#N/A,FALSE,"MOI";#N/A,#N/A,FALSE,"Encadrement";#N/A,#N/A,FALSE,"FO1";#N/A,#N/A,FALSE,"Maitrise";#N/A,#N/A,FALSE,"MOD2"}</definedName>
    <definedName name="utytyt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uu" hidden="1">{#N/A,#N/A,FALSE,"DH";#N/A,#N/A,FALSE,"FFR";#N/A,#N/A,FALSE,"AVDH";#N/A,#N/A,FALSE,"AVFFR";#N/A,#N/A,FALSE,"RevDH";#N/A,#N/A,FALSE,"RevFFR";#N/A,#N/A,FALSE,"Base-App-Dh";#N/A,#N/A,FALSE,"Base-App-FF"}</definedName>
    <definedName name="VC" hidden="1">{#N/A,#N/A,FALSE,"Classe";#N/A,#N/A,FALSE,"Destination";#N/A,#N/A,FALSE,"Consolidation"}</definedName>
    <definedName name="VCD" hidden="1">{#N/A,#N/A,FALSE,"Classe";#N/A,#N/A,FALSE,"Destination";#N/A,#N/A,FALSE,"Consolidation"}</definedName>
    <definedName name="VF" hidden="1">{#N/A,#N/A,FALSE,"Classe";#N/A,#N/A,FALSE,"Destination";#N/A,#N/A,FALSE,"Consolidation"}</definedName>
    <definedName name="VQ" hidden="1">{#N/A,#N/A,FALSE,"Classe";#N/A,#N/A,FALSE,"Destination";#N/A,#N/A,FALSE,"Consolidation"}</definedName>
    <definedName name="VR" hidden="1">{#N/A,#N/A,FALSE,"Classe";#N/A,#N/A,FALSE,"Destination";#N/A,#N/A,FALSE,"Consolidation"}</definedName>
    <definedName name="VV" hidden="1">{#N/A,#N/A,FALSE,"MOD";#N/A,#N/A,FALSE,"Menuiseries intérieures";#N/A,#N/A,FALSE,"Menuiseries int.";#N/A,#N/A,FALSE,"MOI";#N/A,#N/A,FALSE,"Encadrement";#N/A,#N/A,FALSE,"FO1";#N/A,#N/A,FALSE,"Maitrise";#N/A,#N/A,FALSE,"MOD2"}</definedName>
    <definedName name="VX" hidden="1">{#N/A,#N/A,FALSE,"Classe";#N/A,#N/A,FALSE,"Destination";#N/A,#N/A,FALSE,"Consolidation"}</definedName>
    <definedName name="wrn.Avancement.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  <definedName name="wrn.CES." hidden="1">{#N/A,#N/A,FALSE,"ETANC";#N/A,#N/A,FALSE,"PLO";#N/A,#N/A,FALSE,"ELEC";#N/A,#N/A,FALSE,"P-int-B";#N/A,#N/A,FALSE,"P-int-Récap";#N/A,#N/A,FALSE,"Rev-sol";#N/A,#N/A,FALSE,"RV-Récap";#N/A,#N/A,FALSE,"FAI-VIT-MEN-P_ext"}</definedName>
    <definedName name="wrn.Etanchéité." hidden="1">{#N/A,#N/A,FALSE,"Etanchéité";#N/A,#N/A,FALSE,"Etanchéité2";#N/A,#N/A,FALSE,"MOI";#N/A,#N/A,FALSE,"Encadrement"}</definedName>
    <definedName name="wrn.Investissement._.Matériel." hidden="1">{#N/A,#N/A,FALSE,"Classe";#N/A,#N/A,FALSE,"Destination";#N/A,#N/A,FALSE,"Consolidation"}</definedName>
    <definedName name="wrn.Menuiserie._.extérieure." hidden="1">{#N/A,#N/A,FALSE,"Menuiserie extérieure";#N/A,#N/A,FALSE,"Menuiserie ext.";#N/A,#N/A,FALSE,"MOI";#N/A,#N/A,FALSE,"Encadrement";#N/A,#N/A,FALSE,"Fournitures"}</definedName>
    <definedName name="wrn.Menuiserie._.intérieure." hidden="1">{#N/A,#N/A,FALSE,"MOD";#N/A,#N/A,FALSE,"Menuiseries intérieures";#N/A,#N/A,FALSE,"Menuiseries int.";#N/A,#N/A,FALSE,"MOI";#N/A,#N/A,FALSE,"Encadrement";#N/A,#N/A,FALSE,"FO1";#N/A,#N/A,FALSE,"Maitrise";#N/A,#N/A,FALSE,"MOD2"}</definedName>
    <definedName name="wrn.METACI." hidden="1">{#N/A,#N/A,FALSE,"R.D. Maroc";#N/A,#N/A,FALSE,"Colle";#N/A,#N/A,FALSE,"Métaci"}</definedName>
    <definedName name="wrn.Situation." hidden="1">{#N/A,#N/A,FALSE,"DH";#N/A,#N/A,FALSE,"FFR";#N/A,#N/A,FALSE,"AVDH";#N/A,#N/A,FALSE,"AVFFR";#N/A,#N/A,FALSE,"RevDH";#N/A,#N/A,FALSE,"RevFFR";#N/A,#N/A,FALSE,"Base-App-Dh";#N/A,#N/A,FALSE,"Base-App-FF"}</definedName>
    <definedName name="wrn.VRD." hidden="1">{#N/A,#N/A,FALSE,"VRD-F-DH";#N/A,#N/A,FALSE,"VRD-F-FF";#N/A,#N/A,FALSE,"VRD-T";#N/A,#N/A,FALSE,"RevVRD-DH";#N/A,#N/A,FALSE,"RevVRD-FF";#N/A,#N/A,FALSE,"Base-App-Dh";#N/A,#N/A,FALSE,"Base-App-FF"}</definedName>
    <definedName name="YT" hidden="1">{#N/A,#N/A,FALSE,"Classe";#N/A,#N/A,FALSE,"Destination";#N/A,#N/A,FALSE,"Consolidation"}</definedName>
    <definedName name="YTR" hidden="1">{#N/A,#N/A,FALSE,"Classe";#N/A,#N/A,FALSE,"Destination";#N/A,#N/A,FALSE,"Consolidation"}</definedName>
    <definedName name="YU" hidden="1">{#N/A,#N/A,FALSE,"Classe";#N/A,#N/A,FALSE,"Destination";#N/A,#N/A,FALSE,"Consolidation"}</definedName>
    <definedName name="YY" hidden="1">{#N/A,#N/A,FALSE,"MOD";#N/A,#N/A,FALSE,"Menuiseries intérieures";#N/A,#N/A,FALSE,"Menuiseries int.";#N/A,#N/A,FALSE,"MOI";#N/A,#N/A,FALSE,"Encadrement";#N/A,#N/A,FALSE,"FO1";#N/A,#N/A,FALSE,"Maitrise";#N/A,#N/A,FALSE,"MOD2"}</definedName>
    <definedName name="ZE" hidden="1">{#N/A,#N/A,FALSE,"Classe";#N/A,#N/A,FALSE,"Destination";#N/A,#N/A,FALSE,"Consolidation"}</definedName>
    <definedName name="ZS" hidden="1">{#N/A,#N/A,FALSE,"Classe";#N/A,#N/A,FALSE,"Destination";#N/A,#N/A,FALSE,"Consolidation"}</definedName>
    <definedName name="ZU" hidden="1">{#N/A,#N/A,FALSE,"Classe";#N/A,#N/A,FALSE,"Destination";#N/A,#N/A,FALSE,"Consolidation"}</definedName>
    <definedName name="ZUY" hidden="1">{#N/A,#N/A,FALSE,"Classe";#N/A,#N/A,FALSE,"Destination";#N/A,#N/A,FALSE,"Consolidation"}</definedName>
    <definedName name="zz" hidden="1">{#N/A,#N/A,FALSE,"PLATEF-DALL";#N/A,#N/A,FALSE,"GO-ZONE B";#N/A,#N/A,FALSE,"GO-ZONE C";#N/A,#N/A,FALSE,"GO-ZONE D";#N/A,#N/A,FALSE,"GO-ZONE E";#N/A,#N/A,FALSE,"GO-Récap";#N/A,#N/A,FALSE,"PLA-ZONE B";#N/A,#N/A,FALSE,"PLA-ZONE C";#N/A,#N/A,FALSE,"PLA-ZONE D";#N/A,#N/A,FALSE,"PLA-Récap";#N/A,#N/A,FALSE,"ENDUITS";#N/A,#N/A,FALSE,"ETANC";#N/A,#N/A,FALSE,"PLO";#N/A,#N/A,FALSE,"ELEC";#N/A,#N/A,FALSE,"P-int-B";#N/A,#N/A,FALSE,"P-int-Récap";#N/A,#N/A,FALSE,"VIT-MEN";#N/A,#N/A,FALSE,"PEIN_ext";#N/A,#N/A,FALSE,"Faï";#N/A,#N/A,FALSE,"VRD-1";#N/A,#N/A,FALSE,"VRD-2"}</definedName>
  </definedNames>
  <calcPr calcId="152511" concurrentCalc="0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K13" i="1" l="1"/>
  <c r="J13" i="1"/>
  <c r="I13" i="1"/>
  <c r="H13" i="1"/>
  <c r="G13" i="1"/>
  <c r="B23" i="1"/>
  <c r="E23" i="1"/>
  <c r="F23" i="1"/>
  <c r="H17" i="1"/>
  <c r="H18" i="1"/>
  <c r="H19" i="1"/>
  <c r="H20" i="1"/>
  <c r="H21" i="1"/>
  <c r="H22" i="1"/>
  <c r="H23" i="1"/>
  <c r="I17" i="1"/>
  <c r="I18" i="1"/>
  <c r="I19" i="1"/>
  <c r="I20" i="1"/>
  <c r="I21" i="1"/>
  <c r="I22" i="1"/>
  <c r="I23" i="1"/>
  <c r="J17" i="1"/>
  <c r="J18" i="1"/>
  <c r="J19" i="1"/>
  <c r="J20" i="1"/>
  <c r="J21" i="1"/>
  <c r="J22" i="1"/>
  <c r="J23" i="1"/>
  <c r="K17" i="1"/>
  <c r="K18" i="1"/>
  <c r="K19" i="1"/>
  <c r="K20" i="1"/>
  <c r="K21" i="1"/>
  <c r="K22" i="1"/>
  <c r="K23" i="1"/>
  <c r="B15" i="1"/>
  <c r="E15" i="1"/>
  <c r="F15" i="1"/>
  <c r="H14" i="1"/>
  <c r="H15" i="1"/>
  <c r="I14" i="1"/>
  <c r="I15" i="1"/>
  <c r="J14" i="1"/>
  <c r="J15" i="1"/>
  <c r="K14" i="1"/>
  <c r="K15" i="1"/>
  <c r="L12" i="18"/>
  <c r="G12" i="18"/>
  <c r="F12" i="18"/>
  <c r="I12" i="18"/>
  <c r="J12" i="18"/>
  <c r="K12" i="18"/>
  <c r="O12" i="18"/>
  <c r="P12" i="18"/>
  <c r="L17" i="18"/>
  <c r="G17" i="18"/>
  <c r="F17" i="18"/>
  <c r="I17" i="18"/>
  <c r="J17" i="18"/>
  <c r="O17" i="18"/>
  <c r="P17" i="18"/>
  <c r="L18" i="18"/>
  <c r="G18" i="18"/>
  <c r="F18" i="18"/>
  <c r="I18" i="18"/>
  <c r="J18" i="18"/>
  <c r="O18" i="18"/>
  <c r="P18" i="18"/>
  <c r="L19" i="18"/>
  <c r="G19" i="18"/>
  <c r="F19" i="18"/>
  <c r="I19" i="18"/>
  <c r="J19" i="18"/>
  <c r="O19" i="18"/>
  <c r="P19" i="18"/>
  <c r="L20" i="18"/>
  <c r="G20" i="18"/>
  <c r="F20" i="18"/>
  <c r="I20" i="18"/>
  <c r="J20" i="18"/>
  <c r="K20" i="18"/>
  <c r="O20" i="18"/>
  <c r="P20" i="18"/>
  <c r="L23" i="18"/>
  <c r="P23" i="18"/>
  <c r="P25" i="18"/>
  <c r="H39" i="18"/>
  <c r="G13" i="18"/>
  <c r="F13" i="18"/>
  <c r="I13" i="18"/>
  <c r="J13" i="18"/>
  <c r="G14" i="18"/>
  <c r="F14" i="18"/>
  <c r="I14" i="18"/>
  <c r="J14" i="18"/>
  <c r="G15" i="18"/>
  <c r="F15" i="18"/>
  <c r="I15" i="18"/>
  <c r="J15" i="18"/>
  <c r="G16" i="18"/>
  <c r="F16" i="18"/>
  <c r="I16" i="18"/>
  <c r="J16" i="18"/>
  <c r="G23" i="18"/>
  <c r="F23" i="18"/>
  <c r="I23" i="18"/>
  <c r="J23" i="18"/>
  <c r="J25" i="18"/>
  <c r="K39" i="18"/>
  <c r="O23" i="18"/>
  <c r="O25" i="18"/>
  <c r="H37" i="18"/>
  <c r="K37" i="18"/>
  <c r="K25" i="18"/>
  <c r="H35" i="18"/>
  <c r="K35" i="18"/>
  <c r="E25" i="18"/>
  <c r="H33" i="18"/>
  <c r="M7" i="18"/>
  <c r="H31" i="18"/>
  <c r="K33" i="18"/>
  <c r="E27" i="18"/>
  <c r="F27" i="18"/>
  <c r="K26" i="18"/>
  <c r="E26" i="18"/>
  <c r="V12" i="18"/>
  <c r="N13" i="18"/>
  <c r="V13" i="18"/>
  <c r="N14" i="18"/>
  <c r="V14" i="18"/>
  <c r="N15" i="18"/>
  <c r="V15" i="18"/>
  <c r="N16" i="18"/>
  <c r="V16" i="18"/>
  <c r="N17" i="18"/>
  <c r="V17" i="18"/>
  <c r="N18" i="18"/>
  <c r="V18" i="18"/>
  <c r="N19" i="18"/>
  <c r="V19" i="18"/>
  <c r="V20" i="18"/>
  <c r="N21" i="18"/>
  <c r="V21" i="18"/>
  <c r="N22" i="18"/>
  <c r="V22" i="18"/>
  <c r="N23" i="18"/>
  <c r="V23" i="18"/>
  <c r="V24" i="18"/>
  <c r="V25" i="18"/>
  <c r="U12" i="18"/>
  <c r="U13" i="18"/>
  <c r="U14" i="18"/>
  <c r="U15" i="18"/>
  <c r="U16" i="18"/>
  <c r="U17" i="18"/>
  <c r="U18" i="18"/>
  <c r="U19" i="18"/>
  <c r="U20" i="18"/>
  <c r="U21" i="18"/>
  <c r="U22" i="18"/>
  <c r="U23" i="18"/>
  <c r="U24" i="18"/>
  <c r="U25" i="18"/>
  <c r="T12" i="18"/>
  <c r="T13" i="18"/>
  <c r="T14" i="18"/>
  <c r="T15" i="18"/>
  <c r="T16" i="18"/>
  <c r="T17" i="18"/>
  <c r="T18" i="18"/>
  <c r="T19" i="18"/>
  <c r="T20" i="18"/>
  <c r="T21" i="18"/>
  <c r="T22" i="18"/>
  <c r="T23" i="18"/>
  <c r="T24" i="18"/>
  <c r="T25" i="18"/>
  <c r="S12" i="18"/>
  <c r="S13" i="18"/>
  <c r="S14" i="18"/>
  <c r="S15" i="18"/>
  <c r="S16" i="18"/>
  <c r="S17" i="18"/>
  <c r="S18" i="18"/>
  <c r="S19" i="18"/>
  <c r="S20" i="18"/>
  <c r="S21" i="18"/>
  <c r="S22" i="18"/>
  <c r="S23" i="18"/>
  <c r="S24" i="18"/>
  <c r="S25" i="18"/>
  <c r="R12" i="18"/>
  <c r="R13" i="18"/>
  <c r="R14" i="18"/>
  <c r="R15" i="18"/>
  <c r="R16" i="18"/>
  <c r="R17" i="18"/>
  <c r="R18" i="18"/>
  <c r="R19" i="18"/>
  <c r="R20" i="18"/>
  <c r="R21" i="18"/>
  <c r="R22" i="18"/>
  <c r="R23" i="18"/>
  <c r="R24" i="18"/>
  <c r="R25" i="18"/>
  <c r="I25" i="18"/>
  <c r="H25" i="18"/>
  <c r="G25" i="18"/>
  <c r="F25" i="18"/>
  <c r="M8" i="18"/>
  <c r="H12" i="17"/>
  <c r="I12" i="17"/>
  <c r="J12" i="17"/>
  <c r="K12" i="17"/>
  <c r="O12" i="17"/>
  <c r="P12" i="17"/>
  <c r="H13" i="17"/>
  <c r="I13" i="17"/>
  <c r="J13" i="17"/>
  <c r="K13" i="17"/>
  <c r="O13" i="17"/>
  <c r="P13" i="17"/>
  <c r="H14" i="17"/>
  <c r="I14" i="17"/>
  <c r="J14" i="17"/>
  <c r="K14" i="17"/>
  <c r="O14" i="17"/>
  <c r="P14" i="17"/>
  <c r="F15" i="17"/>
  <c r="H15" i="17"/>
  <c r="I15" i="17"/>
  <c r="J15" i="17"/>
  <c r="K15" i="17"/>
  <c r="O15" i="17"/>
  <c r="P15" i="17"/>
  <c r="F16" i="17"/>
  <c r="H16" i="17"/>
  <c r="I16" i="17"/>
  <c r="J16" i="17"/>
  <c r="K16" i="17"/>
  <c r="O16" i="17"/>
  <c r="P16" i="17"/>
  <c r="F17" i="17"/>
  <c r="H17" i="17"/>
  <c r="I17" i="17"/>
  <c r="J17" i="17"/>
  <c r="O17" i="17"/>
  <c r="P17" i="17"/>
  <c r="F18" i="17"/>
  <c r="H18" i="17"/>
  <c r="I18" i="17"/>
  <c r="J18" i="17"/>
  <c r="O18" i="17"/>
  <c r="P18" i="17"/>
  <c r="F19" i="17"/>
  <c r="H19" i="17"/>
  <c r="I19" i="17"/>
  <c r="J19" i="17"/>
  <c r="O19" i="17"/>
  <c r="P19" i="17"/>
  <c r="E20" i="17"/>
  <c r="F20" i="17"/>
  <c r="H20" i="17"/>
  <c r="I20" i="17"/>
  <c r="J20" i="17"/>
  <c r="O20" i="17"/>
  <c r="P20" i="17"/>
  <c r="E21" i="17"/>
  <c r="F21" i="17"/>
  <c r="H21" i="17"/>
  <c r="I21" i="17"/>
  <c r="J21" i="17"/>
  <c r="O21" i="17"/>
  <c r="P21" i="17"/>
  <c r="E22" i="17"/>
  <c r="F22" i="17"/>
  <c r="H22" i="17"/>
  <c r="I22" i="17"/>
  <c r="J22" i="17"/>
  <c r="O22" i="17"/>
  <c r="P22" i="17"/>
  <c r="P24" i="17"/>
  <c r="G38" i="17"/>
  <c r="I24" i="17"/>
  <c r="J38" i="17"/>
  <c r="O24" i="17"/>
  <c r="G36" i="17"/>
  <c r="J24" i="17"/>
  <c r="J36" i="17"/>
  <c r="K24" i="17"/>
  <c r="G34" i="17"/>
  <c r="J34" i="17"/>
  <c r="E24" i="17"/>
  <c r="G32" i="17"/>
  <c r="M7" i="17"/>
  <c r="G30" i="17"/>
  <c r="J32" i="17"/>
  <c r="E26" i="17"/>
  <c r="F26" i="17"/>
  <c r="K25" i="17"/>
  <c r="H24" i="17"/>
  <c r="H25" i="17"/>
  <c r="E25" i="17"/>
  <c r="N12" i="17"/>
  <c r="X12" i="17"/>
  <c r="N13" i="17"/>
  <c r="X13" i="17"/>
  <c r="N14" i="17"/>
  <c r="X14" i="17"/>
  <c r="N15" i="17"/>
  <c r="X15" i="17"/>
  <c r="N16" i="17"/>
  <c r="X16" i="17"/>
  <c r="X24" i="17"/>
  <c r="V12" i="17"/>
  <c r="V13" i="17"/>
  <c r="V14" i="17"/>
  <c r="V15" i="17"/>
  <c r="V16" i="17"/>
  <c r="N17" i="17"/>
  <c r="V17" i="17"/>
  <c r="N18" i="17"/>
  <c r="V18" i="17"/>
  <c r="N19" i="17"/>
  <c r="V19" i="17"/>
  <c r="N20" i="17"/>
  <c r="V20" i="17"/>
  <c r="N21" i="17"/>
  <c r="V21" i="17"/>
  <c r="N22" i="17"/>
  <c r="V22" i="17"/>
  <c r="V24" i="17"/>
  <c r="U12" i="17"/>
  <c r="U13" i="17"/>
  <c r="U14" i="17"/>
  <c r="U15" i="17"/>
  <c r="U16" i="17"/>
  <c r="U17" i="17"/>
  <c r="U18" i="17"/>
  <c r="U19" i="17"/>
  <c r="U20" i="17"/>
  <c r="U21" i="17"/>
  <c r="U22" i="17"/>
  <c r="U24" i="17"/>
  <c r="T12" i="17"/>
  <c r="T13" i="17"/>
  <c r="T14" i="17"/>
  <c r="T15" i="17"/>
  <c r="T16" i="17"/>
  <c r="T17" i="17"/>
  <c r="T18" i="17"/>
  <c r="T19" i="17"/>
  <c r="T20" i="17"/>
  <c r="T21" i="17"/>
  <c r="T22" i="17"/>
  <c r="T24" i="17"/>
  <c r="S12" i="17"/>
  <c r="S13" i="17"/>
  <c r="S14" i="17"/>
  <c r="S15" i="17"/>
  <c r="S16" i="17"/>
  <c r="S17" i="17"/>
  <c r="S18" i="17"/>
  <c r="S19" i="17"/>
  <c r="S20" i="17"/>
  <c r="S21" i="17"/>
  <c r="S22" i="17"/>
  <c r="S24" i="17"/>
  <c r="R12" i="17"/>
  <c r="R13" i="17"/>
  <c r="R14" i="17"/>
  <c r="R15" i="17"/>
  <c r="R16" i="17"/>
  <c r="R17" i="17"/>
  <c r="R18" i="17"/>
  <c r="R19" i="17"/>
  <c r="R20" i="17"/>
  <c r="R21" i="17"/>
  <c r="R22" i="17"/>
  <c r="R24" i="17"/>
  <c r="G24" i="17"/>
  <c r="F24" i="17"/>
  <c r="M8" i="17"/>
</calcChain>
</file>

<file path=xl/sharedStrings.xml><?xml version="1.0" encoding="utf-8"?>
<sst xmlns="http://schemas.openxmlformats.org/spreadsheetml/2006/main" count="171" uniqueCount="95">
  <si>
    <t>PROJET</t>
  </si>
  <si>
    <t>Montant Marché + Avenants
H.T</t>
  </si>
  <si>
    <t>Montant
Situations
T.T.C</t>
  </si>
  <si>
    <t>Date de
Paiement
Contractuelle</t>
  </si>
  <si>
    <t>DU
T.T.C</t>
  </si>
  <si>
    <t>EXIGIBLE
T.T.C</t>
  </si>
  <si>
    <t>Retard
en jours</t>
  </si>
  <si>
    <t>Retard
&lt;30 J</t>
  </si>
  <si>
    <t>Retard
&gt;30 J &amp; &lt;180 J</t>
  </si>
  <si>
    <t>Retard
&gt;180 J &amp; &lt;360 J</t>
  </si>
  <si>
    <t>Retard
&gt;360 J</t>
  </si>
  <si>
    <t>Nom du Projet :</t>
  </si>
  <si>
    <t>GESTION CLIENT</t>
  </si>
  <si>
    <t xml:space="preserve">  -  MARCHE DE BASE</t>
  </si>
  <si>
    <t>N° SAP</t>
  </si>
  <si>
    <t>ECHEANCE  :</t>
  </si>
  <si>
    <t xml:space="preserve">  -  BORDEREAU</t>
  </si>
  <si>
    <t>Maître d'Ouvrage :</t>
  </si>
  <si>
    <t>FONCIERE CFC</t>
  </si>
  <si>
    <t>MONNAIE  :</t>
  </si>
  <si>
    <t>MAD</t>
  </si>
  <si>
    <t xml:space="preserve">  -  AVENANT N°1</t>
  </si>
  <si>
    <t>TVA  :</t>
  </si>
  <si>
    <t xml:space="preserve">  -  AVENANT N°2</t>
  </si>
  <si>
    <t>Maître d'Œuvre :</t>
  </si>
  <si>
    <t>RETENUES</t>
  </si>
  <si>
    <t>CAUTIONS</t>
  </si>
  <si>
    <t xml:space="preserve">  -  AVENANT N°3</t>
  </si>
  <si>
    <t>AD</t>
  </si>
  <si>
    <t>OUI</t>
  </si>
  <si>
    <t>RG</t>
  </si>
  <si>
    <t xml:space="preserve">  -  TOTAL C.A. H.T.</t>
  </si>
  <si>
    <t>BF</t>
  </si>
  <si>
    <t xml:space="preserve">  -  TOTAL C.A. TTC</t>
  </si>
  <si>
    <t>m.a.j</t>
  </si>
  <si>
    <t>SOLDE A PAYER</t>
  </si>
  <si>
    <t>N°</t>
  </si>
  <si>
    <t>N° Facture</t>
  </si>
  <si>
    <t>Date Emission</t>
  </si>
  <si>
    <t>Période</t>
  </si>
  <si>
    <t>Montant SIT° TRVX</t>
  </si>
  <si>
    <t>Avance de Démarrage</t>
  </si>
  <si>
    <t>Retenue de Garantie</t>
  </si>
  <si>
    <t>Diverses Retenues</t>
  </si>
  <si>
    <t>Montant Situation H.T.</t>
  </si>
  <si>
    <t>Montant Situation TTC</t>
  </si>
  <si>
    <t>Montant Payé TTC</t>
  </si>
  <si>
    <t>Date de paiement contractuelle</t>
  </si>
  <si>
    <t>Date de paiement effective</t>
  </si>
  <si>
    <t>deltas</t>
  </si>
  <si>
    <t>DU TTC</t>
  </si>
  <si>
    <t>EXIGIBLE TTC</t>
  </si>
  <si>
    <t>Retard &lt;60J</t>
  </si>
  <si>
    <t>Retard &gt;60J</t>
  </si>
  <si>
    <t>Retard &gt;120J</t>
  </si>
  <si>
    <t>Retard &gt;180J</t>
  </si>
  <si>
    <t>Retard &gt;365J</t>
  </si>
  <si>
    <t xml:space="preserve">Intérêts moratoires </t>
  </si>
  <si>
    <t>TOTAL . . .</t>
  </si>
  <si>
    <t>% facturation</t>
  </si>
  <si>
    <t>% réglé / émis</t>
  </si>
  <si>
    <t>Solde à facturer</t>
  </si>
  <si>
    <t xml:space="preserve">RECAPITULATIF COMPTE CLIENT </t>
  </si>
  <si>
    <t>MARCHE CLIENT</t>
  </si>
  <si>
    <t>HT</t>
  </si>
  <si>
    <t xml:space="preserve"> FACTURE  AU STADE hors A.D.</t>
  </si>
  <si>
    <t>% présenté / marché total</t>
  </si>
  <si>
    <t>REGLE AU STADE</t>
  </si>
  <si>
    <t>TTC</t>
  </si>
  <si>
    <t>% réglé / situations</t>
  </si>
  <si>
    <t>ECHEANCE A VENIR</t>
  </si>
  <si>
    <t>DONT EXIGIBLE</t>
  </si>
  <si>
    <t>MAJ</t>
  </si>
  <si>
    <t>HOTEL PATI</t>
  </si>
  <si>
    <t>BAX.210</t>
  </si>
  <si>
    <t>VAN BUETEN</t>
  </si>
  <si>
    <t>Signature:</t>
  </si>
  <si>
    <t>Date contractuelle</t>
  </si>
  <si>
    <t>Date prévisionnelle</t>
  </si>
  <si>
    <t>12/10/2013</t>
  </si>
  <si>
    <t>22/08/2018</t>
  </si>
  <si>
    <t>13/06/2018</t>
  </si>
  <si>
    <t>SUIVI DES PAIEMENTS CLIENTS EN RETARD</t>
  </si>
  <si>
    <t>HOTEL ANDOU</t>
  </si>
  <si>
    <t>Club House Bouskoura</t>
  </si>
  <si>
    <t>BAX.211</t>
  </si>
  <si>
    <t>karifsnki</t>
  </si>
  <si>
    <t>Signature OS :</t>
  </si>
  <si>
    <t>Date contractuelle livraison :</t>
  </si>
  <si>
    <t>Date prévisionnelle FDC :</t>
  </si>
  <si>
    <t>NON</t>
  </si>
  <si>
    <t>Deltas</t>
  </si>
  <si>
    <t>REGLE AU STADE y/c  A.D.</t>
  </si>
  <si>
    <t>EXIGIBLE</t>
  </si>
  <si>
    <t>TOTAL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</si>
</sst>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7">
    <numFmt numFmtId="43" formatCode="_-* #,##0.00\ _€_-;\-* #,##0.00\ _€_-;_-* &quot;-&quot;??\ _€_-;_-@_-"/>
    <numFmt numFmtId="164" formatCode="0&quot; Jours&quot;"/>
    <numFmt numFmtId="165" formatCode="_-* #,##0\ _F_-;\-* #,##0\ _F_-;_-* &quot;-&quot;??\ _F_-;_-@_-"/>
    <numFmt numFmtId="166" formatCode="0.0%"/>
    <numFmt numFmtId="167" formatCode="d/m/yy;@"/>
    <numFmt numFmtId="168" formatCode="[$-40C]mmm\-yy;@"/>
    <numFmt numFmtId="169" formatCode="dd/mm/yy;@"/>
  </numFmts>
  <fonts count="25">
    <font>
      <sz val="11"/>
      <color theme="1"/>
      <name val="Calibri"/>
      <family val="2"/>
      <scheme val="minor"/>
    </font>
    <font>
      <b/>
      <sz val="10"/>
      <color theme="1"/>
      <name val="Book Antiqua"/>
      <family val="1"/>
    </font>
    <font>
      <b/>
      <i/>
      <sz val="20"/>
      <color theme="1"/>
      <name val="Book Antiqua"/>
      <family val="1"/>
    </font>
    <font>
      <sz val="11"/>
      <color theme="1"/>
      <name val="Calibri"/>
      <family val="2"/>
      <scheme val="minor"/>
    </font>
    <font>
      <sz val="10"/>
      <name val="Book Antiqua"/>
      <family val="1"/>
    </font>
    <font>
      <b/>
      <sz val="12"/>
      <name val="Book Antiqua"/>
      <family val="1"/>
    </font>
    <font>
      <b/>
      <sz val="8"/>
      <name val="Book Antiqua"/>
      <family val="1"/>
    </font>
    <font>
      <u/>
      <sz val="16"/>
      <color theme="1"/>
      <name val="Book Antiqua"/>
      <family val="1"/>
    </font>
    <font>
      <sz val="11"/>
      <color theme="1"/>
      <name val="Book Antiqua"/>
      <family val="1"/>
    </font>
    <font>
      <u/>
      <sz val="11"/>
      <color theme="1"/>
      <name val="Book Antiqua"/>
      <family val="1"/>
    </font>
    <font>
      <b/>
      <sz val="12"/>
      <color rgb="FF0070C0"/>
      <name val="Book Antiqua"/>
      <family val="1"/>
    </font>
    <font>
      <b/>
      <u/>
      <sz val="10"/>
      <name val="Book Antiqua"/>
      <family val="1"/>
    </font>
    <font>
      <b/>
      <sz val="10"/>
      <name val="Book Antiqua"/>
      <family val="1"/>
    </font>
    <font>
      <sz val="11"/>
      <name val="Book Antiqua"/>
      <family val="1"/>
    </font>
    <font>
      <b/>
      <sz val="11"/>
      <color theme="1"/>
      <name val="Book Antiqua"/>
      <family val="1"/>
    </font>
    <font>
      <sz val="11"/>
      <color rgb="FFFF0000"/>
      <name val="Book Antiqua"/>
      <family val="1"/>
    </font>
    <font>
      <b/>
      <sz val="9"/>
      <color indexed="10"/>
      <name val="Arial"/>
      <family val="2"/>
    </font>
    <font>
      <sz val="11"/>
      <name val="SWISS"/>
    </font>
    <font>
      <sz val="10"/>
      <color theme="1"/>
      <name val="Book Antiqua"/>
      <family val="1"/>
    </font>
    <font>
      <sz val="9"/>
      <name val="Book Antiqua"/>
      <family val="1"/>
    </font>
    <font>
      <sz val="9"/>
      <color theme="1"/>
      <name val="Book Antiqua"/>
      <family val="1"/>
    </font>
    <font>
      <sz val="8"/>
      <color theme="1"/>
      <name val="Book Antiqua"/>
      <family val="1"/>
    </font>
    <font>
      <sz val="11"/>
      <name val="Arial"/>
      <family val="2"/>
    </font>
    <font>
      <b/>
      <sz val="11"/>
      <name val="Book Antiqua"/>
      <family val="1"/>
    </font>
    <font>
      <sz val="10"/>
      <color rgb="FFFF0000"/>
      <name val="Book Antiqua"/>
      <family val="1"/>
    </font>
  </fonts>
  <fills count="19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0"/>
      </patternFill>
    </fill>
    <fill>
      <patternFill patternType="solid">
        <fgColor theme="9" tint="0.7999816888943144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66FF99"/>
        <bgColor indexed="64"/>
      </patternFill>
    </fill>
    <fill>
      <patternFill patternType="solid">
        <fgColor rgb="FF99CCFF"/>
        <bgColor indexed="64"/>
      </patternFill>
    </fill>
    <fill>
      <patternFill patternType="solid">
        <fgColor rgb="FFFF99CC"/>
        <bgColor indexed="64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theme="5" tint="-0.249977111117893"/>
        <bgColor indexed="64"/>
      </patternFill>
    </fill>
  </fills>
  <borders count="2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4">
    <xf numFmtId="0" fontId="0" fillId="0" borderId="0"/>
    <xf numFmtId="43" fontId="3" fillId="0" borderId="0" applyFont="0" applyFill="0" applyBorder="0" applyAlignment="0" applyProtection="0"/>
    <xf numFmtId="9" fontId="3" fillId="0" borderId="0" applyFont="0" applyFill="0" applyBorder="0" applyAlignment="0" applyProtection="0"/>
    <xf numFmtId="40" fontId="17" fillId="0" borderId="0"/>
  </cellStyleXfs>
  <cellXfs count="258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 wrapText="1"/>
    </xf>
    <xf numFmtId="0" fontId="8" fillId="5" borderId="3" xfId="0" quotePrefix="1" applyFont="1" applyFill="1" applyBorder="1" applyAlignment="1">
      <alignment vertical="center"/>
    </xf>
    <xf numFmtId="0" fontId="8" fillId="5" borderId="4" xfId="0" applyFont="1" applyFill="1" applyBorder="1" applyAlignment="1">
      <alignment vertical="center"/>
    </xf>
    <xf numFmtId="0" fontId="8" fillId="5" borderId="4" xfId="0" applyFont="1" applyFill="1" applyBorder="1" applyAlignment="1">
      <alignment horizontal="right" vertical="center"/>
    </xf>
    <xf numFmtId="0" fontId="9" fillId="5" borderId="5" xfId="0" applyFont="1" applyFill="1" applyBorder="1" applyAlignment="1">
      <alignment vertical="center"/>
    </xf>
    <xf numFmtId="0" fontId="8" fillId="0" borderId="0" xfId="0" applyFont="1" applyAlignment="1">
      <alignment vertical="center"/>
    </xf>
    <xf numFmtId="0" fontId="8" fillId="4" borderId="6" xfId="0" applyFont="1" applyFill="1" applyBorder="1" applyAlignment="1">
      <alignment vertical="center"/>
    </xf>
    <xf numFmtId="0" fontId="8" fillId="4" borderId="0" xfId="0" applyFont="1" applyFill="1" applyBorder="1" applyAlignment="1">
      <alignment vertical="center"/>
    </xf>
    <xf numFmtId="164" fontId="10" fillId="4" borderId="0" xfId="0" applyNumberFormat="1" applyFont="1" applyFill="1" applyBorder="1" applyAlignment="1">
      <alignment horizontal="left" vertical="center"/>
    </xf>
    <xf numFmtId="0" fontId="7" fillId="4" borderId="7" xfId="0" applyFont="1" applyFill="1" applyBorder="1" applyAlignment="1">
      <alignment vertical="center"/>
    </xf>
    <xf numFmtId="0" fontId="8" fillId="5" borderId="6" xfId="0" quotePrefix="1" applyFont="1" applyFill="1" applyBorder="1" applyAlignment="1">
      <alignment vertical="center"/>
    </xf>
    <xf numFmtId="0" fontId="8" fillId="5" borderId="0" xfId="0" applyFont="1" applyFill="1" applyBorder="1" applyAlignment="1">
      <alignment vertical="center"/>
    </xf>
    <xf numFmtId="0" fontId="8" fillId="5" borderId="7" xfId="0" applyFont="1" applyFill="1" applyBorder="1" applyAlignment="1">
      <alignment vertical="center"/>
    </xf>
    <xf numFmtId="49" fontId="11" fillId="3" borderId="7" xfId="1" applyNumberFormat="1" applyFont="1" applyFill="1" applyBorder="1" applyAlignment="1" applyProtection="1">
      <alignment horizontal="center" vertical="center"/>
      <protection locked="0"/>
    </xf>
    <xf numFmtId="0" fontId="10" fillId="4" borderId="0" xfId="0" applyFont="1" applyFill="1" applyBorder="1" applyAlignment="1">
      <alignment vertical="center"/>
    </xf>
    <xf numFmtId="0" fontId="8" fillId="4" borderId="7" xfId="0" applyFont="1" applyFill="1" applyBorder="1" applyAlignment="1">
      <alignment vertical="center"/>
    </xf>
    <xf numFmtId="49" fontId="5" fillId="3" borderId="7" xfId="1" applyNumberFormat="1" applyFont="1" applyFill="1" applyBorder="1" applyAlignment="1" applyProtection="1">
      <alignment vertical="center"/>
      <protection locked="0"/>
    </xf>
    <xf numFmtId="9" fontId="10" fillId="4" borderId="0" xfId="2" applyNumberFormat="1" applyFont="1" applyFill="1" applyBorder="1" applyAlignment="1">
      <alignment horizontal="left" vertical="center"/>
    </xf>
    <xf numFmtId="165" fontId="4" fillId="3" borderId="0" xfId="1" applyNumberFormat="1" applyFont="1" applyFill="1" applyBorder="1" applyAlignment="1" applyProtection="1">
      <alignment horizontal="left" vertical="center"/>
    </xf>
    <xf numFmtId="49" fontId="12" fillId="3" borderId="0" xfId="1" applyNumberFormat="1" applyFont="1" applyFill="1" applyBorder="1" applyAlignment="1" applyProtection="1">
      <alignment horizontal="left" vertical="center"/>
      <protection locked="0"/>
    </xf>
    <xf numFmtId="165" fontId="4" fillId="3" borderId="0" xfId="1" applyNumberFormat="1" applyFont="1" applyFill="1" applyBorder="1" applyAlignment="1" applyProtection="1">
      <alignment horizontal="left" vertical="center"/>
      <protection locked="0"/>
    </xf>
    <xf numFmtId="165" fontId="4" fillId="3" borderId="7" xfId="1" applyNumberFormat="1" applyFont="1" applyFill="1" applyBorder="1" applyAlignment="1" applyProtection="1">
      <alignment horizontal="left" vertical="center"/>
      <protection locked="0"/>
    </xf>
    <xf numFmtId="49" fontId="13" fillId="3" borderId="0" xfId="1" applyNumberFormat="1" applyFont="1" applyFill="1" applyBorder="1" applyAlignment="1" applyProtection="1">
      <alignment vertical="center"/>
      <protection locked="0"/>
    </xf>
    <xf numFmtId="49" fontId="4" fillId="3" borderId="0" xfId="1" applyNumberFormat="1" applyFont="1" applyFill="1" applyBorder="1" applyAlignment="1" applyProtection="1">
      <alignment vertical="center"/>
      <protection locked="0"/>
    </xf>
    <xf numFmtId="49" fontId="4" fillId="3" borderId="7" xfId="1" applyNumberFormat="1" applyFont="1" applyFill="1" applyBorder="1" applyAlignment="1" applyProtection="1">
      <alignment vertical="center"/>
      <protection locked="0"/>
    </xf>
    <xf numFmtId="166" fontId="10" fillId="4" borderId="0" xfId="0" applyNumberFormat="1" applyFont="1" applyFill="1" applyBorder="1" applyAlignment="1">
      <alignment horizontal="center" vertical="center"/>
    </xf>
    <xf numFmtId="0" fontId="8" fillId="5" borderId="6" xfId="0" applyFont="1" applyFill="1" applyBorder="1" applyAlignment="1">
      <alignment vertical="center"/>
    </xf>
    <xf numFmtId="9" fontId="10" fillId="4" borderId="0" xfId="0" applyNumberFormat="1" applyFont="1" applyFill="1" applyBorder="1" applyAlignment="1">
      <alignment horizontal="center" vertical="center"/>
    </xf>
    <xf numFmtId="0" fontId="14" fillId="5" borderId="6" xfId="0" quotePrefix="1" applyFont="1" applyFill="1" applyBorder="1" applyAlignment="1">
      <alignment vertical="center"/>
    </xf>
    <xf numFmtId="0" fontId="14" fillId="5" borderId="0" xfId="0" applyFont="1" applyFill="1" applyBorder="1" applyAlignment="1">
      <alignment vertical="center"/>
    </xf>
    <xf numFmtId="49" fontId="4" fillId="3" borderId="8" xfId="1" applyNumberFormat="1" applyFont="1" applyFill="1" applyBorder="1" applyAlignment="1" applyProtection="1">
      <alignment horizontal="left" vertical="center"/>
    </xf>
    <xf numFmtId="165" fontId="4" fillId="3" borderId="9" xfId="1" applyNumberFormat="1" applyFont="1" applyFill="1" applyBorder="1" applyAlignment="1" applyProtection="1">
      <alignment horizontal="left" vertical="center"/>
    </xf>
    <xf numFmtId="49" fontId="15" fillId="3" borderId="9" xfId="1" applyNumberFormat="1" applyFont="1" applyFill="1" applyBorder="1" applyAlignment="1" applyProtection="1">
      <alignment vertical="center"/>
      <protection locked="0"/>
    </xf>
    <xf numFmtId="49" fontId="4" fillId="3" borderId="9" xfId="1" applyNumberFormat="1" applyFont="1" applyFill="1" applyBorder="1" applyAlignment="1" applyProtection="1">
      <alignment vertical="center"/>
      <protection locked="0"/>
    </xf>
    <xf numFmtId="49" fontId="4" fillId="3" borderId="10" xfId="1" applyNumberFormat="1" applyFont="1" applyFill="1" applyBorder="1" applyAlignment="1" applyProtection="1">
      <alignment vertical="center"/>
      <protection locked="0"/>
    </xf>
    <xf numFmtId="0" fontId="8" fillId="4" borderId="8" xfId="0" applyFont="1" applyFill="1" applyBorder="1" applyAlignment="1">
      <alignment vertical="center"/>
    </xf>
    <xf numFmtId="0" fontId="10" fillId="4" borderId="9" xfId="0" applyFont="1" applyFill="1" applyBorder="1" applyAlignment="1">
      <alignment vertical="center"/>
    </xf>
    <xf numFmtId="9" fontId="10" fillId="4" borderId="9" xfId="0" applyNumberFormat="1" applyFont="1" applyFill="1" applyBorder="1" applyAlignment="1">
      <alignment horizontal="center" vertical="center"/>
    </xf>
    <xf numFmtId="0" fontId="8" fillId="4" borderId="10" xfId="0" applyFont="1" applyFill="1" applyBorder="1" applyAlignment="1">
      <alignment vertical="center"/>
    </xf>
    <xf numFmtId="0" fontId="14" fillId="5" borderId="8" xfId="0" quotePrefix="1" applyFont="1" applyFill="1" applyBorder="1" applyAlignment="1">
      <alignment vertical="center"/>
    </xf>
    <xf numFmtId="0" fontId="14" fillId="5" borderId="9" xfId="0" applyFont="1" applyFill="1" applyBorder="1" applyAlignment="1">
      <alignment vertical="center"/>
    </xf>
    <xf numFmtId="0" fontId="8" fillId="5" borderId="9" xfId="0" applyFont="1" applyFill="1" applyBorder="1" applyAlignment="1">
      <alignment vertical="center"/>
    </xf>
    <xf numFmtId="0" fontId="8" fillId="5" borderId="10" xfId="0" applyFont="1" applyFill="1" applyBorder="1" applyAlignment="1">
      <alignment vertical="center"/>
    </xf>
    <xf numFmtId="14" fontId="16" fillId="0" borderId="0" xfId="0" applyNumberFormat="1" applyFont="1"/>
    <xf numFmtId="0" fontId="8" fillId="0" borderId="0" xfId="0" applyFont="1" applyAlignment="1">
      <alignment horizontal="right" vertical="center"/>
    </xf>
    <xf numFmtId="9" fontId="8" fillId="0" borderId="0" xfId="0" applyNumberFormat="1" applyFont="1" applyAlignment="1">
      <alignment horizontal="center" vertical="center"/>
    </xf>
    <xf numFmtId="10" fontId="8" fillId="0" borderId="0" xfId="0" applyNumberFormat="1" applyFont="1" applyAlignment="1">
      <alignment horizontal="center" vertical="center"/>
    </xf>
    <xf numFmtId="166" fontId="8" fillId="0" borderId="0" xfId="0" applyNumberFormat="1" applyFont="1" applyAlignment="1">
      <alignment horizontal="center" vertical="center"/>
    </xf>
    <xf numFmtId="0" fontId="14" fillId="2" borderId="1" xfId="0" applyFont="1" applyFill="1" applyBorder="1" applyAlignment="1">
      <alignment horizontal="center" vertical="center"/>
    </xf>
    <xf numFmtId="0" fontId="14" fillId="2" borderId="1" xfId="0" applyFont="1" applyFill="1" applyBorder="1" applyAlignment="1">
      <alignment horizontal="center" vertical="center" wrapText="1"/>
    </xf>
    <xf numFmtId="4" fontId="13" fillId="0" borderId="1" xfId="3" applyNumberFormat="1" applyFont="1" applyBorder="1" applyAlignment="1">
      <alignment horizontal="center" vertical="center" wrapText="1"/>
    </xf>
    <xf numFmtId="4" fontId="18" fillId="0" borderId="2" xfId="0" applyNumberFormat="1" applyFont="1" applyBorder="1" applyAlignment="1">
      <alignment vertical="center"/>
    </xf>
    <xf numFmtId="167" fontId="18" fillId="0" borderId="2" xfId="0" applyNumberFormat="1" applyFont="1" applyBorder="1" applyAlignment="1">
      <alignment horizontal="center" vertical="center"/>
    </xf>
    <xf numFmtId="1" fontId="18" fillId="0" borderId="2" xfId="0" quotePrefix="1" applyNumberFormat="1" applyFont="1" applyBorder="1" applyAlignment="1">
      <alignment horizontal="center" vertical="center"/>
    </xf>
    <xf numFmtId="0" fontId="18" fillId="0" borderId="0" xfId="0" applyFont="1" applyAlignment="1">
      <alignment vertical="center"/>
    </xf>
    <xf numFmtId="3" fontId="19" fillId="0" borderId="0" xfId="3" applyNumberFormat="1" applyFont="1" applyAlignment="1">
      <alignment vertical="center"/>
    </xf>
    <xf numFmtId="0" fontId="18" fillId="0" borderId="2" xfId="0" applyFont="1" applyBorder="1" applyAlignment="1">
      <alignment horizontal="center" vertical="center"/>
    </xf>
    <xf numFmtId="0" fontId="18" fillId="0" borderId="2" xfId="0" applyFont="1" applyBorder="1" applyAlignment="1">
      <alignment vertical="center"/>
    </xf>
    <xf numFmtId="167" fontId="18" fillId="0" borderId="2" xfId="0" applyNumberFormat="1" applyFont="1" applyBorder="1" applyAlignment="1">
      <alignment vertical="center"/>
    </xf>
    <xf numFmtId="168" fontId="18" fillId="0" borderId="2" xfId="0" applyNumberFormat="1" applyFont="1" applyBorder="1" applyAlignment="1">
      <alignment horizontal="center" vertical="center"/>
    </xf>
    <xf numFmtId="3" fontId="19" fillId="0" borderId="2" xfId="3" applyNumberFormat="1" applyFont="1" applyBorder="1" applyAlignment="1">
      <alignment vertical="center"/>
    </xf>
    <xf numFmtId="167" fontId="18" fillId="0" borderId="2" xfId="0" quotePrefix="1" applyNumberFormat="1" applyFont="1" applyBorder="1" applyAlignment="1">
      <alignment horizontal="center" vertical="center"/>
    </xf>
    <xf numFmtId="1" fontId="18" fillId="0" borderId="2" xfId="0" applyNumberFormat="1" applyFont="1" applyBorder="1" applyAlignment="1">
      <alignment horizontal="center" vertical="center"/>
    </xf>
    <xf numFmtId="0" fontId="18" fillId="2" borderId="13" xfId="0" applyFont="1" applyFill="1" applyBorder="1" applyAlignment="1">
      <alignment vertical="center"/>
    </xf>
    <xf numFmtId="0" fontId="18" fillId="2" borderId="14" xfId="0" applyFont="1" applyFill="1" applyBorder="1" applyAlignment="1">
      <alignment vertical="center"/>
    </xf>
    <xf numFmtId="4" fontId="18" fillId="2" borderId="15" xfId="0" applyNumberFormat="1" applyFont="1" applyFill="1" applyBorder="1" applyAlignment="1">
      <alignment vertical="center"/>
    </xf>
    <xf numFmtId="0" fontId="18" fillId="2" borderId="15" xfId="0" applyFont="1" applyFill="1" applyBorder="1" applyAlignment="1">
      <alignment vertical="center"/>
    </xf>
    <xf numFmtId="4" fontId="18" fillId="2" borderId="16" xfId="0" applyNumberFormat="1" applyFont="1" applyFill="1" applyBorder="1" applyAlignment="1">
      <alignment vertical="center"/>
    </xf>
    <xf numFmtId="3" fontId="20" fillId="0" borderId="1" xfId="0" applyNumberFormat="1" applyFont="1" applyBorder="1" applyAlignment="1">
      <alignment vertical="center"/>
    </xf>
    <xf numFmtId="0" fontId="18" fillId="0" borderId="17" xfId="0" applyFont="1" applyBorder="1" applyAlignment="1">
      <alignment vertical="center"/>
    </xf>
    <xf numFmtId="0" fontId="18" fillId="0" borderId="18" xfId="0" applyFont="1" applyBorder="1" applyAlignment="1">
      <alignment vertical="center"/>
    </xf>
    <xf numFmtId="0" fontId="8" fillId="0" borderId="18" xfId="0" applyFont="1" applyBorder="1" applyAlignment="1">
      <alignment horizontal="right" vertical="center"/>
    </xf>
    <xf numFmtId="10" fontId="18" fillId="6" borderId="18" xfId="2" applyNumberFormat="1" applyFont="1" applyFill="1" applyBorder="1" applyAlignment="1">
      <alignment horizontal="center" vertical="center"/>
    </xf>
    <xf numFmtId="0" fontId="18" fillId="0" borderId="19" xfId="0" applyFont="1" applyBorder="1" applyAlignment="1">
      <alignment vertical="center"/>
    </xf>
    <xf numFmtId="0" fontId="18" fillId="0" borderId="20" xfId="0" applyFont="1" applyBorder="1" applyAlignment="1">
      <alignment vertical="center"/>
    </xf>
    <xf numFmtId="0" fontId="18" fillId="0" borderId="21" xfId="0" applyFont="1" applyBorder="1" applyAlignment="1">
      <alignment vertical="center"/>
    </xf>
    <xf numFmtId="0" fontId="8" fillId="0" borderId="21" xfId="0" applyFont="1" applyBorder="1" applyAlignment="1">
      <alignment horizontal="right" vertical="center"/>
    </xf>
    <xf numFmtId="4" fontId="18" fillId="6" borderId="21" xfId="0" applyNumberFormat="1" applyFont="1" applyFill="1" applyBorder="1" applyAlignment="1">
      <alignment vertical="center"/>
    </xf>
    <xf numFmtId="10" fontId="18" fillId="6" borderId="21" xfId="2" applyNumberFormat="1" applyFont="1" applyFill="1" applyBorder="1" applyAlignment="1">
      <alignment horizontal="center" vertical="center"/>
    </xf>
    <xf numFmtId="0" fontId="18" fillId="0" borderId="22" xfId="0" applyFont="1" applyBorder="1" applyAlignment="1">
      <alignment vertical="center"/>
    </xf>
    <xf numFmtId="0" fontId="18" fillId="0" borderId="17" xfId="0" applyFont="1" applyFill="1" applyBorder="1" applyAlignment="1">
      <alignment vertical="center"/>
    </xf>
    <xf numFmtId="0" fontId="18" fillId="0" borderId="18" xfId="0" applyFont="1" applyFill="1" applyBorder="1" applyAlignment="1">
      <alignment vertical="center"/>
    </xf>
    <xf numFmtId="0" fontId="18" fillId="0" borderId="19" xfId="0" applyFont="1" applyFill="1" applyBorder="1" applyAlignment="1">
      <alignment vertical="center"/>
    </xf>
    <xf numFmtId="0" fontId="18" fillId="0" borderId="23" xfId="0" applyFont="1" applyFill="1" applyBorder="1" applyAlignment="1">
      <alignment vertical="center"/>
    </xf>
    <xf numFmtId="0" fontId="7" fillId="0" borderId="0" xfId="0" applyFont="1" applyFill="1" applyBorder="1" applyAlignment="1">
      <alignment vertical="center"/>
    </xf>
    <xf numFmtId="0" fontId="18" fillId="0" borderId="0" xfId="0" applyFont="1" applyFill="1" applyBorder="1" applyAlignment="1">
      <alignment vertical="center"/>
    </xf>
    <xf numFmtId="0" fontId="18" fillId="0" borderId="24" xfId="0" applyFont="1" applyFill="1" applyBorder="1" applyAlignment="1">
      <alignment vertical="center"/>
    </xf>
    <xf numFmtId="4" fontId="18" fillId="0" borderId="0" xfId="0" applyNumberFormat="1" applyFont="1" applyAlignment="1">
      <alignment vertical="center"/>
    </xf>
    <xf numFmtId="0" fontId="21" fillId="0" borderId="0" xfId="0" applyFont="1" applyFill="1" applyBorder="1" applyAlignment="1">
      <alignment horizontal="right"/>
    </xf>
    <xf numFmtId="0" fontId="4" fillId="0" borderId="0" xfId="0" applyFont="1" applyFill="1" applyBorder="1"/>
    <xf numFmtId="3" fontId="12" fillId="7" borderId="26" xfId="0" applyNumberFormat="1" applyFont="1" applyFill="1" applyBorder="1" applyAlignment="1">
      <alignment horizontal="center" vertical="center"/>
    </xf>
    <xf numFmtId="3" fontId="4" fillId="0" borderId="0" xfId="0" applyNumberFormat="1" applyFont="1" applyFill="1" applyBorder="1"/>
    <xf numFmtId="0" fontId="13" fillId="0" borderId="0" xfId="0" applyFont="1" applyFill="1" applyBorder="1"/>
    <xf numFmtId="0" fontId="22" fillId="0" borderId="24" xfId="0" applyFont="1" applyFill="1" applyBorder="1"/>
    <xf numFmtId="3" fontId="12" fillId="6" borderId="26" xfId="0" applyNumberFormat="1" applyFont="1" applyFill="1" applyBorder="1" applyAlignment="1">
      <alignment horizontal="center" vertical="center"/>
    </xf>
    <xf numFmtId="10" fontId="12" fillId="8" borderId="26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horizontal="left" vertical="center" indent="1"/>
    </xf>
    <xf numFmtId="0" fontId="12" fillId="0" borderId="0" xfId="0" applyFont="1" applyFill="1" applyBorder="1" applyAlignment="1">
      <alignment vertical="center"/>
    </xf>
    <xf numFmtId="0" fontId="23" fillId="0" borderId="0" xfId="0" applyFont="1" applyFill="1" applyBorder="1" applyAlignment="1">
      <alignment vertical="center"/>
    </xf>
    <xf numFmtId="0" fontId="8" fillId="0" borderId="23" xfId="0" applyFont="1" applyFill="1" applyBorder="1" applyAlignment="1">
      <alignment vertical="center"/>
    </xf>
    <xf numFmtId="0" fontId="4" fillId="0" borderId="0" xfId="0" applyFont="1" applyFill="1" applyBorder="1" applyAlignment="1">
      <alignment horizontal="left" indent="1"/>
    </xf>
    <xf numFmtId="3" fontId="12" fillId="9" borderId="26" xfId="0" applyNumberFormat="1" applyFont="1" applyFill="1" applyBorder="1" applyAlignment="1">
      <alignment horizontal="center" vertical="center"/>
    </xf>
    <xf numFmtId="10" fontId="12" fillId="9" borderId="26" xfId="0" applyNumberFormat="1" applyFont="1" applyFill="1" applyBorder="1" applyAlignment="1">
      <alignment horizontal="center" vertical="center"/>
    </xf>
    <xf numFmtId="0" fontId="12" fillId="0" borderId="23" xfId="0" applyFont="1" applyFill="1" applyBorder="1" applyAlignment="1">
      <alignment horizontal="left" vertical="center" indent="1"/>
    </xf>
    <xf numFmtId="0" fontId="4" fillId="0" borderId="0" xfId="0" applyFont="1" applyFill="1" applyBorder="1" applyAlignment="1">
      <alignment vertical="center"/>
    </xf>
    <xf numFmtId="0" fontId="13" fillId="0" borderId="0" xfId="0" applyFont="1" applyFill="1" applyBorder="1" applyAlignment="1">
      <alignment vertical="center"/>
    </xf>
    <xf numFmtId="3" fontId="12" fillId="10" borderId="26" xfId="0" applyNumberFormat="1" applyFont="1" applyFill="1" applyBorder="1" applyAlignment="1">
      <alignment horizontal="center" vertical="center"/>
    </xf>
    <xf numFmtId="10" fontId="12" fillId="10" borderId="26" xfId="0" applyNumberFormat="1" applyFont="1" applyFill="1" applyBorder="1" applyAlignment="1">
      <alignment horizontal="center" vertical="center"/>
    </xf>
    <xf numFmtId="0" fontId="12" fillId="0" borderId="0" xfId="0" applyFont="1" applyFill="1" applyBorder="1" applyAlignment="1">
      <alignment vertical="center" wrapText="1"/>
    </xf>
    <xf numFmtId="0" fontId="23" fillId="0" borderId="0" xfId="0" applyFont="1" applyFill="1" applyBorder="1" applyAlignment="1">
      <alignment vertical="center" wrapText="1"/>
    </xf>
    <xf numFmtId="3" fontId="12" fillId="11" borderId="26" xfId="0" applyNumberFormat="1" applyFont="1" applyFill="1" applyBorder="1" applyAlignment="1">
      <alignment horizontal="center" vertical="center"/>
    </xf>
    <xf numFmtId="10" fontId="12" fillId="11" borderId="26" xfId="0" applyNumberFormat="1" applyFont="1" applyFill="1" applyBorder="1" applyAlignment="1">
      <alignment horizontal="center" vertical="center"/>
    </xf>
    <xf numFmtId="0" fontId="8" fillId="0" borderId="20" xfId="0" applyFont="1" applyFill="1" applyBorder="1" applyAlignment="1">
      <alignment vertical="center"/>
    </xf>
    <xf numFmtId="0" fontId="22" fillId="0" borderId="21" xfId="0" applyFont="1" applyFill="1" applyBorder="1"/>
    <xf numFmtId="0" fontId="22" fillId="0" borderId="22" xfId="0" applyFont="1" applyFill="1" applyBorder="1"/>
    <xf numFmtId="0" fontId="21" fillId="0" borderId="0" xfId="0" applyFont="1" applyAlignment="1">
      <alignment vertical="center"/>
    </xf>
    <xf numFmtId="4" fontId="21" fillId="0" borderId="0" xfId="0" applyNumberFormat="1" applyFont="1" applyAlignment="1">
      <alignment vertical="center"/>
    </xf>
    <xf numFmtId="169" fontId="24" fillId="0" borderId="0" xfId="0" applyNumberFormat="1" applyFont="1" applyAlignment="1">
      <alignment horizontal="center" vertical="center"/>
    </xf>
    <xf numFmtId="0" fontId="0" fillId="0" borderId="1" xfId="0" applyBorder="1"/>
    <xf numFmtId="49" fontId="4" fillId="3" borderId="6" xfId="1" applyNumberFormat="1" applyFont="1" applyFill="1" applyBorder="1" applyAlignment="1" applyProtection="1">
      <alignment horizontal="left" vertical="center"/>
    </xf>
    <xf numFmtId="0" fontId="8" fillId="14" borderId="3" xfId="0" quotePrefix="1" applyFont="1" applyFill="1" applyBorder="1" applyAlignment="1">
      <alignment vertical="center"/>
    </xf>
    <xf numFmtId="0" fontId="8" fillId="14" borderId="4" xfId="0" applyFont="1" applyFill="1" applyBorder="1" applyAlignment="1">
      <alignment vertical="center"/>
    </xf>
    <xf numFmtId="0" fontId="8" fillId="14" borderId="4" xfId="0" applyFont="1" applyFill="1" applyBorder="1" applyAlignment="1">
      <alignment horizontal="right" vertical="center"/>
    </xf>
    <xf numFmtId="0" fontId="9" fillId="14" borderId="5" xfId="0" applyFont="1" applyFill="1" applyBorder="1" applyAlignment="1">
      <alignment vertical="center"/>
    </xf>
    <xf numFmtId="0" fontId="8" fillId="14" borderId="6" xfId="0" quotePrefix="1" applyFont="1" applyFill="1" applyBorder="1" applyAlignment="1">
      <alignment vertical="center"/>
    </xf>
    <xf numFmtId="0" fontId="8" fillId="14" borderId="0" xfId="0" applyFont="1" applyFill="1" applyBorder="1" applyAlignment="1">
      <alignment vertical="center"/>
    </xf>
    <xf numFmtId="0" fontId="8" fillId="14" borderId="7" xfId="0" applyFont="1" applyFill="1" applyBorder="1" applyAlignment="1">
      <alignment vertical="center"/>
    </xf>
    <xf numFmtId="49" fontId="11" fillId="13" borderId="7" xfId="1" applyNumberFormat="1" applyFont="1" applyFill="1" applyBorder="1" applyAlignment="1" applyProtection="1">
      <alignment horizontal="center" vertical="center"/>
      <protection locked="0"/>
    </xf>
    <xf numFmtId="49" fontId="5" fillId="13" borderId="7" xfId="1" applyNumberFormat="1" applyFont="1" applyFill="1" applyBorder="1" applyAlignment="1" applyProtection="1">
      <alignment vertical="center"/>
      <protection locked="0"/>
    </xf>
    <xf numFmtId="49" fontId="4" fillId="13" borderId="6" xfId="1" applyNumberFormat="1" applyFont="1" applyFill="1" applyBorder="1" applyAlignment="1" applyProtection="1">
      <alignment horizontal="left" vertical="center"/>
    </xf>
    <xf numFmtId="165" fontId="4" fillId="13" borderId="0" xfId="1" applyNumberFormat="1" applyFont="1" applyFill="1" applyBorder="1" applyAlignment="1" applyProtection="1">
      <alignment horizontal="left" vertical="center"/>
    </xf>
    <xf numFmtId="49" fontId="23" fillId="13" borderId="0" xfId="1" applyNumberFormat="1" applyFont="1" applyFill="1" applyBorder="1" applyAlignment="1" applyProtection="1">
      <alignment horizontal="left" vertical="center"/>
      <protection locked="0"/>
    </xf>
    <xf numFmtId="165" fontId="4" fillId="13" borderId="0" xfId="1" applyNumberFormat="1" applyFont="1" applyFill="1" applyBorder="1" applyAlignment="1" applyProtection="1">
      <alignment horizontal="left" vertical="center"/>
      <protection locked="0"/>
    </xf>
    <xf numFmtId="165" fontId="4" fillId="13" borderId="7" xfId="1" applyNumberFormat="1" applyFont="1" applyFill="1" applyBorder="1" applyAlignment="1" applyProtection="1">
      <alignment horizontal="left" vertical="center"/>
      <protection locked="0"/>
    </xf>
    <xf numFmtId="169" fontId="4" fillId="13" borderId="0" xfId="1" applyNumberFormat="1" applyFont="1" applyFill="1" applyBorder="1" applyAlignment="1" applyProtection="1">
      <alignment vertical="center"/>
      <protection locked="0"/>
    </xf>
    <xf numFmtId="49" fontId="4" fillId="13" borderId="0" xfId="1" applyNumberFormat="1" applyFont="1" applyFill="1" applyBorder="1" applyAlignment="1" applyProtection="1">
      <alignment vertical="center"/>
      <protection locked="0"/>
    </xf>
    <xf numFmtId="49" fontId="4" fillId="13" borderId="7" xfId="1" applyNumberFormat="1" applyFont="1" applyFill="1" applyBorder="1" applyAlignment="1" applyProtection="1">
      <alignment vertical="center"/>
      <protection locked="0"/>
    </xf>
    <xf numFmtId="0" fontId="8" fillId="14" borderId="6" xfId="0" applyFont="1" applyFill="1" applyBorder="1" applyAlignment="1">
      <alignment vertical="center"/>
    </xf>
    <xf numFmtId="0" fontId="14" fillId="14" borderId="6" xfId="0" quotePrefix="1" applyFont="1" applyFill="1" applyBorder="1" applyAlignment="1">
      <alignment vertical="center"/>
    </xf>
    <xf numFmtId="0" fontId="14" fillId="14" borderId="0" xfId="0" applyFont="1" applyFill="1" applyBorder="1" applyAlignment="1">
      <alignment vertical="center"/>
    </xf>
    <xf numFmtId="49" fontId="4" fillId="13" borderId="8" xfId="1" applyNumberFormat="1" applyFont="1" applyFill="1" applyBorder="1" applyAlignment="1" applyProtection="1">
      <alignment horizontal="left" vertical="center"/>
    </xf>
    <xf numFmtId="165" fontId="4" fillId="13" borderId="9" xfId="1" applyNumberFormat="1" applyFont="1" applyFill="1" applyBorder="1" applyAlignment="1" applyProtection="1">
      <alignment horizontal="left" vertical="center"/>
    </xf>
    <xf numFmtId="169" fontId="4" fillId="13" borderId="9" xfId="1" applyNumberFormat="1" applyFont="1" applyFill="1" applyBorder="1" applyAlignment="1" applyProtection="1">
      <alignment vertical="center"/>
      <protection locked="0"/>
    </xf>
    <xf numFmtId="49" fontId="4" fillId="13" borderId="9" xfId="1" applyNumberFormat="1" applyFont="1" applyFill="1" applyBorder="1" applyAlignment="1" applyProtection="1">
      <alignment vertical="center"/>
      <protection locked="0"/>
    </xf>
    <xf numFmtId="49" fontId="4" fillId="13" borderId="10" xfId="1" applyNumberFormat="1" applyFont="1" applyFill="1" applyBorder="1" applyAlignment="1" applyProtection="1">
      <alignment vertical="center"/>
      <protection locked="0"/>
    </xf>
    <xf numFmtId="0" fontId="14" fillId="14" borderId="8" xfId="0" quotePrefix="1" applyFont="1" applyFill="1" applyBorder="1" applyAlignment="1">
      <alignment vertical="center"/>
    </xf>
    <xf numFmtId="0" fontId="14" fillId="14" borderId="9" xfId="0" applyFont="1" applyFill="1" applyBorder="1" applyAlignment="1">
      <alignment vertical="center"/>
    </xf>
    <xf numFmtId="0" fontId="8" fillId="14" borderId="9" xfId="0" applyFont="1" applyFill="1" applyBorder="1" applyAlignment="1">
      <alignment vertical="center"/>
    </xf>
    <xf numFmtId="0" fontId="8" fillId="14" borderId="10" xfId="0" applyFont="1" applyFill="1" applyBorder="1" applyAlignment="1">
      <alignment vertical="center"/>
    </xf>
    <xf numFmtId="167" fontId="24" fillId="0" borderId="0" xfId="0" applyNumberFormat="1" applyFont="1" applyAlignment="1">
      <alignment vertical="center"/>
    </xf>
    <xf numFmtId="0" fontId="14" fillId="12" borderId="1" xfId="0" applyFont="1" applyFill="1" applyBorder="1" applyAlignment="1">
      <alignment horizontal="center" vertical="center"/>
    </xf>
    <xf numFmtId="0" fontId="14" fillId="12" borderId="1" xfId="0" applyFont="1" applyFill="1" applyBorder="1" applyAlignment="1">
      <alignment horizontal="center" vertical="center" wrapText="1"/>
    </xf>
    <xf numFmtId="0" fontId="1" fillId="0" borderId="2" xfId="0" applyFont="1" applyBorder="1" applyAlignment="1">
      <alignment horizontal="center" vertical="center"/>
    </xf>
    <xf numFmtId="167" fontId="1" fillId="0" borderId="2" xfId="0" applyNumberFormat="1" applyFont="1" applyBorder="1" applyAlignment="1">
      <alignment horizontal="center" vertical="center"/>
    </xf>
    <xf numFmtId="168" fontId="1" fillId="0" borderId="2" xfId="0" applyNumberFormat="1" applyFont="1" applyBorder="1" applyAlignment="1">
      <alignment horizontal="center" vertical="center"/>
    </xf>
    <xf numFmtId="4" fontId="1" fillId="0" borderId="2" xfId="0" applyNumberFormat="1" applyFont="1" applyBorder="1" applyAlignment="1">
      <alignment vertical="center"/>
    </xf>
    <xf numFmtId="1" fontId="1" fillId="0" borderId="2" xfId="0" quotePrefix="1" applyNumberFormat="1" applyFont="1" applyBorder="1" applyAlignment="1">
      <alignment horizontal="center" vertical="center"/>
    </xf>
    <xf numFmtId="0" fontId="18" fillId="3" borderId="2" xfId="0" applyFont="1" applyFill="1" applyBorder="1" applyAlignment="1">
      <alignment horizontal="center" vertical="center"/>
    </xf>
    <xf numFmtId="4" fontId="4" fillId="0" borderId="2" xfId="0" applyNumberFormat="1" applyFont="1" applyBorder="1" applyAlignment="1">
      <alignment vertical="center"/>
    </xf>
    <xf numFmtId="167" fontId="4" fillId="0" borderId="2" xfId="0" applyNumberFormat="1" applyFont="1" applyBorder="1" applyAlignment="1">
      <alignment horizontal="center" vertical="center"/>
    </xf>
    <xf numFmtId="167" fontId="24" fillId="0" borderId="2" xfId="0" applyNumberFormat="1" applyFont="1" applyBorder="1" applyAlignment="1">
      <alignment horizontal="center" vertical="center"/>
    </xf>
    <xf numFmtId="167" fontId="1" fillId="0" borderId="2" xfId="0" applyNumberFormat="1" applyFont="1" applyFill="1" applyBorder="1" applyAlignment="1">
      <alignment horizontal="center" vertical="center"/>
    </xf>
    <xf numFmtId="0" fontId="1" fillId="0" borderId="2" xfId="0" applyFont="1" applyBorder="1" applyAlignment="1">
      <alignment vertical="center"/>
    </xf>
    <xf numFmtId="0" fontId="18" fillId="12" borderId="13" xfId="0" applyFont="1" applyFill="1" applyBorder="1" applyAlignment="1">
      <alignment vertical="center"/>
    </xf>
    <xf numFmtId="0" fontId="18" fillId="12" borderId="14" xfId="0" applyFont="1" applyFill="1" applyBorder="1" applyAlignment="1">
      <alignment vertical="center"/>
    </xf>
    <xf numFmtId="4" fontId="18" fillId="12" borderId="15" xfId="0" applyNumberFormat="1" applyFont="1" applyFill="1" applyBorder="1" applyAlignment="1">
      <alignment vertical="center"/>
    </xf>
    <xf numFmtId="0" fontId="18" fillId="12" borderId="15" xfId="0" applyFont="1" applyFill="1" applyBorder="1" applyAlignment="1">
      <alignment vertical="center"/>
    </xf>
    <xf numFmtId="4" fontId="18" fillId="12" borderId="16" xfId="0" applyNumberFormat="1" applyFont="1" applyFill="1" applyBorder="1" applyAlignment="1">
      <alignment vertical="center"/>
    </xf>
    <xf numFmtId="0" fontId="18" fillId="0" borderId="23" xfId="0" applyFont="1" applyBorder="1" applyAlignment="1">
      <alignment vertical="center"/>
    </xf>
    <xf numFmtId="0" fontId="7" fillId="4" borderId="0" xfId="0" applyFont="1" applyFill="1" applyBorder="1" applyAlignment="1">
      <alignment vertical="center"/>
    </xf>
    <xf numFmtId="0" fontId="18" fillId="0" borderId="0" xfId="0" applyFont="1" applyBorder="1" applyAlignment="1">
      <alignment vertical="center"/>
    </xf>
    <xf numFmtId="0" fontId="18" fillId="0" borderId="24" xfId="0" applyFont="1" applyBorder="1" applyAlignment="1">
      <alignment vertical="center"/>
    </xf>
    <xf numFmtId="0" fontId="21" fillId="0" borderId="0" xfId="0" applyFont="1" applyBorder="1" applyAlignment="1">
      <alignment horizontal="right"/>
    </xf>
    <xf numFmtId="0" fontId="4" fillId="15" borderId="0" xfId="0" applyFont="1" applyFill="1" applyBorder="1"/>
    <xf numFmtId="3" fontId="12" fillId="8" borderId="26" xfId="0" applyNumberFormat="1" applyFont="1" applyFill="1" applyBorder="1" applyAlignment="1">
      <alignment horizontal="center" vertical="center"/>
    </xf>
    <xf numFmtId="0" fontId="13" fillId="15" borderId="0" xfId="0" applyFont="1" applyFill="1" applyBorder="1"/>
    <xf numFmtId="3" fontId="13" fillId="15" borderId="0" xfId="0" applyNumberFormat="1" applyFont="1" applyFill="1" applyBorder="1"/>
    <xf numFmtId="0" fontId="22" fillId="15" borderId="24" xfId="0" applyFont="1" applyFill="1" applyBorder="1"/>
    <xf numFmtId="167" fontId="18" fillId="0" borderId="0" xfId="0" applyNumberFormat="1" applyFont="1" applyAlignment="1">
      <alignment vertical="center"/>
    </xf>
    <xf numFmtId="3" fontId="12" fillId="16" borderId="26" xfId="0" applyNumberFormat="1" applyFont="1" applyFill="1" applyBorder="1" applyAlignment="1">
      <alignment horizontal="center" vertical="center"/>
    </xf>
    <xf numFmtId="0" fontId="12" fillId="15" borderId="0" xfId="0" applyFont="1" applyFill="1" applyBorder="1" applyAlignment="1">
      <alignment horizontal="left" vertical="center" indent="1"/>
    </xf>
    <xf numFmtId="0" fontId="23" fillId="15" borderId="0" xfId="0" applyFont="1" applyFill="1" applyBorder="1" applyAlignment="1">
      <alignment vertical="center"/>
    </xf>
    <xf numFmtId="0" fontId="8" fillId="0" borderId="23" xfId="0" applyFont="1" applyBorder="1" applyAlignment="1">
      <alignment vertical="center"/>
    </xf>
    <xf numFmtId="0" fontId="4" fillId="15" borderId="0" xfId="0" applyFont="1" applyFill="1" applyBorder="1" applyAlignment="1">
      <alignment horizontal="left" indent="1"/>
    </xf>
    <xf numFmtId="0" fontId="12" fillId="15" borderId="23" xfId="0" applyFont="1" applyFill="1" applyBorder="1" applyAlignment="1">
      <alignment horizontal="left" vertical="center" indent="1"/>
    </xf>
    <xf numFmtId="0" fontId="13" fillId="15" borderId="0" xfId="0" applyFont="1" applyFill="1" applyBorder="1" applyAlignment="1">
      <alignment vertical="center"/>
    </xf>
    <xf numFmtId="0" fontId="23" fillId="15" borderId="0" xfId="0" applyFont="1" applyFill="1" applyBorder="1" applyAlignment="1">
      <alignment vertical="center" wrapText="1"/>
    </xf>
    <xf numFmtId="0" fontId="8" fillId="0" borderId="20" xfId="0" applyFont="1" applyBorder="1" applyAlignment="1">
      <alignment vertical="center"/>
    </xf>
    <xf numFmtId="0" fontId="22" fillId="15" borderId="21" xfId="0" applyFont="1" applyFill="1" applyBorder="1"/>
    <xf numFmtId="0" fontId="22" fillId="15" borderId="22" xfId="0" applyFont="1" applyFill="1" applyBorder="1"/>
    <xf numFmtId="0" fontId="0" fillId="0" borderId="1" xfId="0" applyFill="1" applyBorder="1"/>
    <xf numFmtId="4" fontId="0" fillId="0" borderId="1" xfId="0" applyNumberFormat="1" applyFill="1" applyBorder="1"/>
    <xf numFmtId="4" fontId="0" fillId="0" borderId="1" xfId="0" applyNumberFormat="1" applyBorder="1"/>
    <xf numFmtId="14" fontId="0" fillId="0" borderId="1" xfId="0" applyNumberFormat="1" applyBorder="1"/>
    <xf numFmtId="0" fontId="0" fillId="17" borderId="1" xfId="0" applyFill="1" applyBorder="1"/>
    <xf numFmtId="4" fontId="0" fillId="17" borderId="1" xfId="0" applyNumberFormat="1" applyFill="1" applyBorder="1"/>
    <xf numFmtId="4" fontId="0" fillId="3" borderId="1" xfId="0" applyNumberFormat="1" applyFill="1" applyBorder="1"/>
    <xf numFmtId="14" fontId="0" fillId="3" borderId="1" xfId="0" applyNumberFormat="1" applyFill="1" applyBorder="1"/>
    <xf numFmtId="0" fontId="0" fillId="3" borderId="1" xfId="0" applyFill="1" applyBorder="1"/>
    <xf numFmtId="0" fontId="0" fillId="18" borderId="1" xfId="0" applyFill="1" applyBorder="1"/>
    <xf numFmtId="0" fontId="0" fillId="17" borderId="27" xfId="0" applyFill="1" applyBorder="1"/>
    <xf numFmtId="4" fontId="0" fillId="17" borderId="27" xfId="0" applyNumberFormat="1" applyFill="1" applyBorder="1"/>
    <xf numFmtId="0" fontId="0" fillId="0" borderId="0" xfId="0" applyBorder="1"/>
    <xf numFmtId="0" fontId="0" fillId="0" borderId="4" xfId="0" applyBorder="1"/>
    <xf numFmtId="0" fontId="2" fillId="0" borderId="0" xfId="0" applyFont="1" applyAlignment="1">
      <alignment horizontal="center" vertical="center"/>
    </xf>
    <xf numFmtId="3" fontId="12" fillId="15" borderId="13" xfId="0" applyNumberFormat="1" applyFont="1" applyFill="1" applyBorder="1" applyAlignment="1">
      <alignment horizontal="center" vertical="center"/>
    </xf>
    <xf numFmtId="3" fontId="12" fillId="15" borderId="14" xfId="0" applyNumberFormat="1" applyFont="1" applyFill="1" applyBorder="1" applyAlignment="1">
      <alignment horizontal="center" vertical="center"/>
    </xf>
    <xf numFmtId="3" fontId="12" fillId="15" borderId="25" xfId="0" applyNumberFormat="1" applyFont="1" applyFill="1" applyBorder="1" applyAlignment="1">
      <alignment horizontal="center" vertical="center"/>
    </xf>
    <xf numFmtId="4" fontId="14" fillId="14" borderId="0" xfId="0" applyNumberFormat="1" applyFont="1" applyFill="1" applyBorder="1" applyAlignment="1">
      <alignment horizontal="center" vertical="center"/>
    </xf>
    <xf numFmtId="4" fontId="14" fillId="14" borderId="9" xfId="0" applyNumberFormat="1" applyFont="1" applyFill="1" applyBorder="1" applyAlignment="1">
      <alignment horizontal="center" vertical="center"/>
    </xf>
    <xf numFmtId="0" fontId="14" fillId="12" borderId="11" xfId="0" applyFont="1" applyFill="1" applyBorder="1" applyAlignment="1">
      <alignment horizontal="center" vertical="center"/>
    </xf>
    <xf numFmtId="0" fontId="14" fillId="12" borderId="12" xfId="0" applyFont="1" applyFill="1" applyBorder="1" applyAlignment="1">
      <alignment horizontal="center" vertical="center"/>
    </xf>
    <xf numFmtId="0" fontId="12" fillId="15" borderId="13" xfId="0" applyFont="1" applyFill="1" applyBorder="1" applyAlignment="1">
      <alignment horizontal="center" vertical="center"/>
    </xf>
    <xf numFmtId="0" fontId="12" fillId="15" borderId="14" xfId="0" applyFont="1" applyFill="1" applyBorder="1" applyAlignment="1">
      <alignment horizontal="center" vertical="center"/>
    </xf>
    <xf numFmtId="0" fontId="12" fillId="15" borderId="25" xfId="0" applyFont="1" applyFill="1" applyBorder="1" applyAlignment="1">
      <alignment horizontal="center" vertical="center"/>
    </xf>
    <xf numFmtId="2" fontId="12" fillId="15" borderId="13" xfId="0" applyNumberFormat="1" applyFont="1" applyFill="1" applyBorder="1" applyAlignment="1">
      <alignment horizontal="center" vertical="center"/>
    </xf>
    <xf numFmtId="2" fontId="12" fillId="15" borderId="14" xfId="0" applyNumberFormat="1" applyFont="1" applyFill="1" applyBorder="1" applyAlignment="1">
      <alignment horizontal="center" vertical="center"/>
    </xf>
    <xf numFmtId="2" fontId="12" fillId="15" borderId="25" xfId="0" applyNumberFormat="1" applyFont="1" applyFill="1" applyBorder="1" applyAlignment="1">
      <alignment horizontal="center" vertical="center"/>
    </xf>
    <xf numFmtId="4" fontId="8" fillId="14" borderId="0" xfId="0" applyNumberFormat="1" applyFont="1" applyFill="1" applyBorder="1" applyAlignment="1">
      <alignment horizontal="center" vertical="center"/>
    </xf>
    <xf numFmtId="49" fontId="4" fillId="13" borderId="3" xfId="1" applyNumberFormat="1" applyFont="1" applyFill="1" applyBorder="1" applyAlignment="1" applyProtection="1">
      <alignment horizontal="left" vertical="center"/>
    </xf>
    <xf numFmtId="49" fontId="4" fillId="13" borderId="4" xfId="1" applyNumberFormat="1" applyFont="1" applyFill="1" applyBorder="1" applyAlignment="1" applyProtection="1">
      <alignment horizontal="left" vertical="center"/>
    </xf>
    <xf numFmtId="49" fontId="4" fillId="13" borderId="6" xfId="1" applyNumberFormat="1" applyFont="1" applyFill="1" applyBorder="1" applyAlignment="1" applyProtection="1">
      <alignment horizontal="left" vertical="center"/>
    </xf>
    <xf numFmtId="49" fontId="4" fillId="13" borderId="0" xfId="1" applyNumberFormat="1" applyFont="1" applyFill="1" applyBorder="1" applyAlignment="1" applyProtection="1">
      <alignment horizontal="left" vertical="center"/>
    </xf>
    <xf numFmtId="49" fontId="5" fillId="13" borderId="4" xfId="1" applyNumberFormat="1" applyFont="1" applyFill="1" applyBorder="1" applyAlignment="1" applyProtection="1">
      <alignment horizontal="center" vertical="center" wrapText="1"/>
      <protection locked="0"/>
    </xf>
    <xf numFmtId="49" fontId="5" fillId="13" borderId="0" xfId="1" applyNumberFormat="1" applyFont="1" applyFill="1" applyBorder="1" applyAlignment="1" applyProtection="1">
      <alignment horizontal="center" vertical="center" wrapText="1"/>
      <protection locked="0"/>
    </xf>
    <xf numFmtId="49" fontId="12" fillId="13" borderId="5" xfId="1" applyNumberFormat="1" applyFont="1" applyFill="1" applyBorder="1" applyAlignment="1" applyProtection="1">
      <alignment horizontal="center" vertical="center" wrapText="1"/>
      <protection locked="0"/>
    </xf>
    <xf numFmtId="49" fontId="12" fillId="13" borderId="7" xfId="1" applyNumberFormat="1" applyFont="1" applyFill="1" applyBorder="1" applyAlignment="1" applyProtection="1">
      <alignment horizontal="center" vertical="center" wrapText="1"/>
      <protection locked="0"/>
    </xf>
    <xf numFmtId="0" fontId="7" fillId="4" borderId="6" xfId="0" applyFont="1" applyFill="1" applyBorder="1" applyAlignment="1">
      <alignment horizontal="center" vertical="center"/>
    </xf>
    <xf numFmtId="0" fontId="7" fillId="4" borderId="0" xfId="0" applyFont="1" applyFill="1" applyBorder="1" applyAlignment="1">
      <alignment horizontal="center" vertical="center"/>
    </xf>
    <xf numFmtId="0" fontId="7" fillId="4" borderId="7" xfId="0" applyFont="1" applyFill="1" applyBorder="1" applyAlignment="1">
      <alignment horizontal="center" vertical="center"/>
    </xf>
    <xf numFmtId="4" fontId="8" fillId="14" borderId="4" xfId="0" applyNumberFormat="1" applyFont="1" applyFill="1" applyBorder="1" applyAlignment="1">
      <alignment horizontal="center" vertical="center"/>
    </xf>
    <xf numFmtId="49" fontId="4" fillId="13" borderId="6" xfId="1" applyNumberFormat="1" applyFont="1" applyFill="1" applyBorder="1" applyAlignment="1" applyProtection="1">
      <alignment horizontal="center" vertical="center"/>
    </xf>
    <xf numFmtId="49" fontId="4" fillId="13" borderId="0" xfId="1" applyNumberFormat="1" applyFont="1" applyFill="1" applyBorder="1" applyAlignment="1" applyProtection="1">
      <alignment horizontal="center" vertical="center"/>
    </xf>
    <xf numFmtId="3" fontId="12" fillId="0" borderId="13" xfId="0" applyNumberFormat="1" applyFont="1" applyFill="1" applyBorder="1" applyAlignment="1">
      <alignment horizontal="center" vertical="center"/>
    </xf>
    <xf numFmtId="3" fontId="12" fillId="0" borderId="14" xfId="0" applyNumberFormat="1" applyFont="1" applyFill="1" applyBorder="1" applyAlignment="1">
      <alignment horizontal="center" vertical="center"/>
    </xf>
    <xf numFmtId="3" fontId="12" fillId="0" borderId="25" xfId="0" applyNumberFormat="1" applyFont="1" applyFill="1" applyBorder="1" applyAlignment="1">
      <alignment horizontal="center" vertical="center"/>
    </xf>
    <xf numFmtId="4" fontId="14" fillId="5" borderId="0" xfId="0" applyNumberFormat="1" applyFont="1" applyFill="1" applyBorder="1" applyAlignment="1">
      <alignment horizontal="center" vertical="center"/>
    </xf>
    <xf numFmtId="4" fontId="14" fillId="5" borderId="9" xfId="0" applyNumberFormat="1" applyFont="1" applyFill="1" applyBorder="1" applyAlignment="1">
      <alignment horizontal="center" vertical="center"/>
    </xf>
    <xf numFmtId="0" fontId="14" fillId="2" borderId="11" xfId="0" applyFont="1" applyFill="1" applyBorder="1" applyAlignment="1">
      <alignment horizontal="center" vertical="center"/>
    </xf>
    <xf numFmtId="0" fontId="14" fillId="2" borderId="12" xfId="0" applyFont="1" applyFill="1" applyBorder="1" applyAlignment="1">
      <alignment horizontal="center" vertical="center"/>
    </xf>
    <xf numFmtId="0" fontId="12" fillId="0" borderId="13" xfId="0" applyFont="1" applyFill="1" applyBorder="1" applyAlignment="1">
      <alignment horizontal="center" vertical="center"/>
    </xf>
    <xf numFmtId="0" fontId="12" fillId="0" borderId="14" xfId="0" applyFont="1" applyFill="1" applyBorder="1" applyAlignment="1">
      <alignment horizontal="center" vertical="center"/>
    </xf>
    <xf numFmtId="0" fontId="12" fillId="0" borderId="25" xfId="0" applyFont="1" applyFill="1" applyBorder="1" applyAlignment="1">
      <alignment horizontal="center" vertical="center"/>
    </xf>
    <xf numFmtId="2" fontId="12" fillId="0" borderId="13" xfId="0" applyNumberFormat="1" applyFont="1" applyFill="1" applyBorder="1" applyAlignment="1">
      <alignment horizontal="center" vertical="center"/>
    </xf>
    <xf numFmtId="2" fontId="12" fillId="0" borderId="14" xfId="0" applyNumberFormat="1" applyFont="1" applyFill="1" applyBorder="1" applyAlignment="1">
      <alignment horizontal="center" vertical="center"/>
    </xf>
    <xf numFmtId="2" fontId="12" fillId="0" borderId="25" xfId="0" applyNumberFormat="1" applyFont="1" applyFill="1" applyBorder="1" applyAlignment="1">
      <alignment horizontal="center" vertical="center"/>
    </xf>
    <xf numFmtId="4" fontId="8" fillId="5" borderId="0" xfId="0" applyNumberFormat="1" applyFont="1" applyFill="1" applyBorder="1" applyAlignment="1">
      <alignment horizontal="center" vertical="center"/>
    </xf>
    <xf numFmtId="49" fontId="4" fillId="3" borderId="3" xfId="1" applyNumberFormat="1" applyFont="1" applyFill="1" applyBorder="1" applyAlignment="1" applyProtection="1">
      <alignment horizontal="left" vertical="center"/>
    </xf>
    <xf numFmtId="49" fontId="4" fillId="3" borderId="4" xfId="1" applyNumberFormat="1" applyFont="1" applyFill="1" applyBorder="1" applyAlignment="1" applyProtection="1">
      <alignment horizontal="left" vertical="center"/>
    </xf>
    <xf numFmtId="49" fontId="4" fillId="3" borderId="6" xfId="1" applyNumberFormat="1" applyFont="1" applyFill="1" applyBorder="1" applyAlignment="1" applyProtection="1">
      <alignment horizontal="left" vertical="center"/>
    </xf>
    <xf numFmtId="49" fontId="4" fillId="3" borderId="0" xfId="1" applyNumberFormat="1" applyFont="1" applyFill="1" applyBorder="1" applyAlignment="1" applyProtection="1">
      <alignment horizontal="left" vertical="center"/>
    </xf>
    <xf numFmtId="49" fontId="5" fillId="3" borderId="4" xfId="1" applyNumberFormat="1" applyFont="1" applyFill="1" applyBorder="1" applyAlignment="1" applyProtection="1">
      <alignment horizontal="center" vertical="center" wrapText="1"/>
      <protection locked="0"/>
    </xf>
    <xf numFmtId="49" fontId="5" fillId="3" borderId="0" xfId="1" applyNumberFormat="1" applyFont="1" applyFill="1" applyBorder="1" applyAlignment="1" applyProtection="1">
      <alignment horizontal="center" vertical="center" wrapText="1"/>
      <protection locked="0"/>
    </xf>
    <xf numFmtId="49" fontId="6" fillId="3" borderId="5" xfId="1" applyNumberFormat="1" applyFont="1" applyFill="1" applyBorder="1" applyAlignment="1" applyProtection="1">
      <alignment horizontal="center" vertical="center" wrapText="1"/>
      <protection locked="0"/>
    </xf>
    <xf numFmtId="49" fontId="6" fillId="3" borderId="7" xfId="1" applyNumberFormat="1" applyFont="1" applyFill="1" applyBorder="1" applyAlignment="1" applyProtection="1">
      <alignment horizontal="center" vertical="center" wrapText="1"/>
      <protection locked="0"/>
    </xf>
    <xf numFmtId="4" fontId="8" fillId="5" borderId="4" xfId="0" applyNumberFormat="1" applyFont="1" applyFill="1" applyBorder="1" applyAlignment="1">
      <alignment horizontal="center" vertical="center"/>
    </xf>
  </cellXfs>
  <cellStyles count="4">
    <cellStyle name="Milliers" xfId="1" builtinId="3"/>
    <cellStyle name="Normal" xfId="0" builtinId="0"/>
    <cellStyle name="Normal_Compte client AL ALIA" xfId="3"/>
    <cellStyle name="Pourcentage" xfId="2" builtinId="5"/>
  </cellStyles>
  <dxfs count="0"/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12</xdr:col>
      <xdr:colOff>19050</xdr:colOff>
      <xdr:row>2</xdr:row>
      <xdr:rowOff>9525</xdr:rowOff>
    </xdr:from>
    <xdr:to>
      <xdr:col>13</xdr:col>
      <xdr:colOff>714375</xdr:colOff>
      <xdr:row>3</xdr:row>
      <xdr:rowOff>133350</xdr:rowOff>
    </xdr:to>
    <xdr:sp macro="[0]!Importation" textlink="">
      <xdr:nvSpPr>
        <xdr:cNvPr id="2" name="Rectangle 1"/>
        <xdr:cNvSpPr/>
      </xdr:nvSpPr>
      <xdr:spPr>
        <a:xfrm>
          <a:off x="13106400" y="390525"/>
          <a:ext cx="1457325" cy="314325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/>
            <a:t>IMPORTATION</a:t>
          </a:r>
        </a:p>
      </xdr:txBody>
    </xdr:sp>
    <xdr:clientData/>
  </xdr:twoCellAnchor>
  <xdr:twoCellAnchor>
    <xdr:from>
      <xdr:col>12</xdr:col>
      <xdr:colOff>28575</xdr:colOff>
      <xdr:row>4</xdr:row>
      <xdr:rowOff>0</xdr:rowOff>
    </xdr:from>
    <xdr:to>
      <xdr:col>13</xdr:col>
      <xdr:colOff>723900</xdr:colOff>
      <xdr:row>5</xdr:row>
      <xdr:rowOff>76200</xdr:rowOff>
    </xdr:to>
    <xdr:sp macro="[0]!Maj" textlink="">
      <xdr:nvSpPr>
        <xdr:cNvPr id="3" name="Rectangle 2"/>
        <xdr:cNvSpPr/>
      </xdr:nvSpPr>
      <xdr:spPr>
        <a:xfrm>
          <a:off x="13115925" y="762000"/>
          <a:ext cx="1457325" cy="314325"/>
        </a:xfrm>
        <a:prstGeom prst="rect">
          <a:avLst/>
        </a:prstGeom>
      </xdr:spPr>
      <xdr:style>
        <a:lnRef idx="2">
          <a:schemeClr val="accent2">
            <a:shade val="50000"/>
          </a:schemeClr>
        </a:lnRef>
        <a:fillRef idx="1">
          <a:schemeClr val="accent2"/>
        </a:fillRef>
        <a:effectRef idx="0">
          <a:schemeClr val="accent2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BE" sz="1100"/>
            <a:t>MISE</a:t>
          </a:r>
          <a:r>
            <a:rPr lang="fr-BE" sz="1100" baseline="0"/>
            <a:t> A JOUR</a:t>
          </a:r>
          <a:endParaRPr lang="fr-BE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5:K61"/>
  <sheetViews>
    <sheetView tabSelected="1" topLeftCell="A7" workbookViewId="0">
      <selection activeCell="H26" sqref="H26"/>
    </sheetView>
  </sheetViews>
  <sheetFormatPr baseColWidth="10" defaultRowHeight="15"/>
  <cols>
    <col min="1" max="1" width="20.7109375" customWidth="1"/>
    <col min="2" max="2" width="26.7109375" customWidth="1"/>
    <col min="3" max="6" width="15.7109375" customWidth="1"/>
    <col min="7" max="7" width="11.7109375" customWidth="1"/>
    <col min="8" max="11" width="15.7109375" customWidth="1"/>
  </cols>
  <sheetData>
    <row r="5" spans="1:11" ht="18.75" customHeight="1">
      <c r="A5" s="206" t="s">
        <v>82</v>
      </c>
      <c r="B5" s="206"/>
      <c r="C5" s="206"/>
      <c r="D5" s="206"/>
      <c r="E5" s="206"/>
      <c r="F5" s="206"/>
      <c r="G5" s="206"/>
      <c r="H5" s="206"/>
      <c r="I5" s="206"/>
      <c r="J5" s="206"/>
      <c r="K5" s="206"/>
    </row>
    <row r="6" spans="1:11">
      <c r="A6" s="206"/>
      <c r="B6" s="206"/>
      <c r="C6" s="206"/>
      <c r="D6" s="206"/>
      <c r="E6" s="206"/>
      <c r="F6" s="206"/>
      <c r="G6" s="206"/>
      <c r="H6" s="206"/>
      <c r="I6" s="206"/>
      <c r="J6" s="206"/>
      <c r="K6" s="206"/>
    </row>
    <row r="9" spans="1:11" ht="15" customHeight="1">
      <c r="A9" t="s">
        <v>72</v>
      </c>
      <c r="B9" s="119">
        <v>43069</v>
      </c>
    </row>
    <row r="11" spans="1:11" ht="60" customHeight="1">
      <c r="A11" s="1" t="s">
        <v>0</v>
      </c>
      <c r="B11" s="2" t="s">
        <v>1</v>
      </c>
      <c r="C11" s="2" t="s">
        <v>2</v>
      </c>
      <c r="D11" s="2" t="s">
        <v>3</v>
      </c>
      <c r="E11" s="2" t="s">
        <v>4</v>
      </c>
      <c r="F11" s="2" t="s">
        <v>5</v>
      </c>
      <c r="G11" s="2" t="s">
        <v>6</v>
      </c>
      <c r="H11" s="2" t="s">
        <v>7</v>
      </c>
      <c r="I11" s="2" t="s">
        <v>8</v>
      </c>
      <c r="J11" s="2" t="s">
        <v>9</v>
      </c>
      <c r="K11" s="2" t="s">
        <v>10</v>
      </c>
    </row>
    <row r="12" spans="1:11">
      <c r="A12" s="192" t="s">
        <v>86</v>
      </c>
      <c r="B12" s="193">
        <v>345000000</v>
      </c>
      <c r="C12" s="192"/>
      <c r="D12" s="192"/>
      <c r="E12" s="192"/>
      <c r="F12" s="192"/>
      <c r="G12" s="192"/>
      <c r="H12" s="192"/>
      <c r="I12" s="192"/>
      <c r="J12" s="192"/>
      <c r="K12" s="192"/>
    </row>
    <row r="13" spans="1:11">
      <c r="A13" s="192"/>
      <c r="B13" s="193"/>
      <c r="C13" s="198">
        <v>14820000</v>
      </c>
      <c r="D13" s="199">
        <v>42745</v>
      </c>
      <c r="E13" s="200">
        <v>3540000</v>
      </c>
      <c r="F13" s="200">
        <v>3540000</v>
      </c>
      <c r="G13" s="201">
        <f>D13-$B$9</f>
        <v>-324</v>
      </c>
      <c r="H13" s="198">
        <f>IF(G13&gt;0,0,(IF(-G13&lt;=30,E13,0)))</f>
        <v>0</v>
      </c>
      <c r="I13" s="198">
        <f>IF(G13&gt;=0,0,(IF(G13&gt;=-30,0,IF(-30&gt;=G13,IF(G13&gt;=-180,E13,0)))))</f>
        <v>0</v>
      </c>
      <c r="J13" s="198">
        <f>IF(G13&gt;=0,0,(IF(G13&gt;-60,0,IF(-60&gt;=G13,IF(G13&gt;-120,0,IF(G13&gt;=-180,0,IF(G13&gt;=-360,E13,0)))))))</f>
        <v>3540000</v>
      </c>
      <c r="K13" s="198">
        <f>IF(G13&gt;=0,0,IF(360&lt;-G13,E13,0))</f>
        <v>0</v>
      </c>
    </row>
    <row r="14" spans="1:11">
      <c r="A14" s="120"/>
      <c r="B14" s="120"/>
      <c r="C14" s="194">
        <v>7672200</v>
      </c>
      <c r="D14" s="195">
        <v>42907</v>
      </c>
      <c r="E14" s="194">
        <v>7672200</v>
      </c>
      <c r="F14" s="194">
        <v>7672200</v>
      </c>
      <c r="G14" s="120">
        <v>-162</v>
      </c>
      <c r="H14" s="194">
        <f>IF(G14&gt;0,0,(IF(-G14&lt;=30,E14,0)))</f>
        <v>0</v>
      </c>
      <c r="I14" s="194">
        <f>IF(G14&gt;=0,0,(IF(G14&gt;=-30,0,IF(-30&gt;=G14,IF(G14&gt;=-180,E14,0)))))</f>
        <v>7672200</v>
      </c>
      <c r="J14" s="194">
        <f>IF(G14&gt;=0,0,(IF(G14&gt;-60,0,IF(-60&gt;=G14,IF(G14&gt;-120,0,IF(G14&gt;=-180,0,IF(G14&gt;=-360,E14,0)))))))</f>
        <v>0</v>
      </c>
      <c r="K14" s="194">
        <f>IF(G14&gt;=0,0,IF(360&lt;-G14,E14,0))</f>
        <v>0</v>
      </c>
    </row>
    <row r="15" spans="1:11">
      <c r="A15" s="196" t="s">
        <v>94</v>
      </c>
      <c r="B15" s="197">
        <f>SUM(B12:B14)</f>
        <v>345000000</v>
      </c>
      <c r="C15" s="196"/>
      <c r="D15" s="196"/>
      <c r="E15" s="197">
        <f t="shared" ref="E15:F15" si="0">SUM(E12:E14)</f>
        <v>11212200</v>
      </c>
      <c r="F15" s="197">
        <f t="shared" si="0"/>
        <v>11212200</v>
      </c>
      <c r="G15" s="196"/>
      <c r="H15" s="197">
        <f t="shared" ref="H15:K15" si="1">SUM(H12:H14)</f>
        <v>0</v>
      </c>
      <c r="I15" s="197">
        <f t="shared" si="1"/>
        <v>7672200</v>
      </c>
      <c r="J15" s="197">
        <f t="shared" si="1"/>
        <v>3540000</v>
      </c>
      <c r="K15" s="197">
        <f t="shared" si="1"/>
        <v>0</v>
      </c>
    </row>
    <row r="16" spans="1:11">
      <c r="A16" s="120" t="s">
        <v>18</v>
      </c>
      <c r="B16" s="194">
        <v>264876705.00959998</v>
      </c>
      <c r="C16" s="120"/>
      <c r="D16" s="120"/>
      <c r="E16" s="120"/>
      <c r="F16" s="120"/>
      <c r="G16" s="120"/>
      <c r="H16" s="120"/>
      <c r="I16" s="120"/>
      <c r="J16" s="120"/>
      <c r="K16" s="120"/>
    </row>
    <row r="17" spans="1:11">
      <c r="A17" s="120"/>
      <c r="B17" s="120"/>
      <c r="C17" s="194">
        <v>11362625.74296</v>
      </c>
      <c r="D17" s="195">
        <v>42888</v>
      </c>
      <c r="E17" s="194">
        <v>11362625.74296</v>
      </c>
      <c r="F17" s="194">
        <v>11362625.74296</v>
      </c>
      <c r="G17" s="120">
        <v>-181</v>
      </c>
      <c r="H17" s="194">
        <f t="shared" ref="H17:H22" si="2">IF(G17&gt;0,0,(IF(-G17&lt;=30,E17,0)))</f>
        <v>0</v>
      </c>
      <c r="I17" s="194">
        <f t="shared" ref="I17:I22" si="3">IF(G17&gt;=0,0,(IF(G17&gt;=-30,0,IF(-30&gt;=G17,IF(G17&gt;=-180,E17,0)))))</f>
        <v>0</v>
      </c>
      <c r="J17" s="194">
        <f t="shared" ref="J17:J22" si="4">IF(G17&gt;=0,0,(IF(G17&gt;-60,0,IF(-60&gt;=G17,IF(G17&gt;-120,0,IF(G17&gt;=-180,0,IF(G17&gt;=-360,E17,0)))))))</f>
        <v>11362625.74296</v>
      </c>
      <c r="K17" s="194">
        <f t="shared" ref="K17:K22" si="5">IF(G17&gt;=0,0,IF(360&lt;-G17,E17,0))</f>
        <v>0</v>
      </c>
    </row>
    <row r="18" spans="1:11" ht="15" customHeight="1">
      <c r="A18" s="120"/>
      <c r="B18" s="120"/>
      <c r="C18" s="194">
        <v>12204389.600820001</v>
      </c>
      <c r="D18" s="195">
        <v>42912</v>
      </c>
      <c r="E18" s="194">
        <v>12204389.600820001</v>
      </c>
      <c r="F18" s="194">
        <v>12204389.600820001</v>
      </c>
      <c r="G18" s="120">
        <v>-157</v>
      </c>
      <c r="H18" s="194">
        <f t="shared" si="2"/>
        <v>0</v>
      </c>
      <c r="I18" s="194">
        <f t="shared" si="3"/>
        <v>12204389.600820001</v>
      </c>
      <c r="J18" s="194">
        <f t="shared" si="4"/>
        <v>0</v>
      </c>
      <c r="K18" s="194">
        <f t="shared" si="5"/>
        <v>0</v>
      </c>
    </row>
    <row r="19" spans="1:11">
      <c r="A19" s="120"/>
      <c r="B19" s="120"/>
      <c r="C19" s="194">
        <v>11653584.31206</v>
      </c>
      <c r="D19" s="195">
        <v>42931</v>
      </c>
      <c r="E19" s="194">
        <v>11653584.31206</v>
      </c>
      <c r="F19" s="194">
        <v>11653584.31206</v>
      </c>
      <c r="G19" s="120">
        <v>-138</v>
      </c>
      <c r="H19" s="194">
        <f t="shared" si="2"/>
        <v>0</v>
      </c>
      <c r="I19" s="194">
        <f t="shared" si="3"/>
        <v>11653584.31206</v>
      </c>
      <c r="J19" s="194">
        <f t="shared" si="4"/>
        <v>0</v>
      </c>
      <c r="K19" s="194">
        <f t="shared" si="5"/>
        <v>0</v>
      </c>
    </row>
    <row r="20" spans="1:11">
      <c r="A20" s="120"/>
      <c r="B20" s="120"/>
      <c r="C20" s="194">
        <v>-11362625.74296</v>
      </c>
      <c r="D20" s="195">
        <v>42888</v>
      </c>
      <c r="E20" s="194">
        <v>-11362625.74296</v>
      </c>
      <c r="F20" s="194">
        <v>-11362625.74296</v>
      </c>
      <c r="G20" s="120">
        <v>-181</v>
      </c>
      <c r="H20" s="194">
        <f t="shared" si="2"/>
        <v>0</v>
      </c>
      <c r="I20" s="194">
        <f t="shared" si="3"/>
        <v>0</v>
      </c>
      <c r="J20" s="194">
        <f t="shared" si="4"/>
        <v>-11362625.74296</v>
      </c>
      <c r="K20" s="194">
        <f t="shared" si="5"/>
        <v>0</v>
      </c>
    </row>
    <row r="21" spans="1:11">
      <c r="A21" s="120"/>
      <c r="B21" s="120"/>
      <c r="C21" s="194">
        <v>-12204389.600820001</v>
      </c>
      <c r="D21" s="195">
        <v>42912</v>
      </c>
      <c r="E21" s="194">
        <v>-12204389.600820001</v>
      </c>
      <c r="F21" s="194">
        <v>-12204389.600820001</v>
      </c>
      <c r="G21" s="120">
        <v>-157</v>
      </c>
      <c r="H21" s="194">
        <f t="shared" si="2"/>
        <v>0</v>
      </c>
      <c r="I21" s="194">
        <f t="shared" si="3"/>
        <v>-12204389.600820001</v>
      </c>
      <c r="J21" s="194">
        <f t="shared" si="4"/>
        <v>0</v>
      </c>
      <c r="K21" s="194">
        <f t="shared" si="5"/>
        <v>0</v>
      </c>
    </row>
    <row r="22" spans="1:11">
      <c r="A22" s="120"/>
      <c r="B22" s="120"/>
      <c r="C22" s="194">
        <v>-11653584.31206</v>
      </c>
      <c r="D22" s="195">
        <v>42931</v>
      </c>
      <c r="E22" s="194">
        <v>-11653584.31206</v>
      </c>
      <c r="F22" s="194">
        <v>-11653584.31206</v>
      </c>
      <c r="G22" s="120">
        <v>-138</v>
      </c>
      <c r="H22" s="194">
        <f t="shared" si="2"/>
        <v>0</v>
      </c>
      <c r="I22" s="194">
        <f t="shared" si="3"/>
        <v>-11653584.31206</v>
      </c>
      <c r="J22" s="194">
        <f t="shared" si="4"/>
        <v>0</v>
      </c>
      <c r="K22" s="194">
        <f t="shared" si="5"/>
        <v>0</v>
      </c>
    </row>
    <row r="23" spans="1:11">
      <c r="A23" s="202" t="s">
        <v>94</v>
      </c>
      <c r="B23" s="203">
        <f>SUM(B16:B22)</f>
        <v>264876705.00959998</v>
      </c>
      <c r="C23" s="202"/>
      <c r="D23" s="202"/>
      <c r="E23" s="203">
        <f t="shared" ref="E23:F23" si="6">SUM(E16:E22)</f>
        <v>0</v>
      </c>
      <c r="F23" s="203">
        <f t="shared" si="6"/>
        <v>0</v>
      </c>
      <c r="G23" s="202"/>
      <c r="H23" s="203">
        <f t="shared" ref="H23:K23" si="7">SUM(H16:H22)</f>
        <v>0</v>
      </c>
      <c r="I23" s="203">
        <f t="shared" si="7"/>
        <v>0</v>
      </c>
      <c r="J23" s="203">
        <f t="shared" si="7"/>
        <v>0</v>
      </c>
      <c r="K23" s="203">
        <f t="shared" si="7"/>
        <v>0</v>
      </c>
    </row>
    <row r="24" spans="1:11">
      <c r="A24" s="205"/>
      <c r="B24" s="205"/>
      <c r="C24" s="205"/>
      <c r="D24" s="205"/>
      <c r="E24" s="205"/>
      <c r="F24" s="205"/>
      <c r="G24" s="205"/>
      <c r="H24" s="205"/>
      <c r="I24" s="205"/>
      <c r="J24" s="205"/>
      <c r="K24" s="205"/>
    </row>
    <row r="25" spans="1:11">
      <c r="A25" s="204"/>
      <c r="B25" s="204"/>
      <c r="C25" s="204"/>
      <c r="D25" s="204"/>
      <c r="E25" s="204"/>
      <c r="F25" s="204"/>
      <c r="G25" s="204"/>
      <c r="H25" s="204"/>
      <c r="I25" s="204"/>
      <c r="J25" s="204"/>
      <c r="K25" s="204"/>
    </row>
    <row r="26" spans="1:11">
      <c r="A26" s="204"/>
      <c r="B26" s="204"/>
      <c r="C26" s="204"/>
      <c r="D26" s="204"/>
      <c r="E26" s="204"/>
      <c r="F26" s="204"/>
      <c r="G26" s="204"/>
      <c r="H26" s="204"/>
      <c r="I26" s="204"/>
      <c r="J26" s="204"/>
      <c r="K26" s="204"/>
    </row>
    <row r="27" spans="1:11">
      <c r="A27" s="204"/>
      <c r="B27" s="204"/>
      <c r="C27" s="204"/>
      <c r="D27" s="204"/>
      <c r="E27" s="204"/>
      <c r="F27" s="204"/>
      <c r="G27" s="204"/>
      <c r="H27" s="204"/>
      <c r="I27" s="204"/>
      <c r="J27" s="204"/>
      <c r="K27" s="204"/>
    </row>
    <row r="28" spans="1:11">
      <c r="A28" s="204"/>
      <c r="B28" s="204"/>
      <c r="C28" s="204"/>
      <c r="D28" s="204"/>
      <c r="E28" s="204"/>
      <c r="F28" s="204"/>
      <c r="G28" s="204"/>
      <c r="H28" s="204"/>
      <c r="I28" s="204"/>
      <c r="J28" s="204"/>
      <c r="K28" s="204"/>
    </row>
    <row r="29" spans="1:11">
      <c r="A29" s="204"/>
      <c r="B29" s="204"/>
      <c r="C29" s="204"/>
      <c r="D29" s="204"/>
      <c r="E29" s="204"/>
      <c r="F29" s="204"/>
      <c r="G29" s="204"/>
      <c r="H29" s="204"/>
      <c r="I29" s="204"/>
      <c r="J29" s="204"/>
      <c r="K29" s="204"/>
    </row>
    <row r="30" spans="1:11">
      <c r="A30" s="204"/>
      <c r="B30" s="204"/>
      <c r="C30" s="204"/>
      <c r="D30" s="204"/>
      <c r="E30" s="204"/>
      <c r="F30" s="204"/>
      <c r="G30" s="204"/>
      <c r="H30" s="204"/>
      <c r="I30" s="204"/>
      <c r="J30" s="204"/>
      <c r="K30" s="204"/>
    </row>
    <row r="31" spans="1:11">
      <c r="A31" s="204"/>
      <c r="B31" s="204"/>
      <c r="C31" s="204"/>
      <c r="D31" s="204"/>
      <c r="E31" s="204"/>
      <c r="F31" s="204"/>
      <c r="G31" s="204"/>
      <c r="H31" s="204"/>
      <c r="I31" s="204"/>
      <c r="J31" s="204"/>
      <c r="K31" s="204"/>
    </row>
    <row r="32" spans="1:11">
      <c r="A32" s="204"/>
      <c r="B32" s="204"/>
      <c r="C32" s="204"/>
      <c r="D32" s="204"/>
      <c r="E32" s="204"/>
      <c r="F32" s="204"/>
      <c r="G32" s="204"/>
      <c r="H32" s="204"/>
      <c r="I32" s="204"/>
      <c r="J32" s="204"/>
      <c r="K32" s="204"/>
    </row>
    <row r="33" spans="1:11">
      <c r="A33" s="204"/>
      <c r="B33" s="204"/>
      <c r="C33" s="204"/>
      <c r="D33" s="204"/>
      <c r="E33" s="204"/>
      <c r="F33" s="204"/>
      <c r="G33" s="204"/>
      <c r="H33" s="204"/>
      <c r="I33" s="204"/>
      <c r="J33" s="204"/>
      <c r="K33" s="204"/>
    </row>
    <row r="34" spans="1:11">
      <c r="A34" s="204"/>
      <c r="B34" s="204"/>
      <c r="C34" s="204"/>
      <c r="D34" s="204"/>
      <c r="E34" s="204"/>
      <c r="F34" s="204"/>
      <c r="G34" s="204"/>
      <c r="H34" s="204"/>
      <c r="I34" s="204"/>
      <c r="J34" s="204"/>
      <c r="K34" s="204"/>
    </row>
    <row r="35" spans="1:11">
      <c r="A35" s="204"/>
      <c r="B35" s="204"/>
      <c r="C35" s="204"/>
      <c r="D35" s="204"/>
      <c r="E35" s="204"/>
      <c r="F35" s="204"/>
      <c r="G35" s="204"/>
      <c r="H35" s="204"/>
      <c r="I35" s="204"/>
      <c r="J35" s="204"/>
      <c r="K35" s="204"/>
    </row>
    <row r="36" spans="1:11">
      <c r="A36" s="204"/>
      <c r="B36" s="204"/>
      <c r="C36" s="204"/>
      <c r="D36" s="204"/>
      <c r="E36" s="204"/>
      <c r="F36" s="204"/>
      <c r="G36" s="204"/>
      <c r="H36" s="204"/>
      <c r="I36" s="204"/>
      <c r="J36" s="204"/>
      <c r="K36" s="204"/>
    </row>
    <row r="37" spans="1:11">
      <c r="A37" s="204"/>
      <c r="B37" s="204"/>
      <c r="C37" s="204"/>
      <c r="D37" s="204"/>
      <c r="E37" s="204"/>
      <c r="F37" s="204"/>
      <c r="G37" s="204"/>
      <c r="H37" s="204"/>
      <c r="I37" s="204"/>
      <c r="J37" s="204"/>
      <c r="K37" s="204"/>
    </row>
    <row r="38" spans="1:11">
      <c r="A38" s="204"/>
      <c r="B38" s="204"/>
      <c r="C38" s="204"/>
      <c r="D38" s="204"/>
      <c r="E38" s="204"/>
      <c r="F38" s="204"/>
      <c r="G38" s="204"/>
      <c r="H38" s="204"/>
      <c r="I38" s="204"/>
      <c r="J38" s="204"/>
      <c r="K38" s="204"/>
    </row>
    <row r="39" spans="1:11">
      <c r="A39" s="204"/>
      <c r="B39" s="204"/>
      <c r="C39" s="204"/>
      <c r="D39" s="204"/>
      <c r="E39" s="204"/>
      <c r="F39" s="204"/>
      <c r="G39" s="204"/>
      <c r="H39" s="204"/>
      <c r="I39" s="204"/>
      <c r="J39" s="204"/>
      <c r="K39" s="204"/>
    </row>
    <row r="40" spans="1:11">
      <c r="A40" s="204"/>
      <c r="B40" s="204"/>
      <c r="C40" s="204"/>
      <c r="D40" s="204"/>
      <c r="E40" s="204"/>
      <c r="F40" s="204"/>
      <c r="G40" s="204"/>
      <c r="H40" s="204"/>
      <c r="I40" s="204"/>
      <c r="J40" s="204"/>
      <c r="K40" s="204"/>
    </row>
    <row r="41" spans="1:11">
      <c r="A41" s="204"/>
      <c r="B41" s="204"/>
      <c r="C41" s="204"/>
      <c r="D41" s="204"/>
      <c r="E41" s="204"/>
      <c r="F41" s="204"/>
      <c r="G41" s="204"/>
      <c r="H41" s="204"/>
      <c r="I41" s="204"/>
      <c r="J41" s="204"/>
      <c r="K41" s="204"/>
    </row>
    <row r="42" spans="1:11">
      <c r="A42" s="204"/>
      <c r="B42" s="204"/>
      <c r="C42" s="204"/>
      <c r="D42" s="204"/>
      <c r="E42" s="204"/>
      <c r="F42" s="204"/>
      <c r="G42" s="204"/>
      <c r="H42" s="204"/>
      <c r="I42" s="204"/>
      <c r="J42" s="204"/>
      <c r="K42" s="204"/>
    </row>
    <row r="43" spans="1:11">
      <c r="A43" s="204"/>
      <c r="B43" s="204"/>
      <c r="C43" s="204"/>
      <c r="D43" s="204"/>
      <c r="E43" s="204"/>
      <c r="F43" s="204"/>
      <c r="G43" s="204"/>
      <c r="H43" s="204"/>
      <c r="I43" s="204"/>
      <c r="J43" s="204"/>
      <c r="K43" s="204"/>
    </row>
    <row r="44" spans="1:11">
      <c r="A44" s="204"/>
      <c r="B44" s="204"/>
      <c r="C44" s="204"/>
      <c r="D44" s="204"/>
      <c r="E44" s="204"/>
      <c r="F44" s="204"/>
      <c r="G44" s="204"/>
      <c r="H44" s="204"/>
      <c r="I44" s="204"/>
      <c r="J44" s="204"/>
      <c r="K44" s="204"/>
    </row>
    <row r="45" spans="1:11">
      <c r="A45" s="204"/>
      <c r="B45" s="204"/>
      <c r="C45" s="204"/>
      <c r="D45" s="204"/>
      <c r="E45" s="204"/>
      <c r="F45" s="204"/>
      <c r="G45" s="204"/>
      <c r="H45" s="204"/>
      <c r="I45" s="204"/>
      <c r="J45" s="204"/>
      <c r="K45" s="204"/>
    </row>
    <row r="46" spans="1:11">
      <c r="A46" s="204"/>
      <c r="B46" s="204"/>
      <c r="C46" s="204"/>
      <c r="D46" s="204"/>
      <c r="E46" s="204"/>
      <c r="F46" s="204"/>
      <c r="G46" s="204"/>
      <c r="H46" s="204"/>
      <c r="I46" s="204"/>
      <c r="J46" s="204"/>
      <c r="K46" s="204"/>
    </row>
    <row r="47" spans="1:11">
      <c r="A47" s="204"/>
      <c r="B47" s="204"/>
      <c r="C47" s="204"/>
      <c r="D47" s="204"/>
      <c r="E47" s="204"/>
      <c r="F47" s="204"/>
      <c r="G47" s="204"/>
      <c r="H47" s="204"/>
      <c r="I47" s="204"/>
      <c r="J47" s="204"/>
      <c r="K47" s="204"/>
    </row>
    <row r="48" spans="1:11">
      <c r="A48" s="204"/>
      <c r="B48" s="204"/>
      <c r="C48" s="204"/>
      <c r="D48" s="204"/>
      <c r="E48" s="204"/>
      <c r="F48" s="204"/>
      <c r="G48" s="204"/>
      <c r="H48" s="204"/>
      <c r="I48" s="204"/>
      <c r="J48" s="204"/>
      <c r="K48" s="204"/>
    </row>
    <row r="49" spans="1:11">
      <c r="A49" s="204"/>
      <c r="B49" s="204"/>
      <c r="C49" s="204"/>
      <c r="D49" s="204"/>
      <c r="E49" s="204"/>
      <c r="F49" s="204"/>
      <c r="G49" s="204"/>
      <c r="H49" s="204"/>
      <c r="I49" s="204"/>
      <c r="J49" s="204"/>
      <c r="K49" s="204"/>
    </row>
    <row r="50" spans="1:11">
      <c r="A50" s="204"/>
      <c r="B50" s="204"/>
      <c r="C50" s="204"/>
      <c r="D50" s="204"/>
      <c r="E50" s="204"/>
      <c r="F50" s="204"/>
      <c r="G50" s="204"/>
      <c r="H50" s="204"/>
      <c r="I50" s="204"/>
      <c r="J50" s="204"/>
      <c r="K50" s="204"/>
    </row>
    <row r="51" spans="1:11">
      <c r="A51" s="204"/>
      <c r="B51" s="204"/>
      <c r="C51" s="204"/>
      <c r="D51" s="204"/>
      <c r="E51" s="204"/>
      <c r="F51" s="204"/>
      <c r="G51" s="204"/>
      <c r="H51" s="204"/>
      <c r="I51" s="204"/>
      <c r="J51" s="204"/>
      <c r="K51" s="204"/>
    </row>
    <row r="52" spans="1:11">
      <c r="A52" s="204"/>
      <c r="B52" s="204"/>
      <c r="C52" s="204"/>
      <c r="D52" s="204"/>
      <c r="E52" s="204"/>
      <c r="F52" s="204"/>
      <c r="G52" s="204"/>
      <c r="H52" s="204"/>
      <c r="I52" s="204"/>
      <c r="J52" s="204"/>
      <c r="K52" s="204"/>
    </row>
    <row r="53" spans="1:11">
      <c r="A53" s="204"/>
      <c r="B53" s="204"/>
      <c r="C53" s="204"/>
      <c r="D53" s="204"/>
      <c r="E53" s="204"/>
      <c r="F53" s="204"/>
      <c r="G53" s="204"/>
      <c r="H53" s="204"/>
      <c r="I53" s="204"/>
      <c r="J53" s="204"/>
      <c r="K53" s="204"/>
    </row>
    <row r="54" spans="1:11">
      <c r="A54" s="204"/>
      <c r="B54" s="204"/>
      <c r="C54" s="204"/>
      <c r="D54" s="204"/>
      <c r="E54" s="204"/>
      <c r="F54" s="204"/>
      <c r="G54" s="204"/>
      <c r="H54" s="204"/>
      <c r="I54" s="204"/>
      <c r="J54" s="204"/>
      <c r="K54" s="204"/>
    </row>
    <row r="55" spans="1:11">
      <c r="A55" s="204"/>
      <c r="B55" s="204"/>
      <c r="C55" s="204"/>
      <c r="D55" s="204"/>
      <c r="E55" s="204"/>
      <c r="F55" s="204"/>
      <c r="G55" s="204"/>
      <c r="H55" s="204"/>
      <c r="I55" s="204"/>
      <c r="J55" s="204"/>
      <c r="K55" s="204"/>
    </row>
    <row r="56" spans="1:11">
      <c r="A56" s="204"/>
      <c r="B56" s="204"/>
      <c r="C56" s="204"/>
      <c r="D56" s="204"/>
      <c r="E56" s="204"/>
      <c r="F56" s="204"/>
      <c r="G56" s="204"/>
      <c r="H56" s="204"/>
      <c r="I56" s="204"/>
      <c r="J56" s="204"/>
      <c r="K56" s="204"/>
    </row>
    <row r="57" spans="1:11">
      <c r="A57" s="204"/>
      <c r="B57" s="204"/>
      <c r="C57" s="204"/>
      <c r="D57" s="204"/>
      <c r="E57" s="204"/>
      <c r="F57" s="204"/>
      <c r="G57" s="204"/>
      <c r="H57" s="204"/>
      <c r="I57" s="204"/>
      <c r="J57" s="204"/>
      <c r="K57" s="204"/>
    </row>
    <row r="58" spans="1:11">
      <c r="A58" s="204"/>
      <c r="B58" s="204"/>
      <c r="C58" s="204"/>
      <c r="D58" s="204"/>
      <c r="E58" s="204"/>
      <c r="F58" s="204"/>
      <c r="G58" s="204"/>
      <c r="H58" s="204"/>
      <c r="I58" s="204"/>
      <c r="J58" s="204"/>
      <c r="K58" s="204"/>
    </row>
    <row r="59" spans="1:11">
      <c r="A59" s="204"/>
      <c r="B59" s="204"/>
      <c r="C59" s="204"/>
      <c r="D59" s="204"/>
      <c r="E59" s="204"/>
      <c r="F59" s="204"/>
      <c r="G59" s="204"/>
      <c r="H59" s="204"/>
      <c r="I59" s="204"/>
      <c r="J59" s="204"/>
      <c r="K59" s="204"/>
    </row>
    <row r="60" spans="1:11">
      <c r="A60" s="204"/>
      <c r="B60" s="204"/>
      <c r="C60" s="204"/>
      <c r="D60" s="204"/>
      <c r="E60" s="204"/>
      <c r="F60" s="204"/>
      <c r="G60" s="204"/>
      <c r="H60" s="204"/>
      <c r="I60" s="204"/>
      <c r="J60" s="204"/>
      <c r="K60" s="204"/>
    </row>
    <row r="61" spans="1:11">
      <c r="A61" s="204"/>
      <c r="B61" s="204"/>
      <c r="C61" s="204"/>
      <c r="D61" s="204"/>
      <c r="E61" s="204"/>
      <c r="F61" s="204"/>
      <c r="G61" s="204"/>
      <c r="H61" s="204"/>
      <c r="I61" s="204"/>
      <c r="J61" s="204"/>
      <c r="K61" s="204"/>
    </row>
  </sheetData>
  <mergeCells count="1">
    <mergeCell ref="A5:K6"/>
  </mergeCell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V40"/>
  <sheetViews>
    <sheetView topLeftCell="F7" workbookViewId="0">
      <selection activeCell="P12" sqref="P12"/>
    </sheetView>
  </sheetViews>
  <sheetFormatPr baseColWidth="10" defaultRowHeight="16.5"/>
  <cols>
    <col min="1" max="1" width="5" style="7" customWidth="1"/>
    <col min="2" max="2" width="11.140625" style="7" customWidth="1"/>
    <col min="3" max="3" width="10.42578125" style="7" customWidth="1"/>
    <col min="4" max="4" width="9.42578125" style="7" customWidth="1"/>
    <col min="5" max="5" width="14.28515625" style="7" customWidth="1"/>
    <col min="6" max="6" width="13.5703125" style="7" customWidth="1"/>
    <col min="7" max="7" width="12.28515625" style="7" customWidth="1"/>
    <col min="8" max="8" width="12.28515625" style="7" bestFit="1" customWidth="1"/>
    <col min="9" max="9" width="13.28515625" style="7" customWidth="1"/>
    <col min="10" max="10" width="13.5703125" style="7" customWidth="1"/>
    <col min="11" max="12" width="13.7109375" style="7" customWidth="1"/>
    <col min="13" max="13" width="11.42578125" style="7"/>
    <col min="14" max="14" width="7" style="7" customWidth="1"/>
    <col min="15" max="15" width="13.42578125" style="7" customWidth="1"/>
    <col min="16" max="16" width="13.5703125" style="7" customWidth="1"/>
    <col min="17" max="17" width="6.140625" style="7" customWidth="1"/>
    <col min="18" max="18" width="9.7109375" style="7" customWidth="1"/>
    <col min="19" max="19" width="9.7109375" style="7" bestFit="1" customWidth="1"/>
    <col min="20" max="20" width="9.7109375" style="7" customWidth="1"/>
    <col min="21" max="22" width="9.5703125" style="7" customWidth="1"/>
    <col min="23" max="16384" width="11.42578125" style="7"/>
  </cols>
  <sheetData>
    <row r="1" spans="1:22" ht="21" customHeight="1">
      <c r="A1" s="221" t="s">
        <v>11</v>
      </c>
      <c r="B1" s="222"/>
      <c r="C1" s="225" t="s">
        <v>83</v>
      </c>
      <c r="D1" s="225" t="s">
        <v>84</v>
      </c>
      <c r="E1" s="225" t="s">
        <v>84</v>
      </c>
      <c r="F1" s="227" t="s">
        <v>85</v>
      </c>
      <c r="G1" s="229" t="s">
        <v>12</v>
      </c>
      <c r="H1" s="230"/>
      <c r="I1" s="230"/>
      <c r="J1" s="231"/>
      <c r="K1" s="122" t="s">
        <v>13</v>
      </c>
      <c r="L1" s="123"/>
      <c r="M1" s="232">
        <v>345000000</v>
      </c>
      <c r="N1" s="232"/>
      <c r="O1" s="124" t="s">
        <v>14</v>
      </c>
      <c r="P1" s="125">
        <v>34726</v>
      </c>
    </row>
    <row r="2" spans="1:22" ht="21">
      <c r="A2" s="223"/>
      <c r="B2" s="224"/>
      <c r="C2" s="226" t="s">
        <v>84</v>
      </c>
      <c r="D2" s="226" t="s">
        <v>84</v>
      </c>
      <c r="E2" s="226" t="s">
        <v>84</v>
      </c>
      <c r="F2" s="228"/>
      <c r="G2" s="8" t="s">
        <v>15</v>
      </c>
      <c r="H2" s="9"/>
      <c r="I2" s="10">
        <v>90</v>
      </c>
      <c r="J2" s="11"/>
      <c r="K2" s="126" t="s">
        <v>16</v>
      </c>
      <c r="L2" s="127"/>
      <c r="M2" s="220">
        <v>0</v>
      </c>
      <c r="N2" s="220"/>
      <c r="O2" s="127"/>
      <c r="P2" s="128"/>
    </row>
    <row r="3" spans="1:22" ht="16.5" customHeight="1">
      <c r="A3" s="233" t="s">
        <v>17</v>
      </c>
      <c r="B3" s="234"/>
      <c r="C3" s="226" t="s">
        <v>86</v>
      </c>
      <c r="D3" s="226"/>
      <c r="E3" s="226"/>
      <c r="F3" s="129"/>
      <c r="G3" s="8" t="s">
        <v>19</v>
      </c>
      <c r="H3" s="9"/>
      <c r="I3" s="16" t="s">
        <v>20</v>
      </c>
      <c r="J3" s="17"/>
      <c r="K3" s="126" t="s">
        <v>21</v>
      </c>
      <c r="L3" s="127"/>
      <c r="M3" s="220">
        <v>0</v>
      </c>
      <c r="N3" s="220"/>
      <c r="O3" s="127"/>
      <c r="P3" s="128"/>
    </row>
    <row r="4" spans="1:22">
      <c r="A4" s="233"/>
      <c r="B4" s="234"/>
      <c r="C4" s="226"/>
      <c r="D4" s="226"/>
      <c r="E4" s="226"/>
      <c r="F4" s="130"/>
      <c r="G4" s="8" t="s">
        <v>22</v>
      </c>
      <c r="H4" s="9"/>
      <c r="I4" s="19">
        <v>0.2</v>
      </c>
      <c r="J4" s="17"/>
      <c r="K4" s="126" t="s">
        <v>23</v>
      </c>
      <c r="L4" s="127"/>
      <c r="M4" s="220">
        <v>0</v>
      </c>
      <c r="N4" s="220"/>
      <c r="O4" s="127"/>
      <c r="P4" s="128"/>
    </row>
    <row r="5" spans="1:22">
      <c r="A5" s="131" t="s">
        <v>24</v>
      </c>
      <c r="B5" s="132"/>
      <c r="C5" s="132"/>
      <c r="D5" s="133"/>
      <c r="E5" s="134"/>
      <c r="F5" s="135"/>
      <c r="G5" s="8" t="s">
        <v>25</v>
      </c>
      <c r="H5" s="9"/>
      <c r="I5" s="16"/>
      <c r="J5" s="17" t="s">
        <v>26</v>
      </c>
      <c r="K5" s="126" t="s">
        <v>27</v>
      </c>
      <c r="L5" s="127"/>
      <c r="M5" s="220">
        <v>0</v>
      </c>
      <c r="N5" s="220"/>
      <c r="O5" s="127"/>
      <c r="P5" s="128"/>
    </row>
    <row r="6" spans="1:22">
      <c r="A6" s="131" t="s">
        <v>87</v>
      </c>
      <c r="B6" s="132"/>
      <c r="C6" s="132"/>
      <c r="D6" s="136">
        <v>42571</v>
      </c>
      <c r="E6" s="137"/>
      <c r="F6" s="138"/>
      <c r="G6" s="8"/>
      <c r="H6" s="16" t="s">
        <v>28</v>
      </c>
      <c r="I6" s="29">
        <v>0.05</v>
      </c>
      <c r="J6" s="17" t="s">
        <v>29</v>
      </c>
      <c r="K6" s="139"/>
      <c r="L6" s="127"/>
      <c r="M6" s="220"/>
      <c r="N6" s="220"/>
      <c r="O6" s="127"/>
      <c r="P6" s="128"/>
    </row>
    <row r="7" spans="1:22">
      <c r="A7" s="131" t="s">
        <v>88</v>
      </c>
      <c r="B7" s="132"/>
      <c r="C7" s="132"/>
      <c r="D7" s="136">
        <v>43364</v>
      </c>
      <c r="E7" s="137"/>
      <c r="F7" s="138"/>
      <c r="G7" s="8"/>
      <c r="H7" s="16" t="s">
        <v>30</v>
      </c>
      <c r="I7" s="29">
        <v>0.05</v>
      </c>
      <c r="J7" s="17" t="s">
        <v>29</v>
      </c>
      <c r="K7" s="140" t="s">
        <v>31</v>
      </c>
      <c r="L7" s="141"/>
      <c r="M7" s="210">
        <f>SUM(M1:M6)</f>
        <v>345000000</v>
      </c>
      <c r="N7" s="210"/>
      <c r="O7" s="127"/>
      <c r="P7" s="128"/>
    </row>
    <row r="8" spans="1:22">
      <c r="A8" s="142" t="s">
        <v>89</v>
      </c>
      <c r="B8" s="143"/>
      <c r="C8" s="143"/>
      <c r="D8" s="144">
        <v>43371</v>
      </c>
      <c r="E8" s="145"/>
      <c r="F8" s="146"/>
      <c r="G8" s="37"/>
      <c r="H8" s="38" t="s">
        <v>32</v>
      </c>
      <c r="I8" s="39">
        <v>0</v>
      </c>
      <c r="J8" s="40" t="s">
        <v>90</v>
      </c>
      <c r="K8" s="147" t="s">
        <v>33</v>
      </c>
      <c r="L8" s="148"/>
      <c r="M8" s="211">
        <f>M7*(1+$I$4)</f>
        <v>414000000</v>
      </c>
      <c r="N8" s="211"/>
      <c r="O8" s="149"/>
      <c r="P8" s="150"/>
    </row>
    <row r="10" spans="1:22" ht="21" customHeight="1">
      <c r="B10" s="7" t="s">
        <v>34</v>
      </c>
      <c r="C10" s="151">
        <v>43069</v>
      </c>
      <c r="E10" s="46"/>
      <c r="F10" s="47">
        <v>0.05</v>
      </c>
      <c r="G10" s="47"/>
      <c r="O10" s="212" t="s">
        <v>35</v>
      </c>
      <c r="P10" s="213"/>
    </row>
    <row r="11" spans="1:22" ht="60">
      <c r="A11" s="152" t="s">
        <v>36</v>
      </c>
      <c r="B11" s="153" t="s">
        <v>37</v>
      </c>
      <c r="C11" s="153" t="s">
        <v>38</v>
      </c>
      <c r="D11" s="152" t="s">
        <v>39</v>
      </c>
      <c r="E11" s="153" t="s">
        <v>40</v>
      </c>
      <c r="F11" s="153" t="s">
        <v>41</v>
      </c>
      <c r="G11" s="153" t="s">
        <v>42</v>
      </c>
      <c r="H11" s="153" t="s">
        <v>43</v>
      </c>
      <c r="I11" s="153" t="s">
        <v>44</v>
      </c>
      <c r="J11" s="153" t="s">
        <v>45</v>
      </c>
      <c r="K11" s="153" t="s">
        <v>46</v>
      </c>
      <c r="L11" s="153" t="s">
        <v>47</v>
      </c>
      <c r="M11" s="153" t="s">
        <v>48</v>
      </c>
      <c r="N11" s="153" t="s">
        <v>91</v>
      </c>
      <c r="O11" s="153" t="s">
        <v>50</v>
      </c>
      <c r="P11" s="153" t="s">
        <v>51</v>
      </c>
      <c r="R11" s="52" t="s">
        <v>52</v>
      </c>
      <c r="S11" s="52" t="s">
        <v>53</v>
      </c>
      <c r="T11" s="52" t="s">
        <v>54</v>
      </c>
      <c r="U11" s="52" t="s">
        <v>55</v>
      </c>
      <c r="V11" s="52" t="s">
        <v>56</v>
      </c>
    </row>
    <row r="12" spans="1:22" ht="19.5" customHeight="1">
      <c r="A12" s="154">
        <v>1</v>
      </c>
      <c r="B12" s="154">
        <v>1100000050</v>
      </c>
      <c r="C12" s="155">
        <v>42655</v>
      </c>
      <c r="D12" s="156">
        <v>42643</v>
      </c>
      <c r="E12" s="157">
        <v>13000000</v>
      </c>
      <c r="F12" s="157">
        <f t="shared" ref="F12:F23" si="0">IF(-E12*$F$10=0,"",-E12*$F$10)</f>
        <v>-650000</v>
      </c>
      <c r="G12" s="157" t="str">
        <f t="shared" ref="G12:G23" si="1">IF(E12*$G$10=0,"",E12*$G$10)</f>
        <v/>
      </c>
      <c r="H12" s="157"/>
      <c r="I12" s="157">
        <f t="shared" ref="I12:I23" si="2">IFERROR(IF(G12="",E12+F12-H12,E12+F12-G12-H12),"")</f>
        <v>12350000</v>
      </c>
      <c r="J12" s="157">
        <f t="shared" ref="J12:J23" si="3">IFERROR(I12+(I12*$I$4),"")</f>
        <v>14820000</v>
      </c>
      <c r="K12" s="157">
        <f>SUM(K13:K15)</f>
        <v>11280000</v>
      </c>
      <c r="L12" s="155">
        <f t="shared" ref="L12:L23" si="4">IFERROR(IF(C12="","",C12+$I$2),"")</f>
        <v>42745</v>
      </c>
      <c r="M12" s="155"/>
      <c r="N12" s="158"/>
      <c r="O12" s="157">
        <f>IFERROR(IF(J12=K12,"",J12-K12),"")</f>
        <v>3540000</v>
      </c>
      <c r="P12" s="157">
        <f t="shared" ref="P12:P23" si="5">IFERROR(IF($C$10&lt;L12,"",O12),"")</f>
        <v>3540000</v>
      </c>
      <c r="Q12" s="56"/>
      <c r="R12" s="57" t="str">
        <f t="shared" ref="R12:R24" si="6">IF(N12&gt;=0,"",(IF(-N12&lt;=60,O12,"")))</f>
        <v/>
      </c>
      <c r="S12" s="57" t="str">
        <f t="shared" ref="S12:S24" si="7">IF(N12&gt;=0,"",(IF(N12&gt;=-60,"",IF(-60&gt;=N12,IF(N12&gt;=-120,O12,"")))))</f>
        <v/>
      </c>
      <c r="T12" s="57" t="str">
        <f t="shared" ref="T12:T24" si="8">IF(N12&gt;=0,"",(IF(N12&gt;-60,"",IF(-60&gt;=N12,IF(N12&gt;=-120,"",IF(N12&gt;=-180,O12,""))))))</f>
        <v/>
      </c>
      <c r="U12" s="57" t="str">
        <f t="shared" ref="U12:U24" si="9">IF(N12&gt;=0,"",(IF(N12&gt;-60,"",IF(-60&gt;=N12,IF(N12&gt;-120,"",IF(N12&gt;=-180,"",IF(N12&gt;=-365,O12,"")))))))</f>
        <v/>
      </c>
      <c r="V12" s="57" t="str">
        <f t="shared" ref="V12:V24" si="10">IF(N12&gt;=0,"",IF(365&lt;-N12,O12,""))</f>
        <v/>
      </c>
    </row>
    <row r="13" spans="1:22" ht="19.5" customHeight="1">
      <c r="A13" s="159"/>
      <c r="B13" s="58"/>
      <c r="C13" s="54"/>
      <c r="D13" s="61"/>
      <c r="E13" s="53"/>
      <c r="F13" s="53" t="str">
        <f t="shared" si="0"/>
        <v/>
      </c>
      <c r="G13" s="53" t="str">
        <f t="shared" si="1"/>
        <v/>
      </c>
      <c r="H13" s="53"/>
      <c r="I13" s="53" t="str">
        <f t="shared" si="2"/>
        <v/>
      </c>
      <c r="J13" s="53" t="str">
        <f t="shared" si="3"/>
        <v/>
      </c>
      <c r="K13" s="160">
        <v>3000000</v>
      </c>
      <c r="L13" s="54">
        <v>42745</v>
      </c>
      <c r="M13" s="161">
        <v>42824</v>
      </c>
      <c r="N13" s="55">
        <f t="shared" ref="N13:N23" si="11">IFERROR(-IF(L13=0,,IF(M13=0,($C$10-L13),M13-L13)),"")</f>
        <v>-79</v>
      </c>
      <c r="O13" s="53"/>
      <c r="P13" s="53"/>
      <c r="Q13" s="56"/>
      <c r="R13" s="57" t="str">
        <f t="shared" si="6"/>
        <v/>
      </c>
      <c r="S13" s="57">
        <f t="shared" si="7"/>
        <v>0</v>
      </c>
      <c r="T13" s="57" t="str">
        <f t="shared" si="8"/>
        <v/>
      </c>
      <c r="U13" s="57" t="str">
        <f t="shared" si="9"/>
        <v/>
      </c>
      <c r="V13" s="57" t="str">
        <f t="shared" si="10"/>
        <v/>
      </c>
    </row>
    <row r="14" spans="1:22" ht="19.5" customHeight="1">
      <c r="A14" s="159"/>
      <c r="B14" s="58"/>
      <c r="C14" s="54"/>
      <c r="D14" s="61"/>
      <c r="E14" s="53"/>
      <c r="F14" s="53" t="str">
        <f t="shared" si="0"/>
        <v/>
      </c>
      <c r="G14" s="53" t="str">
        <f t="shared" si="1"/>
        <v/>
      </c>
      <c r="H14" s="53"/>
      <c r="I14" s="53" t="str">
        <f t="shared" si="2"/>
        <v/>
      </c>
      <c r="J14" s="53" t="str">
        <f t="shared" si="3"/>
        <v/>
      </c>
      <c r="K14" s="160">
        <v>5280000</v>
      </c>
      <c r="L14" s="54">
        <v>42745</v>
      </c>
      <c r="M14" s="161">
        <v>42830</v>
      </c>
      <c r="N14" s="55">
        <f t="shared" si="11"/>
        <v>-85</v>
      </c>
      <c r="O14" s="53"/>
      <c r="P14" s="53"/>
      <c r="Q14" s="56"/>
      <c r="R14" s="57" t="str">
        <f t="shared" si="6"/>
        <v/>
      </c>
      <c r="S14" s="57">
        <f t="shared" si="7"/>
        <v>0</v>
      </c>
      <c r="T14" s="57" t="str">
        <f t="shared" si="8"/>
        <v/>
      </c>
      <c r="U14" s="57" t="str">
        <f t="shared" si="9"/>
        <v/>
      </c>
      <c r="V14" s="57" t="str">
        <f t="shared" si="10"/>
        <v/>
      </c>
    </row>
    <row r="15" spans="1:22" ht="19.5" customHeight="1">
      <c r="A15" s="159"/>
      <c r="B15" s="58"/>
      <c r="C15" s="54"/>
      <c r="D15" s="61"/>
      <c r="E15" s="53"/>
      <c r="F15" s="53" t="str">
        <f t="shared" si="0"/>
        <v/>
      </c>
      <c r="G15" s="53" t="str">
        <f t="shared" si="1"/>
        <v/>
      </c>
      <c r="H15" s="53"/>
      <c r="I15" s="53" t="str">
        <f t="shared" si="2"/>
        <v/>
      </c>
      <c r="J15" s="53" t="str">
        <f t="shared" si="3"/>
        <v/>
      </c>
      <c r="K15" s="160">
        <v>3000000</v>
      </c>
      <c r="L15" s="54">
        <v>42745</v>
      </c>
      <c r="M15" s="161">
        <v>42840</v>
      </c>
      <c r="N15" s="55">
        <f t="shared" si="11"/>
        <v>-95</v>
      </c>
      <c r="O15" s="53"/>
      <c r="P15" s="53"/>
      <c r="Q15" s="56"/>
      <c r="R15" s="57" t="str">
        <f t="shared" si="6"/>
        <v/>
      </c>
      <c r="S15" s="57">
        <f t="shared" si="7"/>
        <v>0</v>
      </c>
      <c r="T15" s="57" t="str">
        <f t="shared" si="8"/>
        <v/>
      </c>
      <c r="U15" s="57" t="str">
        <f t="shared" si="9"/>
        <v/>
      </c>
      <c r="V15" s="57" t="str">
        <f t="shared" si="10"/>
        <v/>
      </c>
    </row>
    <row r="16" spans="1:22" ht="19.5" customHeight="1">
      <c r="A16" s="159"/>
      <c r="B16" s="58"/>
      <c r="C16" s="54"/>
      <c r="D16" s="61"/>
      <c r="E16" s="53"/>
      <c r="F16" s="53" t="str">
        <f t="shared" si="0"/>
        <v/>
      </c>
      <c r="G16" s="53" t="str">
        <f t="shared" si="1"/>
        <v/>
      </c>
      <c r="H16" s="53"/>
      <c r="I16" s="53" t="str">
        <f t="shared" si="2"/>
        <v/>
      </c>
      <c r="J16" s="53" t="str">
        <f t="shared" si="3"/>
        <v/>
      </c>
      <c r="K16" s="160">
        <v>3540000</v>
      </c>
      <c r="L16" s="54">
        <v>42745</v>
      </c>
      <c r="M16" s="161">
        <v>42855</v>
      </c>
      <c r="N16" s="55">
        <f t="shared" si="11"/>
        <v>-110</v>
      </c>
      <c r="O16" s="53"/>
      <c r="P16" s="53"/>
      <c r="Q16" s="56"/>
      <c r="R16" s="57" t="str">
        <f t="shared" si="6"/>
        <v/>
      </c>
      <c r="S16" s="57">
        <f t="shared" si="7"/>
        <v>0</v>
      </c>
      <c r="T16" s="57" t="str">
        <f t="shared" si="8"/>
        <v/>
      </c>
      <c r="U16" s="57" t="str">
        <f t="shared" si="9"/>
        <v/>
      </c>
      <c r="V16" s="57" t="str">
        <f t="shared" si="10"/>
        <v/>
      </c>
    </row>
    <row r="17" spans="1:22" ht="19.5" customHeight="1">
      <c r="A17" s="154">
        <v>2</v>
      </c>
      <c r="B17" s="154">
        <v>1100000051</v>
      </c>
      <c r="C17" s="155">
        <v>42759</v>
      </c>
      <c r="D17" s="156">
        <v>42736</v>
      </c>
      <c r="E17" s="157">
        <v>11500000</v>
      </c>
      <c r="F17" s="157">
        <f t="shared" si="0"/>
        <v>-575000</v>
      </c>
      <c r="G17" s="157" t="str">
        <f t="shared" si="1"/>
        <v/>
      </c>
      <c r="H17" s="157"/>
      <c r="I17" s="157">
        <f t="shared" si="2"/>
        <v>10925000</v>
      </c>
      <c r="J17" s="157">
        <f t="shared" si="3"/>
        <v>13110000</v>
      </c>
      <c r="K17" s="157">
        <v>13110000</v>
      </c>
      <c r="L17" s="155">
        <f t="shared" si="4"/>
        <v>42849</v>
      </c>
      <c r="M17" s="161">
        <v>42926</v>
      </c>
      <c r="N17" s="158">
        <f t="shared" si="11"/>
        <v>-77</v>
      </c>
      <c r="O17" s="157" t="str">
        <f t="shared" ref="O17:O23" si="12">IFERROR(IF(J17=K17,"",J17-K17),"")</f>
        <v/>
      </c>
      <c r="P17" s="157" t="str">
        <f t="shared" si="5"/>
        <v/>
      </c>
      <c r="Q17" s="56"/>
      <c r="R17" s="57" t="str">
        <f t="shared" si="6"/>
        <v/>
      </c>
      <c r="S17" s="57" t="str">
        <f t="shared" si="7"/>
        <v/>
      </c>
      <c r="T17" s="57" t="str">
        <f t="shared" si="8"/>
        <v/>
      </c>
      <c r="U17" s="57" t="str">
        <f t="shared" si="9"/>
        <v/>
      </c>
      <c r="V17" s="57" t="str">
        <f t="shared" si="10"/>
        <v/>
      </c>
    </row>
    <row r="18" spans="1:22" ht="19.5" customHeight="1">
      <c r="A18" s="154">
        <v>3</v>
      </c>
      <c r="B18" s="154">
        <v>1100000052</v>
      </c>
      <c r="C18" s="155">
        <v>42817</v>
      </c>
      <c r="D18" s="156">
        <v>42767</v>
      </c>
      <c r="E18" s="157">
        <v>6730000</v>
      </c>
      <c r="F18" s="157">
        <f t="shared" si="0"/>
        <v>-336500</v>
      </c>
      <c r="G18" s="53" t="str">
        <f t="shared" si="1"/>
        <v/>
      </c>
      <c r="H18" s="53"/>
      <c r="I18" s="157">
        <f t="shared" si="2"/>
        <v>6393500</v>
      </c>
      <c r="J18" s="157">
        <f t="shared" si="3"/>
        <v>7672200</v>
      </c>
      <c r="K18" s="157"/>
      <c r="L18" s="155">
        <f t="shared" si="4"/>
        <v>42907</v>
      </c>
      <c r="M18" s="162">
        <v>43044</v>
      </c>
      <c r="N18" s="158">
        <f t="shared" si="11"/>
        <v>-137</v>
      </c>
      <c r="O18" s="157">
        <f t="shared" si="12"/>
        <v>7672200</v>
      </c>
      <c r="P18" s="157">
        <f t="shared" si="5"/>
        <v>7672200</v>
      </c>
      <c r="Q18" s="56"/>
      <c r="R18" s="57" t="str">
        <f t="shared" si="6"/>
        <v/>
      </c>
      <c r="S18" s="57" t="str">
        <f t="shared" si="7"/>
        <v/>
      </c>
      <c r="T18" s="57">
        <f t="shared" si="8"/>
        <v>7672200</v>
      </c>
      <c r="U18" s="57" t="str">
        <f t="shared" si="9"/>
        <v/>
      </c>
      <c r="V18" s="57" t="str">
        <f t="shared" si="10"/>
        <v/>
      </c>
    </row>
    <row r="19" spans="1:22" ht="19.5" customHeight="1">
      <c r="A19" s="154">
        <v>4</v>
      </c>
      <c r="B19" s="154">
        <v>1100000053</v>
      </c>
      <c r="C19" s="155">
        <v>42836</v>
      </c>
      <c r="D19" s="156">
        <v>42795</v>
      </c>
      <c r="E19" s="157">
        <v>7250000</v>
      </c>
      <c r="F19" s="157">
        <f t="shared" si="0"/>
        <v>-362500</v>
      </c>
      <c r="G19" s="157" t="str">
        <f t="shared" si="1"/>
        <v/>
      </c>
      <c r="H19" s="157"/>
      <c r="I19" s="157">
        <f t="shared" si="2"/>
        <v>6887500</v>
      </c>
      <c r="J19" s="157">
        <f t="shared" si="3"/>
        <v>8265000</v>
      </c>
      <c r="K19" s="157">
        <v>8265000</v>
      </c>
      <c r="L19" s="155">
        <f t="shared" si="4"/>
        <v>42926</v>
      </c>
      <c r="M19" s="161">
        <v>43044</v>
      </c>
      <c r="N19" s="158">
        <f t="shared" si="11"/>
        <v>-118</v>
      </c>
      <c r="O19" s="157" t="str">
        <f t="shared" si="12"/>
        <v/>
      </c>
      <c r="P19" s="53" t="str">
        <f t="shared" si="5"/>
        <v/>
      </c>
      <c r="Q19" s="56"/>
      <c r="R19" s="57" t="str">
        <f t="shared" si="6"/>
        <v/>
      </c>
      <c r="S19" s="57" t="str">
        <f t="shared" si="7"/>
        <v/>
      </c>
      <c r="T19" s="57" t="str">
        <f t="shared" si="8"/>
        <v/>
      </c>
      <c r="U19" s="57" t="str">
        <f t="shared" si="9"/>
        <v/>
      </c>
      <c r="V19" s="57" t="str">
        <f t="shared" si="10"/>
        <v/>
      </c>
    </row>
    <row r="20" spans="1:22" ht="19.5" customHeight="1">
      <c r="A20" s="154">
        <v>5</v>
      </c>
      <c r="B20" s="154">
        <v>1100000054</v>
      </c>
      <c r="C20" s="163">
        <v>42853</v>
      </c>
      <c r="D20" s="156">
        <v>42826</v>
      </c>
      <c r="E20" s="157">
        <v>13200000</v>
      </c>
      <c r="F20" s="157">
        <f t="shared" si="0"/>
        <v>-660000</v>
      </c>
      <c r="G20" s="157" t="str">
        <f t="shared" si="1"/>
        <v/>
      </c>
      <c r="H20" s="157"/>
      <c r="I20" s="157">
        <f t="shared" si="2"/>
        <v>12540000</v>
      </c>
      <c r="J20" s="157">
        <f t="shared" si="3"/>
        <v>15048000</v>
      </c>
      <c r="K20" s="157">
        <f>SUM(K21:K22)</f>
        <v>15048000</v>
      </c>
      <c r="L20" s="155">
        <f t="shared" si="4"/>
        <v>42943</v>
      </c>
      <c r="M20" s="155"/>
      <c r="N20" s="158"/>
      <c r="O20" s="157" t="str">
        <f t="shared" si="12"/>
        <v/>
      </c>
      <c r="P20" s="157" t="str">
        <f t="shared" si="5"/>
        <v/>
      </c>
      <c r="Q20" s="56"/>
      <c r="R20" s="57" t="str">
        <f t="shared" si="6"/>
        <v/>
      </c>
      <c r="S20" s="57" t="str">
        <f t="shared" si="7"/>
        <v/>
      </c>
      <c r="T20" s="57" t="str">
        <f t="shared" si="8"/>
        <v/>
      </c>
      <c r="U20" s="57" t="str">
        <f t="shared" si="9"/>
        <v/>
      </c>
      <c r="V20" s="57" t="str">
        <f t="shared" si="10"/>
        <v/>
      </c>
    </row>
    <row r="21" spans="1:22" ht="19.5" customHeight="1">
      <c r="A21" s="159"/>
      <c r="B21" s="164"/>
      <c r="C21" s="163"/>
      <c r="D21" s="156"/>
      <c r="E21" s="157"/>
      <c r="F21" s="157"/>
      <c r="G21" s="157"/>
      <c r="H21" s="157"/>
      <c r="I21" s="157"/>
      <c r="J21" s="157"/>
      <c r="K21" s="160">
        <v>7000000</v>
      </c>
      <c r="L21" s="155">
        <v>42943</v>
      </c>
      <c r="M21" s="161">
        <v>43008</v>
      </c>
      <c r="N21" s="55">
        <f t="shared" si="11"/>
        <v>-65</v>
      </c>
      <c r="O21" s="157"/>
      <c r="P21" s="157"/>
      <c r="Q21" s="56"/>
      <c r="R21" s="57" t="str">
        <f t="shared" si="6"/>
        <v/>
      </c>
      <c r="S21" s="57">
        <f t="shared" si="7"/>
        <v>0</v>
      </c>
      <c r="T21" s="57" t="str">
        <f t="shared" si="8"/>
        <v/>
      </c>
      <c r="U21" s="57" t="str">
        <f t="shared" si="9"/>
        <v/>
      </c>
      <c r="V21" s="57" t="str">
        <f t="shared" si="10"/>
        <v/>
      </c>
    </row>
    <row r="22" spans="1:22" ht="19.5" customHeight="1">
      <c r="A22" s="159"/>
      <c r="B22" s="164"/>
      <c r="C22" s="163"/>
      <c r="D22" s="156"/>
      <c r="E22" s="157"/>
      <c r="F22" s="157"/>
      <c r="G22" s="157"/>
      <c r="H22" s="157"/>
      <c r="I22" s="157"/>
      <c r="J22" s="157"/>
      <c r="K22" s="160">
        <v>8048000</v>
      </c>
      <c r="L22" s="155">
        <v>42943</v>
      </c>
      <c r="M22" s="161">
        <v>43023</v>
      </c>
      <c r="N22" s="55">
        <f t="shared" si="11"/>
        <v>-80</v>
      </c>
      <c r="O22" s="157"/>
      <c r="P22" s="157"/>
      <c r="Q22" s="56"/>
      <c r="R22" s="57" t="str">
        <f t="shared" si="6"/>
        <v/>
      </c>
      <c r="S22" s="57">
        <f t="shared" si="7"/>
        <v>0</v>
      </c>
      <c r="T22" s="57" t="str">
        <f t="shared" si="8"/>
        <v/>
      </c>
      <c r="U22" s="57" t="str">
        <f t="shared" si="9"/>
        <v/>
      </c>
      <c r="V22" s="57" t="str">
        <f t="shared" si="10"/>
        <v/>
      </c>
    </row>
    <row r="23" spans="1:22" ht="19.5" customHeight="1">
      <c r="A23" s="154"/>
      <c r="B23" s="59"/>
      <c r="C23" s="54"/>
      <c r="D23" s="61"/>
      <c r="E23" s="53"/>
      <c r="F23" s="53" t="str">
        <f t="shared" si="0"/>
        <v/>
      </c>
      <c r="G23" s="53" t="str">
        <f t="shared" si="1"/>
        <v/>
      </c>
      <c r="H23" s="53"/>
      <c r="I23" s="53" t="str">
        <f t="shared" si="2"/>
        <v/>
      </c>
      <c r="J23" s="53" t="str">
        <f t="shared" si="3"/>
        <v/>
      </c>
      <c r="K23" s="53"/>
      <c r="L23" s="54" t="str">
        <f t="shared" si="4"/>
        <v/>
      </c>
      <c r="M23" s="54"/>
      <c r="N23" s="55" t="str">
        <f t="shared" si="11"/>
        <v/>
      </c>
      <c r="O23" s="53" t="str">
        <f t="shared" si="12"/>
        <v/>
      </c>
      <c r="P23" s="53" t="str">
        <f t="shared" si="5"/>
        <v/>
      </c>
      <c r="Q23" s="56"/>
      <c r="R23" s="57" t="str">
        <f t="shared" si="6"/>
        <v/>
      </c>
      <c r="S23" s="57" t="str">
        <f t="shared" si="7"/>
        <v/>
      </c>
      <c r="T23" s="57" t="str">
        <f t="shared" si="8"/>
        <v/>
      </c>
      <c r="U23" s="57" t="str">
        <f t="shared" si="9"/>
        <v/>
      </c>
      <c r="V23" s="57" t="str">
        <f t="shared" si="10"/>
        <v/>
      </c>
    </row>
    <row r="24" spans="1:22" ht="19.5" customHeight="1" thickBot="1">
      <c r="A24" s="58"/>
      <c r="B24" s="59"/>
      <c r="C24" s="60"/>
      <c r="D24" s="61"/>
      <c r="E24" s="53"/>
      <c r="F24" s="53"/>
      <c r="G24" s="53"/>
      <c r="H24" s="53"/>
      <c r="I24" s="53"/>
      <c r="J24" s="53"/>
      <c r="K24" s="53"/>
      <c r="L24" s="54"/>
      <c r="M24" s="54"/>
      <c r="N24" s="64"/>
      <c r="O24" s="53"/>
      <c r="P24" s="59"/>
      <c r="Q24" s="56"/>
      <c r="R24" s="57" t="str">
        <f t="shared" si="6"/>
        <v/>
      </c>
      <c r="S24" s="57" t="str">
        <f t="shared" si="7"/>
        <v/>
      </c>
      <c r="T24" s="57" t="str">
        <f t="shared" si="8"/>
        <v/>
      </c>
      <c r="U24" s="57" t="str">
        <f t="shared" si="9"/>
        <v/>
      </c>
      <c r="V24" s="57" t="str">
        <f t="shared" si="10"/>
        <v/>
      </c>
    </row>
    <row r="25" spans="1:22" s="56" customFormat="1" ht="28.5" customHeight="1" thickBot="1">
      <c r="A25" s="165"/>
      <c r="B25" s="166" t="s">
        <v>58</v>
      </c>
      <c r="C25" s="166"/>
      <c r="D25" s="166"/>
      <c r="E25" s="167">
        <f t="shared" ref="E25:J25" si="13">SUM(E12:E24)</f>
        <v>51680000</v>
      </c>
      <c r="F25" s="167">
        <f t="shared" si="13"/>
        <v>-2584000</v>
      </c>
      <c r="G25" s="167">
        <f t="shared" si="13"/>
        <v>0</v>
      </c>
      <c r="H25" s="167">
        <f t="shared" si="13"/>
        <v>0</v>
      </c>
      <c r="I25" s="167">
        <f t="shared" si="13"/>
        <v>49096000</v>
      </c>
      <c r="J25" s="167">
        <f t="shared" si="13"/>
        <v>58915200</v>
      </c>
      <c r="K25" s="167">
        <f>K12+K17+K18+K19+K20</f>
        <v>47703000</v>
      </c>
      <c r="L25" s="168"/>
      <c r="M25" s="168"/>
      <c r="N25" s="168"/>
      <c r="O25" s="167">
        <f>SUM(O12:O24)</f>
        <v>11212200</v>
      </c>
      <c r="P25" s="169">
        <f>SUM(P12:P24)</f>
        <v>11212200</v>
      </c>
      <c r="R25" s="70">
        <f>SUM(R12:R24)</f>
        <v>0</v>
      </c>
      <c r="S25" s="70">
        <f>SUM(S12:S24)</f>
        <v>0</v>
      </c>
      <c r="T25" s="70">
        <f>SUM(T12:T24)</f>
        <v>7672200</v>
      </c>
      <c r="U25" s="70">
        <f>SUM(U12:U24)</f>
        <v>0</v>
      </c>
      <c r="V25" s="70">
        <f>SUM(V12:V24)</f>
        <v>0</v>
      </c>
    </row>
    <row r="26" spans="1:22" ht="21" customHeight="1">
      <c r="A26" s="71"/>
      <c r="B26" s="72"/>
      <c r="C26" s="72"/>
      <c r="D26" s="73" t="s">
        <v>59</v>
      </c>
      <c r="E26" s="74">
        <f>+E25/$M$7</f>
        <v>0.14979710144927535</v>
      </c>
      <c r="F26" s="72"/>
      <c r="G26" s="72"/>
      <c r="H26" s="72"/>
      <c r="I26" s="72"/>
      <c r="J26" s="73" t="s">
        <v>60</v>
      </c>
      <c r="K26" s="74">
        <f>+K25/J25</f>
        <v>0.80968918038129378</v>
      </c>
      <c r="L26" s="72"/>
      <c r="M26" s="72"/>
      <c r="N26" s="72"/>
      <c r="O26" s="72"/>
      <c r="P26" s="75"/>
      <c r="Q26" s="56"/>
      <c r="R26" s="56"/>
      <c r="S26" s="56"/>
      <c r="T26" s="56"/>
      <c r="U26" s="56"/>
      <c r="V26" s="56"/>
    </row>
    <row r="27" spans="1:22" ht="21" customHeight="1" thickBot="1">
      <c r="A27" s="76"/>
      <c r="B27" s="77"/>
      <c r="C27" s="77"/>
      <c r="D27" s="78" t="s">
        <v>61</v>
      </c>
      <c r="E27" s="79">
        <f>+$M$7-$E$25</f>
        <v>293320000</v>
      </c>
      <c r="F27" s="80">
        <f>+E27/M7</f>
        <v>0.85020289855072462</v>
      </c>
      <c r="G27" s="77"/>
      <c r="H27" s="77"/>
      <c r="I27" s="77"/>
      <c r="J27" s="77"/>
      <c r="K27" s="77"/>
      <c r="L27" s="77"/>
      <c r="M27" s="77"/>
      <c r="N27" s="77"/>
      <c r="O27" s="77"/>
      <c r="P27" s="81"/>
      <c r="Q27" s="56"/>
      <c r="R27" s="56"/>
      <c r="S27" s="56"/>
      <c r="T27" s="56"/>
      <c r="U27" s="56"/>
      <c r="V27" s="56"/>
    </row>
    <row r="28" spans="1:22">
      <c r="A28" s="56"/>
      <c r="C28" s="71"/>
      <c r="D28" s="72"/>
      <c r="E28" s="72"/>
      <c r="F28" s="72"/>
      <c r="G28" s="72"/>
      <c r="H28" s="72"/>
      <c r="I28" s="72"/>
      <c r="J28" s="72"/>
      <c r="K28" s="72"/>
      <c r="L28" s="72"/>
      <c r="M28" s="72"/>
      <c r="N28" s="72"/>
      <c r="O28" s="75"/>
      <c r="P28" s="56"/>
      <c r="Q28" s="56"/>
      <c r="R28" s="56"/>
      <c r="S28" s="56"/>
      <c r="T28" s="56"/>
      <c r="U28" s="56"/>
      <c r="V28" s="56"/>
    </row>
    <row r="29" spans="1:22" ht="21">
      <c r="A29" s="56"/>
      <c r="C29" s="170"/>
      <c r="D29" s="171" t="s">
        <v>62</v>
      </c>
      <c r="E29" s="171"/>
      <c r="F29" s="171"/>
      <c r="G29" s="171"/>
      <c r="H29" s="171"/>
      <c r="I29" s="171"/>
      <c r="J29" s="172"/>
      <c r="K29" s="172"/>
      <c r="L29" s="172"/>
      <c r="M29" s="172"/>
      <c r="N29" s="172"/>
      <c r="O29" s="173"/>
      <c r="P29" s="56"/>
      <c r="Q29" s="56"/>
      <c r="R29" s="56"/>
      <c r="S29" s="56"/>
      <c r="T29" s="56"/>
      <c r="U29" s="56"/>
      <c r="V29" s="56"/>
    </row>
    <row r="30" spans="1:22" ht="17.25" thickBot="1">
      <c r="A30" s="56"/>
      <c r="C30" s="170"/>
      <c r="D30" s="172"/>
      <c r="E30" s="172"/>
      <c r="F30" s="172"/>
      <c r="G30" s="172"/>
      <c r="H30" s="174"/>
      <c r="I30" s="172"/>
      <c r="J30" s="172"/>
      <c r="K30" s="172"/>
      <c r="L30" s="172"/>
      <c r="M30" s="172"/>
      <c r="N30" s="172"/>
      <c r="O30" s="173"/>
      <c r="P30" s="56"/>
      <c r="Q30" s="56"/>
      <c r="R30" s="56"/>
      <c r="S30" s="56"/>
      <c r="T30" s="56"/>
      <c r="U30" s="56"/>
      <c r="V30" s="56"/>
    </row>
    <row r="31" spans="1:22" ht="18" customHeight="1" thickBot="1">
      <c r="A31" s="56"/>
      <c r="C31" s="170"/>
      <c r="D31" s="214" t="s">
        <v>63</v>
      </c>
      <c r="E31" s="215"/>
      <c r="F31" s="216"/>
      <c r="G31" s="175" t="s">
        <v>64</v>
      </c>
      <c r="H31" s="176">
        <f>M7</f>
        <v>345000000</v>
      </c>
      <c r="I31" s="177"/>
      <c r="J31" s="178"/>
      <c r="K31" s="177"/>
      <c r="L31" s="177"/>
      <c r="M31" s="177"/>
      <c r="N31" s="177"/>
      <c r="O31" s="179"/>
      <c r="P31" s="56"/>
      <c r="Q31" s="56"/>
      <c r="R31" s="56"/>
      <c r="S31" s="56"/>
      <c r="T31" s="180"/>
      <c r="U31" s="56"/>
      <c r="V31" s="56"/>
    </row>
    <row r="32" spans="1:22" ht="18" customHeight="1" thickBot="1">
      <c r="A32" s="56"/>
      <c r="C32" s="170"/>
      <c r="D32" s="175"/>
      <c r="E32" s="175"/>
      <c r="F32" s="175"/>
      <c r="G32" s="175"/>
      <c r="H32" s="177"/>
      <c r="I32" s="177"/>
      <c r="J32" s="177"/>
      <c r="K32" s="177"/>
      <c r="L32" s="177"/>
      <c r="M32" s="177"/>
      <c r="N32" s="177"/>
      <c r="O32" s="179"/>
      <c r="P32" s="56"/>
      <c r="Q32" s="56"/>
      <c r="R32" s="56"/>
      <c r="S32" s="56"/>
      <c r="T32" s="56"/>
      <c r="U32" s="56"/>
      <c r="V32" s="56"/>
    </row>
    <row r="33" spans="1:22" ht="18" customHeight="1" thickBot="1">
      <c r="A33" s="56"/>
      <c r="C33" s="170"/>
      <c r="D33" s="217" t="s">
        <v>65</v>
      </c>
      <c r="E33" s="218"/>
      <c r="F33" s="219"/>
      <c r="G33" s="175" t="s">
        <v>64</v>
      </c>
      <c r="H33" s="181">
        <f>E25</f>
        <v>51680000</v>
      </c>
      <c r="I33" s="177"/>
      <c r="J33" s="177"/>
      <c r="K33" s="97">
        <f>H33/H31</f>
        <v>0.14979710144927535</v>
      </c>
      <c r="L33" s="182" t="s">
        <v>66</v>
      </c>
      <c r="M33" s="183"/>
      <c r="N33" s="183"/>
      <c r="O33" s="179"/>
      <c r="P33" s="56"/>
      <c r="Q33" s="56"/>
      <c r="R33" s="56"/>
      <c r="S33" s="56"/>
      <c r="T33" s="56"/>
      <c r="U33" s="56"/>
      <c r="V33" s="56"/>
    </row>
    <row r="34" spans="1:22" ht="18" customHeight="1" thickBot="1">
      <c r="C34" s="184"/>
      <c r="D34" s="175"/>
      <c r="E34" s="175"/>
      <c r="F34" s="175"/>
      <c r="G34" s="175"/>
      <c r="H34" s="177"/>
      <c r="I34" s="177"/>
      <c r="J34" s="177"/>
      <c r="K34" s="177"/>
      <c r="L34" s="185"/>
      <c r="M34" s="177"/>
      <c r="N34" s="177"/>
      <c r="O34" s="179"/>
    </row>
    <row r="35" spans="1:22" ht="18" customHeight="1" thickBot="1">
      <c r="C35" s="184"/>
      <c r="D35" s="207" t="s">
        <v>92</v>
      </c>
      <c r="E35" s="208"/>
      <c r="F35" s="209"/>
      <c r="G35" s="175" t="s">
        <v>68</v>
      </c>
      <c r="H35" s="103">
        <f>K25</f>
        <v>47703000</v>
      </c>
      <c r="I35" s="177"/>
      <c r="J35" s="177"/>
      <c r="K35" s="104">
        <f>H35/J25</f>
        <v>0.80968918038129378</v>
      </c>
      <c r="L35" s="186" t="s">
        <v>69</v>
      </c>
      <c r="M35" s="187"/>
      <c r="N35" s="187"/>
      <c r="O35" s="179"/>
    </row>
    <row r="36" spans="1:22" ht="18" customHeight="1" thickBot="1">
      <c r="C36" s="184"/>
      <c r="D36" s="175"/>
      <c r="E36" s="175"/>
      <c r="F36" s="175"/>
      <c r="G36" s="175"/>
      <c r="H36" s="177"/>
      <c r="I36" s="177"/>
      <c r="J36" s="177"/>
      <c r="K36" s="177"/>
      <c r="L36" s="185"/>
      <c r="M36" s="177"/>
      <c r="N36" s="177"/>
      <c r="O36" s="179"/>
    </row>
    <row r="37" spans="1:22" ht="18" customHeight="1" thickBot="1">
      <c r="C37" s="184"/>
      <c r="D37" s="207" t="s">
        <v>70</v>
      </c>
      <c r="E37" s="208"/>
      <c r="F37" s="209"/>
      <c r="G37" s="175" t="s">
        <v>68</v>
      </c>
      <c r="H37" s="108">
        <f>O25</f>
        <v>11212200</v>
      </c>
      <c r="I37" s="177"/>
      <c r="J37" s="177"/>
      <c r="K37" s="109">
        <f>H37/J25</f>
        <v>0.19031081961870622</v>
      </c>
      <c r="L37" s="186" t="s">
        <v>69</v>
      </c>
      <c r="M37" s="188"/>
      <c r="N37" s="188"/>
      <c r="O37" s="179"/>
    </row>
    <row r="38" spans="1:22" ht="18" customHeight="1" thickBot="1">
      <c r="C38" s="184"/>
      <c r="D38" s="175"/>
      <c r="E38" s="175"/>
      <c r="F38" s="175"/>
      <c r="G38" s="175"/>
      <c r="H38" s="177"/>
      <c r="I38" s="177"/>
      <c r="J38" s="177"/>
      <c r="K38" s="177"/>
      <c r="L38" s="185"/>
      <c r="M38" s="177"/>
      <c r="N38" s="177"/>
      <c r="O38" s="179"/>
    </row>
    <row r="39" spans="1:22" ht="18" customHeight="1" thickBot="1">
      <c r="C39" s="184"/>
      <c r="D39" s="207" t="s">
        <v>93</v>
      </c>
      <c r="E39" s="208"/>
      <c r="F39" s="209"/>
      <c r="G39" s="175" t="s">
        <v>68</v>
      </c>
      <c r="H39" s="112">
        <f>P25</f>
        <v>11212200</v>
      </c>
      <c r="I39" s="177"/>
      <c r="J39" s="177"/>
      <c r="K39" s="113">
        <f>H39/J25</f>
        <v>0.19031081961870622</v>
      </c>
      <c r="L39" s="186" t="s">
        <v>69</v>
      </c>
      <c r="M39" s="187"/>
      <c r="N39" s="187"/>
      <c r="O39" s="179"/>
    </row>
    <row r="40" spans="1:22" ht="9.75" customHeight="1" thickBot="1">
      <c r="C40" s="189"/>
      <c r="D40" s="190"/>
      <c r="E40" s="190"/>
      <c r="F40" s="190"/>
      <c r="G40" s="190"/>
      <c r="H40" s="190"/>
      <c r="I40" s="190"/>
      <c r="J40" s="190"/>
      <c r="K40" s="190"/>
      <c r="L40" s="190"/>
      <c r="M40" s="190"/>
      <c r="N40" s="190"/>
      <c r="O40" s="191"/>
    </row>
  </sheetData>
  <mergeCells count="20">
    <mergeCell ref="M6:N6"/>
    <mergeCell ref="A1:B2"/>
    <mergeCell ref="C1:E2"/>
    <mergeCell ref="F1:F2"/>
    <mergeCell ref="G1:J1"/>
    <mergeCell ref="M1:N1"/>
    <mergeCell ref="M2:N2"/>
    <mergeCell ref="A3:B4"/>
    <mergeCell ref="C3:E4"/>
    <mergeCell ref="M3:N3"/>
    <mergeCell ref="M4:N4"/>
    <mergeCell ref="M5:N5"/>
    <mergeCell ref="D37:F37"/>
    <mergeCell ref="D39:F39"/>
    <mergeCell ref="M7:N7"/>
    <mergeCell ref="M8:N8"/>
    <mergeCell ref="O10:P10"/>
    <mergeCell ref="D31:F31"/>
    <mergeCell ref="D33:F33"/>
    <mergeCell ref="D35:F35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X47"/>
  <sheetViews>
    <sheetView workbookViewId="0">
      <selection activeCell="M1" sqref="M1:N1"/>
    </sheetView>
  </sheetViews>
  <sheetFormatPr baseColWidth="10" defaultColWidth="11.42578125" defaultRowHeight="16.5"/>
  <cols>
    <col min="1" max="4" width="11.7109375" style="7" customWidth="1"/>
    <col min="5" max="5" width="13.28515625" style="7" bestFit="1" customWidth="1"/>
    <col min="6" max="6" width="12.42578125" style="7" customWidth="1"/>
    <col min="7" max="8" width="11.7109375" style="7" customWidth="1"/>
    <col min="9" max="9" width="13.28515625" style="7" bestFit="1" customWidth="1"/>
    <col min="10" max="10" width="13.5703125" style="7" customWidth="1"/>
    <col min="11" max="11" width="13" style="7" customWidth="1"/>
    <col min="12" max="14" width="11.7109375" style="7" customWidth="1"/>
    <col min="15" max="15" width="12.85546875" style="7" bestFit="1" customWidth="1"/>
    <col min="16" max="16" width="12.7109375" style="7" customWidth="1"/>
    <col min="17" max="22" width="11.7109375" style="7" customWidth="1"/>
    <col min="23" max="23" width="11.42578125" style="7"/>
    <col min="24" max="24" width="12.7109375" style="7" bestFit="1" customWidth="1"/>
    <col min="25" max="16384" width="11.42578125" style="7"/>
  </cols>
  <sheetData>
    <row r="1" spans="1:24" ht="21" customHeight="1">
      <c r="A1" s="249" t="s">
        <v>11</v>
      </c>
      <c r="B1" s="250"/>
      <c r="C1" s="253" t="s">
        <v>73</v>
      </c>
      <c r="D1" s="253"/>
      <c r="E1" s="253"/>
      <c r="F1" s="255" t="s">
        <v>74</v>
      </c>
      <c r="G1" s="229" t="s">
        <v>12</v>
      </c>
      <c r="H1" s="230"/>
      <c r="I1" s="230"/>
      <c r="J1" s="231"/>
      <c r="K1" s="3" t="s">
        <v>13</v>
      </c>
      <c r="L1" s="4"/>
      <c r="M1" s="257">
        <v>259394877.09959999</v>
      </c>
      <c r="N1" s="257"/>
      <c r="O1" s="5" t="s">
        <v>14</v>
      </c>
      <c r="P1" s="6">
        <v>33364</v>
      </c>
    </row>
    <row r="2" spans="1:24" ht="21">
      <c r="A2" s="251"/>
      <c r="B2" s="252"/>
      <c r="C2" s="254"/>
      <c r="D2" s="254"/>
      <c r="E2" s="254"/>
      <c r="F2" s="256"/>
      <c r="G2" s="8" t="s">
        <v>15</v>
      </c>
      <c r="H2" s="9"/>
      <c r="I2" s="10">
        <v>45</v>
      </c>
      <c r="J2" s="11"/>
      <c r="K2" s="12" t="s">
        <v>16</v>
      </c>
      <c r="L2" s="13"/>
      <c r="M2" s="248"/>
      <c r="N2" s="248"/>
      <c r="O2" s="13"/>
      <c r="P2" s="14"/>
    </row>
    <row r="3" spans="1:24" ht="16.5" customHeight="1">
      <c r="A3" s="251" t="s">
        <v>17</v>
      </c>
      <c r="B3" s="252"/>
      <c r="C3" s="254" t="s">
        <v>18</v>
      </c>
      <c r="D3" s="254"/>
      <c r="E3" s="254"/>
      <c r="F3" s="15"/>
      <c r="G3" s="8" t="s">
        <v>19</v>
      </c>
      <c r="H3" s="9"/>
      <c r="I3" s="16" t="s">
        <v>20</v>
      </c>
      <c r="J3" s="17"/>
      <c r="K3" s="12" t="s">
        <v>21</v>
      </c>
      <c r="L3" s="13"/>
      <c r="M3" s="248">
        <v>3167960.99</v>
      </c>
      <c r="N3" s="248"/>
      <c r="O3" s="13"/>
      <c r="P3" s="14"/>
    </row>
    <row r="4" spans="1:24">
      <c r="A4" s="251"/>
      <c r="B4" s="252"/>
      <c r="C4" s="254"/>
      <c r="D4" s="254"/>
      <c r="E4" s="254"/>
      <c r="F4" s="18"/>
      <c r="G4" s="8" t="s">
        <v>22</v>
      </c>
      <c r="H4" s="9"/>
      <c r="I4" s="19">
        <v>0.2</v>
      </c>
      <c r="J4" s="17"/>
      <c r="K4" s="12" t="s">
        <v>23</v>
      </c>
      <c r="L4" s="13"/>
      <c r="M4" s="248">
        <v>2313866.92</v>
      </c>
      <c r="N4" s="248"/>
      <c r="O4" s="13"/>
      <c r="P4" s="14"/>
    </row>
    <row r="5" spans="1:24">
      <c r="A5" s="121" t="s">
        <v>24</v>
      </c>
      <c r="B5" s="20"/>
      <c r="C5" s="20"/>
      <c r="D5" s="21" t="s">
        <v>75</v>
      </c>
      <c r="E5" s="22"/>
      <c r="F5" s="23"/>
      <c r="G5" s="8" t="s">
        <v>25</v>
      </c>
      <c r="H5" s="9"/>
      <c r="I5" s="16"/>
      <c r="J5" s="17" t="s">
        <v>26</v>
      </c>
      <c r="K5" s="12" t="s">
        <v>27</v>
      </c>
      <c r="L5" s="13"/>
      <c r="M5" s="248"/>
      <c r="N5" s="248"/>
      <c r="O5" s="13"/>
      <c r="P5" s="14"/>
    </row>
    <row r="6" spans="1:24">
      <c r="A6" s="121" t="s">
        <v>76</v>
      </c>
      <c r="B6" s="20"/>
      <c r="C6" s="20"/>
      <c r="D6" s="24" t="s">
        <v>79</v>
      </c>
      <c r="E6" s="25"/>
      <c r="F6" s="26"/>
      <c r="G6" s="8"/>
      <c r="H6" s="16" t="s">
        <v>28</v>
      </c>
      <c r="I6" s="27">
        <v>0.125</v>
      </c>
      <c r="J6" s="17" t="s">
        <v>29</v>
      </c>
      <c r="K6" s="28"/>
      <c r="L6" s="13"/>
      <c r="M6" s="248"/>
      <c r="N6" s="248"/>
      <c r="O6" s="13"/>
      <c r="P6" s="14"/>
    </row>
    <row r="7" spans="1:24">
      <c r="A7" s="121" t="s">
        <v>77</v>
      </c>
      <c r="B7" s="20"/>
      <c r="C7" s="20"/>
      <c r="D7" s="24" t="s">
        <v>80</v>
      </c>
      <c r="E7" s="25"/>
      <c r="F7" s="26"/>
      <c r="G7" s="8"/>
      <c r="H7" s="16" t="s">
        <v>30</v>
      </c>
      <c r="I7" s="29">
        <v>7.0000000000000007E-2</v>
      </c>
      <c r="J7" s="17" t="s">
        <v>29</v>
      </c>
      <c r="K7" s="30" t="s">
        <v>31</v>
      </c>
      <c r="L7" s="31"/>
      <c r="M7" s="238">
        <f>SUM(M1:M6)</f>
        <v>264876705.00959998</v>
      </c>
      <c r="N7" s="238"/>
      <c r="O7" s="13"/>
      <c r="P7" s="14"/>
    </row>
    <row r="8" spans="1:24">
      <c r="A8" s="32" t="s">
        <v>78</v>
      </c>
      <c r="B8" s="33"/>
      <c r="C8" s="33"/>
      <c r="D8" s="34" t="s">
        <v>81</v>
      </c>
      <c r="E8" s="35"/>
      <c r="F8" s="36"/>
      <c r="G8" s="37"/>
      <c r="H8" s="38" t="s">
        <v>32</v>
      </c>
      <c r="I8" s="39">
        <v>0.03</v>
      </c>
      <c r="J8" s="40" t="s">
        <v>29</v>
      </c>
      <c r="K8" s="41" t="s">
        <v>33</v>
      </c>
      <c r="L8" s="42"/>
      <c r="M8" s="239">
        <f>+M7*(1+$I$4)</f>
        <v>317852046.01151997</v>
      </c>
      <c r="N8" s="239"/>
      <c r="O8" s="43"/>
      <c r="P8" s="44"/>
    </row>
    <row r="10" spans="1:24">
      <c r="B10" s="7" t="s">
        <v>34</v>
      </c>
      <c r="C10" s="45">
        <v>43069</v>
      </c>
      <c r="E10" s="46"/>
      <c r="F10" s="47"/>
      <c r="G10" s="48">
        <v>0.1</v>
      </c>
      <c r="H10" s="49">
        <v>0.02</v>
      </c>
      <c r="O10" s="240" t="s">
        <v>35</v>
      </c>
      <c r="P10" s="241"/>
    </row>
    <row r="11" spans="1:24" ht="60">
      <c r="A11" s="50" t="s">
        <v>36</v>
      </c>
      <c r="B11" s="51" t="s">
        <v>37</v>
      </c>
      <c r="C11" s="51" t="s">
        <v>38</v>
      </c>
      <c r="D11" s="50" t="s">
        <v>39</v>
      </c>
      <c r="E11" s="51" t="s">
        <v>40</v>
      </c>
      <c r="F11" s="51" t="s">
        <v>41</v>
      </c>
      <c r="G11" s="51" t="s">
        <v>42</v>
      </c>
      <c r="H11" s="51" t="s">
        <v>43</v>
      </c>
      <c r="I11" s="51" t="s">
        <v>44</v>
      </c>
      <c r="J11" s="51" t="s">
        <v>45</v>
      </c>
      <c r="K11" s="51" t="s">
        <v>46</v>
      </c>
      <c r="L11" s="51" t="s">
        <v>47</v>
      </c>
      <c r="M11" s="51" t="s">
        <v>48</v>
      </c>
      <c r="N11" s="51" t="s">
        <v>49</v>
      </c>
      <c r="O11" s="51" t="s">
        <v>50</v>
      </c>
      <c r="P11" s="51" t="s">
        <v>51</v>
      </c>
      <c r="R11" s="52" t="s">
        <v>52</v>
      </c>
      <c r="S11" s="52" t="s">
        <v>53</v>
      </c>
      <c r="T11" s="52" t="s">
        <v>54</v>
      </c>
      <c r="U11" s="52" t="s">
        <v>55</v>
      </c>
      <c r="V11" s="52" t="s">
        <v>56</v>
      </c>
      <c r="X11" s="52" t="s">
        <v>57</v>
      </c>
    </row>
    <row r="12" spans="1:24">
      <c r="A12" s="58">
        <v>1</v>
      </c>
      <c r="B12" s="58">
        <v>1133000010</v>
      </c>
      <c r="C12" s="60">
        <v>42674</v>
      </c>
      <c r="D12" s="61">
        <v>42644</v>
      </c>
      <c r="E12" s="53">
        <v>3730304.77</v>
      </c>
      <c r="F12" s="53">
        <v>-1016288.09</v>
      </c>
      <c r="G12" s="53">
        <v>0</v>
      </c>
      <c r="H12" s="53">
        <f t="shared" ref="H12:H22" si="0">+E12*$H$10</f>
        <v>74606.095400000006</v>
      </c>
      <c r="I12" s="53">
        <f t="shared" ref="I12:I18" si="1">+E12+F12-G12-H12</f>
        <v>2639410.5846000002</v>
      </c>
      <c r="J12" s="53">
        <f t="shared" ref="J12:J22" si="2">+I12+(I12*$I$4)</f>
        <v>3167292.7015200001</v>
      </c>
      <c r="K12" s="53">
        <f>+J12</f>
        <v>3167292.7015200001</v>
      </c>
      <c r="L12" s="54">
        <v>42735</v>
      </c>
      <c r="M12" s="54">
        <v>42741</v>
      </c>
      <c r="N12" s="55">
        <f t="shared" ref="N12:N22" si="3">-IF(L12=0,,IF(M12=0,($C$10-L12),M12-L12))</f>
        <v>-6</v>
      </c>
      <c r="O12" s="53">
        <f t="shared" ref="O12:O22" si="4">+J12-K12</f>
        <v>0</v>
      </c>
      <c r="P12" s="53">
        <f t="shared" ref="P12:P22" si="5">+IF($C$10&lt;L12,0,O12)</f>
        <v>0</v>
      </c>
      <c r="Q12" s="56"/>
      <c r="R12" s="57">
        <f t="shared" ref="R12:R22" si="6">IF(N12&gt;=0,0,(IF(-N12&lt;=60,O12,0)))</f>
        <v>0</v>
      </c>
      <c r="S12" s="57">
        <f t="shared" ref="S12:S22" si="7">IF(N12&gt;=0,0,(IF(N12&gt;=-60,0,IF(-60&gt;=N12,IF(N12&gt;=-120,O12,0)))))</f>
        <v>0</v>
      </c>
      <c r="T12" s="57">
        <f t="shared" ref="T12:T22" si="8">IF(N12&gt;=0,0,(IF(N12&gt;-60,0,IF(-60&gt;=N12,IF(N12&gt;=-120,0,IF(N12&gt;=-180,O12,0))))))</f>
        <v>0</v>
      </c>
      <c r="U12" s="57">
        <f t="shared" ref="U12:U22" si="9">IF(N12&gt;=0,0,(IF(N12&gt;-60,0,IF(-60&gt;=N12,IF(N12&gt;-120,0,IF(N12&gt;=-180,0,IF(N12&gt;=-365,O12,0)))))))</f>
        <v>0</v>
      </c>
      <c r="V12" s="57">
        <f t="shared" ref="V12:V22" si="10">IF(N12&gt;=0,0,IF(365&lt;-N12,O12,0))</f>
        <v>0</v>
      </c>
      <c r="X12" s="62">
        <f t="shared" ref="X12:X16" si="11">+(J12*N12*(2.25+3)/100)/(365)</f>
        <v>-2733.4169889830141</v>
      </c>
    </row>
    <row r="13" spans="1:24">
      <c r="A13" s="58">
        <v>2</v>
      </c>
      <c r="B13" s="58">
        <v>1133000011</v>
      </c>
      <c r="C13" s="60">
        <v>42704</v>
      </c>
      <c r="D13" s="61">
        <v>42675</v>
      </c>
      <c r="E13" s="53">
        <v>4590101</v>
      </c>
      <c r="F13" s="53">
        <v>-923762.62454242073</v>
      </c>
      <c r="G13" s="53">
        <v>0</v>
      </c>
      <c r="H13" s="53">
        <f t="shared" si="0"/>
        <v>91802.02</v>
      </c>
      <c r="I13" s="53">
        <f t="shared" si="1"/>
        <v>3574536.3554575793</v>
      </c>
      <c r="J13" s="53">
        <f t="shared" si="2"/>
        <v>4289443.6265490949</v>
      </c>
      <c r="K13" s="53">
        <f>+J13</f>
        <v>4289443.6265490949</v>
      </c>
      <c r="L13" s="54">
        <v>42768</v>
      </c>
      <c r="M13" s="54">
        <v>42769</v>
      </c>
      <c r="N13" s="55">
        <f t="shared" si="3"/>
        <v>-1</v>
      </c>
      <c r="O13" s="53">
        <f t="shared" si="4"/>
        <v>0</v>
      </c>
      <c r="P13" s="53">
        <f t="shared" si="5"/>
        <v>0</v>
      </c>
      <c r="Q13" s="56"/>
      <c r="R13" s="57">
        <f t="shared" si="6"/>
        <v>0</v>
      </c>
      <c r="S13" s="57">
        <f t="shared" si="7"/>
        <v>0</v>
      </c>
      <c r="T13" s="57">
        <f t="shared" si="8"/>
        <v>0</v>
      </c>
      <c r="U13" s="57">
        <f t="shared" si="9"/>
        <v>0</v>
      </c>
      <c r="V13" s="57">
        <f t="shared" si="10"/>
        <v>0</v>
      </c>
      <c r="X13" s="62">
        <f t="shared" si="11"/>
        <v>-616.97476820226711</v>
      </c>
    </row>
    <row r="14" spans="1:24">
      <c r="A14" s="58">
        <v>3</v>
      </c>
      <c r="B14" s="58">
        <v>1133000012</v>
      </c>
      <c r="C14" s="60">
        <v>42735</v>
      </c>
      <c r="D14" s="61">
        <v>42705</v>
      </c>
      <c r="E14" s="53">
        <v>8626044.8608809095</v>
      </c>
      <c r="F14" s="53">
        <v>-665755.60761011392</v>
      </c>
      <c r="G14" s="53">
        <v>0</v>
      </c>
      <c r="H14" s="53">
        <f t="shared" si="0"/>
        <v>172520.89721761819</v>
      </c>
      <c r="I14" s="53">
        <f t="shared" si="1"/>
        <v>7787768.3560531773</v>
      </c>
      <c r="J14" s="53">
        <f t="shared" si="2"/>
        <v>9345322.0272638127</v>
      </c>
      <c r="K14" s="53">
        <f>+J14</f>
        <v>9345322.0272638127</v>
      </c>
      <c r="L14" s="54">
        <v>42797</v>
      </c>
      <c r="M14" s="54">
        <v>42811</v>
      </c>
      <c r="N14" s="55">
        <f t="shared" si="3"/>
        <v>-14</v>
      </c>
      <c r="O14" s="53">
        <f t="shared" si="4"/>
        <v>0</v>
      </c>
      <c r="P14" s="53">
        <f t="shared" si="5"/>
        <v>0</v>
      </c>
      <c r="Q14" s="56"/>
      <c r="R14" s="57">
        <f t="shared" si="6"/>
        <v>0</v>
      </c>
      <c r="S14" s="57">
        <f t="shared" si="7"/>
        <v>0</v>
      </c>
      <c r="T14" s="57">
        <f t="shared" si="8"/>
        <v>0</v>
      </c>
      <c r="U14" s="57">
        <f t="shared" si="9"/>
        <v>0</v>
      </c>
      <c r="V14" s="57">
        <f t="shared" si="10"/>
        <v>0</v>
      </c>
      <c r="X14" s="62">
        <f t="shared" si="11"/>
        <v>-18818.662164490146</v>
      </c>
    </row>
    <row r="15" spans="1:24">
      <c r="A15" s="58">
        <v>4</v>
      </c>
      <c r="B15" s="58">
        <v>1133000013</v>
      </c>
      <c r="C15" s="60">
        <v>42766</v>
      </c>
      <c r="D15" s="61">
        <v>42736</v>
      </c>
      <c r="E15" s="53">
        <v>6280153.9800000004</v>
      </c>
      <c r="F15" s="53">
        <f>-0.125*E15</f>
        <v>-785019.24750000006</v>
      </c>
      <c r="G15" s="53">
        <v>0</v>
      </c>
      <c r="H15" s="53">
        <f t="shared" si="0"/>
        <v>125603.07960000001</v>
      </c>
      <c r="I15" s="53">
        <f t="shared" si="1"/>
        <v>5369531.6529000001</v>
      </c>
      <c r="J15" s="53">
        <f t="shared" si="2"/>
        <v>6443437.9834799999</v>
      </c>
      <c r="K15" s="53">
        <f t="shared" ref="K15:K16" si="12">+J15</f>
        <v>6443437.9834799999</v>
      </c>
      <c r="L15" s="54">
        <v>42818</v>
      </c>
      <c r="M15" s="54">
        <v>42829</v>
      </c>
      <c r="N15" s="55">
        <f t="shared" si="3"/>
        <v>-11</v>
      </c>
      <c r="O15" s="53">
        <f t="shared" si="4"/>
        <v>0</v>
      </c>
      <c r="P15" s="53">
        <f t="shared" si="5"/>
        <v>0</v>
      </c>
      <c r="Q15" s="56"/>
      <c r="R15" s="57">
        <f t="shared" si="6"/>
        <v>0</v>
      </c>
      <c r="S15" s="57">
        <f t="shared" si="7"/>
        <v>0</v>
      </c>
      <c r="T15" s="57">
        <f t="shared" si="8"/>
        <v>0</v>
      </c>
      <c r="U15" s="57">
        <f t="shared" si="9"/>
        <v>0</v>
      </c>
      <c r="V15" s="57">
        <f t="shared" si="10"/>
        <v>0</v>
      </c>
      <c r="X15" s="62">
        <f t="shared" si="11"/>
        <v>-10194.754617697807</v>
      </c>
    </row>
    <row r="16" spans="1:24">
      <c r="A16" s="58">
        <v>5</v>
      </c>
      <c r="B16" s="58">
        <v>1133000014</v>
      </c>
      <c r="C16" s="60">
        <v>42794</v>
      </c>
      <c r="D16" s="61">
        <v>42767</v>
      </c>
      <c r="E16" s="53">
        <v>7532934.4500000002</v>
      </c>
      <c r="F16" s="53">
        <f>-0.125*E16</f>
        <v>-941616.80625000002</v>
      </c>
      <c r="G16" s="53">
        <v>0</v>
      </c>
      <c r="H16" s="53">
        <f t="shared" si="0"/>
        <v>150658.68900000001</v>
      </c>
      <c r="I16" s="53">
        <f t="shared" si="1"/>
        <v>6440658.9547499996</v>
      </c>
      <c r="J16" s="53">
        <f t="shared" si="2"/>
        <v>7728790.7456999999</v>
      </c>
      <c r="K16" s="53">
        <f t="shared" si="12"/>
        <v>7728790.7456999999</v>
      </c>
      <c r="L16" s="54">
        <v>42849</v>
      </c>
      <c r="M16" s="54">
        <v>42849</v>
      </c>
      <c r="N16" s="55">
        <f t="shared" si="3"/>
        <v>0</v>
      </c>
      <c r="O16" s="53">
        <f t="shared" si="4"/>
        <v>0</v>
      </c>
      <c r="P16" s="53">
        <f t="shared" si="5"/>
        <v>0</v>
      </c>
      <c r="Q16" s="56"/>
      <c r="R16" s="57">
        <f t="shared" si="6"/>
        <v>0</v>
      </c>
      <c r="S16" s="57">
        <f t="shared" si="7"/>
        <v>0</v>
      </c>
      <c r="T16" s="57">
        <f t="shared" si="8"/>
        <v>0</v>
      </c>
      <c r="U16" s="57">
        <f t="shared" si="9"/>
        <v>0</v>
      </c>
      <c r="V16" s="57">
        <f t="shared" si="10"/>
        <v>0</v>
      </c>
      <c r="X16" s="62">
        <f t="shared" si="11"/>
        <v>0</v>
      </c>
    </row>
    <row r="17" spans="1:24">
      <c r="A17" s="58">
        <v>6</v>
      </c>
      <c r="B17" s="58">
        <v>1133000015</v>
      </c>
      <c r="C17" s="60">
        <v>42825</v>
      </c>
      <c r="D17" s="61">
        <v>42795</v>
      </c>
      <c r="E17" s="53">
        <v>11074683.960000001</v>
      </c>
      <c r="F17" s="53">
        <f>-0.125*E17</f>
        <v>-1384335.4950000001</v>
      </c>
      <c r="G17" s="53">
        <v>0</v>
      </c>
      <c r="H17" s="53">
        <f t="shared" si="0"/>
        <v>221493.67920000001</v>
      </c>
      <c r="I17" s="53">
        <f t="shared" si="1"/>
        <v>9468854.7858000007</v>
      </c>
      <c r="J17" s="53">
        <f t="shared" si="2"/>
        <v>11362625.74296</v>
      </c>
      <c r="K17" s="53"/>
      <c r="L17" s="54">
        <v>42888</v>
      </c>
      <c r="M17" s="54"/>
      <c r="N17" s="55">
        <f t="shared" si="3"/>
        <v>-181</v>
      </c>
      <c r="O17" s="53">
        <f t="shared" si="4"/>
        <v>11362625.74296</v>
      </c>
      <c r="P17" s="53">
        <f t="shared" si="5"/>
        <v>11362625.74296</v>
      </c>
      <c r="Q17" s="56"/>
      <c r="R17" s="57">
        <f t="shared" si="6"/>
        <v>0</v>
      </c>
      <c r="S17" s="57">
        <f t="shared" si="7"/>
        <v>0</v>
      </c>
      <c r="T17" s="57">
        <f t="shared" si="8"/>
        <v>0</v>
      </c>
      <c r="U17" s="57">
        <f t="shared" si="9"/>
        <v>11362625.74296</v>
      </c>
      <c r="V17" s="57">
        <f t="shared" si="10"/>
        <v>0</v>
      </c>
      <c r="X17" s="62"/>
    </row>
    <row r="18" spans="1:24">
      <c r="A18" s="58">
        <v>7</v>
      </c>
      <c r="B18" s="58">
        <v>1133000016</v>
      </c>
      <c r="C18" s="63">
        <v>42855</v>
      </c>
      <c r="D18" s="61">
        <v>42826</v>
      </c>
      <c r="E18" s="53">
        <v>11895116.57</v>
      </c>
      <c r="F18" s="53">
        <f>-0.125*E18</f>
        <v>-1486889.57125</v>
      </c>
      <c r="G18" s="53">
        <v>0</v>
      </c>
      <c r="H18" s="53">
        <f t="shared" si="0"/>
        <v>237902.33140000002</v>
      </c>
      <c r="I18" s="53">
        <f t="shared" si="1"/>
        <v>10170324.667350002</v>
      </c>
      <c r="J18" s="53">
        <f t="shared" si="2"/>
        <v>12204389.600820001</v>
      </c>
      <c r="K18" s="53"/>
      <c r="L18" s="54">
        <v>42912</v>
      </c>
      <c r="M18" s="54"/>
      <c r="N18" s="55">
        <f t="shared" si="3"/>
        <v>-157</v>
      </c>
      <c r="O18" s="53">
        <f t="shared" si="4"/>
        <v>12204389.600820001</v>
      </c>
      <c r="P18" s="53">
        <f t="shared" si="5"/>
        <v>12204389.600820001</v>
      </c>
      <c r="Q18" s="56"/>
      <c r="R18" s="57">
        <f t="shared" si="6"/>
        <v>0</v>
      </c>
      <c r="S18" s="57">
        <f t="shared" si="7"/>
        <v>0</v>
      </c>
      <c r="T18" s="57">
        <f t="shared" si="8"/>
        <v>12204389.600820001</v>
      </c>
      <c r="U18" s="57">
        <f t="shared" si="9"/>
        <v>0</v>
      </c>
      <c r="V18" s="57">
        <f t="shared" si="10"/>
        <v>0</v>
      </c>
      <c r="X18" s="62"/>
    </row>
    <row r="19" spans="1:24">
      <c r="A19" s="58">
        <v>8</v>
      </c>
      <c r="B19" s="58">
        <v>1133000017</v>
      </c>
      <c r="C19" s="54">
        <v>42886</v>
      </c>
      <c r="D19" s="61">
        <v>42856</v>
      </c>
      <c r="E19" s="53">
        <v>11358269.310000001</v>
      </c>
      <c r="F19" s="53">
        <f>-0.125*E19</f>
        <v>-1419783.6637500001</v>
      </c>
      <c r="G19" s="53">
        <v>0</v>
      </c>
      <c r="H19" s="53">
        <f t="shared" si="0"/>
        <v>227165.38620000001</v>
      </c>
      <c r="I19" s="53">
        <f>+E19+F19-G19-H19</f>
        <v>9711320.2600500006</v>
      </c>
      <c r="J19" s="53">
        <f t="shared" si="2"/>
        <v>11653584.31206</v>
      </c>
      <c r="K19" s="53"/>
      <c r="L19" s="54">
        <v>42931</v>
      </c>
      <c r="M19" s="54"/>
      <c r="N19" s="55">
        <f t="shared" si="3"/>
        <v>-138</v>
      </c>
      <c r="O19" s="53">
        <f t="shared" si="4"/>
        <v>11653584.31206</v>
      </c>
      <c r="P19" s="53">
        <f t="shared" si="5"/>
        <v>11653584.31206</v>
      </c>
      <c r="Q19" s="56"/>
      <c r="R19" s="57">
        <f t="shared" si="6"/>
        <v>0</v>
      </c>
      <c r="S19" s="57">
        <f t="shared" si="7"/>
        <v>0</v>
      </c>
      <c r="T19" s="57">
        <f t="shared" si="8"/>
        <v>11653584.31206</v>
      </c>
      <c r="U19" s="57">
        <f t="shared" si="9"/>
        <v>0</v>
      </c>
      <c r="V19" s="57">
        <f t="shared" si="10"/>
        <v>0</v>
      </c>
      <c r="X19" s="62"/>
    </row>
    <row r="20" spans="1:24">
      <c r="A20" s="58">
        <v>9</v>
      </c>
      <c r="B20" s="58">
        <v>1133000018</v>
      </c>
      <c r="C20" s="54">
        <v>42916</v>
      </c>
      <c r="D20" s="61">
        <v>42795</v>
      </c>
      <c r="E20" s="53">
        <f t="shared" ref="E20:F22" si="13">-E17</f>
        <v>-11074683.960000001</v>
      </c>
      <c r="F20" s="53">
        <f t="shared" si="13"/>
        <v>1384335.4950000001</v>
      </c>
      <c r="G20" s="53">
        <v>0</v>
      </c>
      <c r="H20" s="53">
        <f t="shared" si="0"/>
        <v>-221493.67920000001</v>
      </c>
      <c r="I20" s="53">
        <f>+E20+F20-G20-H20</f>
        <v>-9468854.7858000007</v>
      </c>
      <c r="J20" s="53">
        <f t="shared" si="2"/>
        <v>-11362625.74296</v>
      </c>
      <c r="K20" s="53"/>
      <c r="L20" s="54">
        <v>42888</v>
      </c>
      <c r="M20" s="54"/>
      <c r="N20" s="55">
        <f t="shared" si="3"/>
        <v>-181</v>
      </c>
      <c r="O20" s="53">
        <f t="shared" si="4"/>
        <v>-11362625.74296</v>
      </c>
      <c r="P20" s="53">
        <f t="shared" si="5"/>
        <v>-11362625.74296</v>
      </c>
      <c r="Q20" s="56"/>
      <c r="R20" s="57">
        <f t="shared" si="6"/>
        <v>0</v>
      </c>
      <c r="S20" s="57">
        <f t="shared" si="7"/>
        <v>0</v>
      </c>
      <c r="T20" s="57">
        <f t="shared" si="8"/>
        <v>0</v>
      </c>
      <c r="U20" s="57">
        <f t="shared" si="9"/>
        <v>-11362625.74296</v>
      </c>
      <c r="V20" s="57">
        <f t="shared" si="10"/>
        <v>0</v>
      </c>
      <c r="X20" s="62"/>
    </row>
    <row r="21" spans="1:24">
      <c r="A21" s="58">
        <v>10</v>
      </c>
      <c r="B21" s="58">
        <v>1133000019</v>
      </c>
      <c r="C21" s="54">
        <v>42916</v>
      </c>
      <c r="D21" s="61">
        <v>42826</v>
      </c>
      <c r="E21" s="53">
        <f t="shared" si="13"/>
        <v>-11895116.57</v>
      </c>
      <c r="F21" s="53">
        <f t="shared" si="13"/>
        <v>1486889.57125</v>
      </c>
      <c r="G21" s="53">
        <v>0</v>
      </c>
      <c r="H21" s="53">
        <f t="shared" si="0"/>
        <v>-237902.33140000002</v>
      </c>
      <c r="I21" s="53">
        <f t="shared" ref="I21:I22" si="14">+E21+F21-G21-H21</f>
        <v>-10170324.667350002</v>
      </c>
      <c r="J21" s="53">
        <f t="shared" si="2"/>
        <v>-12204389.600820001</v>
      </c>
      <c r="K21" s="53"/>
      <c r="L21" s="54">
        <v>42912</v>
      </c>
      <c r="M21" s="54"/>
      <c r="N21" s="55">
        <f t="shared" si="3"/>
        <v>-157</v>
      </c>
      <c r="O21" s="53">
        <f t="shared" si="4"/>
        <v>-12204389.600820001</v>
      </c>
      <c r="P21" s="53">
        <f t="shared" si="5"/>
        <v>-12204389.600820001</v>
      </c>
      <c r="Q21" s="56"/>
      <c r="R21" s="57">
        <f t="shared" si="6"/>
        <v>0</v>
      </c>
      <c r="S21" s="57">
        <f t="shared" si="7"/>
        <v>0</v>
      </c>
      <c r="T21" s="57">
        <f t="shared" si="8"/>
        <v>-12204389.600820001</v>
      </c>
      <c r="U21" s="57">
        <f t="shared" si="9"/>
        <v>0</v>
      </c>
      <c r="V21" s="57">
        <f t="shared" si="10"/>
        <v>0</v>
      </c>
      <c r="X21" s="62"/>
    </row>
    <row r="22" spans="1:24">
      <c r="A22" s="58">
        <v>11</v>
      </c>
      <c r="B22" s="58">
        <v>1133000020</v>
      </c>
      <c r="C22" s="54">
        <v>42916</v>
      </c>
      <c r="D22" s="61">
        <v>42856</v>
      </c>
      <c r="E22" s="53">
        <f t="shared" si="13"/>
        <v>-11358269.310000001</v>
      </c>
      <c r="F22" s="53">
        <f t="shared" si="13"/>
        <v>1419783.6637500001</v>
      </c>
      <c r="G22" s="53">
        <v>0</v>
      </c>
      <c r="H22" s="53">
        <f t="shared" si="0"/>
        <v>-227165.38620000001</v>
      </c>
      <c r="I22" s="53">
        <f t="shared" si="14"/>
        <v>-9711320.2600500006</v>
      </c>
      <c r="J22" s="53">
        <f t="shared" si="2"/>
        <v>-11653584.31206</v>
      </c>
      <c r="K22" s="53"/>
      <c r="L22" s="54">
        <v>42931</v>
      </c>
      <c r="M22" s="54"/>
      <c r="N22" s="55">
        <f t="shared" si="3"/>
        <v>-138</v>
      </c>
      <c r="O22" s="53">
        <f t="shared" si="4"/>
        <v>-11653584.31206</v>
      </c>
      <c r="P22" s="53">
        <f t="shared" si="5"/>
        <v>-11653584.31206</v>
      </c>
      <c r="Q22" s="56"/>
      <c r="R22" s="57">
        <f t="shared" si="6"/>
        <v>0</v>
      </c>
      <c r="S22" s="57">
        <f t="shared" si="7"/>
        <v>0</v>
      </c>
      <c r="T22" s="57">
        <f t="shared" si="8"/>
        <v>-11653584.31206</v>
      </c>
      <c r="U22" s="57">
        <f t="shared" si="9"/>
        <v>0</v>
      </c>
      <c r="V22" s="57">
        <f t="shared" si="10"/>
        <v>0</v>
      </c>
      <c r="X22" s="62"/>
    </row>
    <row r="23" spans="1:24" ht="17.25" thickBot="1">
      <c r="A23" s="58"/>
      <c r="B23" s="59"/>
      <c r="C23" s="60"/>
      <c r="D23" s="61"/>
      <c r="E23" s="53"/>
      <c r="F23" s="53"/>
      <c r="G23" s="53"/>
      <c r="H23" s="53"/>
      <c r="I23" s="53"/>
      <c r="J23" s="53"/>
      <c r="K23" s="53"/>
      <c r="L23" s="54"/>
      <c r="M23" s="54"/>
      <c r="N23" s="64"/>
      <c r="O23" s="53"/>
      <c r="P23" s="59"/>
      <c r="Q23" s="56"/>
      <c r="R23" s="57"/>
      <c r="S23" s="57"/>
      <c r="T23" s="57"/>
      <c r="U23" s="57"/>
      <c r="V23" s="57"/>
      <c r="X23" s="62"/>
    </row>
    <row r="24" spans="1:24" s="56" customFormat="1" ht="20.100000000000001" customHeight="1" thickBot="1">
      <c r="A24" s="65"/>
      <c r="B24" s="66" t="s">
        <v>58</v>
      </c>
      <c r="C24" s="66"/>
      <c r="D24" s="66"/>
      <c r="E24" s="67">
        <f t="shared" ref="E24:K24" si="15">SUM(E12:E23)</f>
        <v>30759539.060880907</v>
      </c>
      <c r="F24" s="67">
        <f t="shared" si="15"/>
        <v>-4332442.3759025335</v>
      </c>
      <c r="G24" s="67">
        <f t="shared" si="15"/>
        <v>0</v>
      </c>
      <c r="H24" s="67">
        <f t="shared" si="15"/>
        <v>615190.78121761791</v>
      </c>
      <c r="I24" s="67">
        <f t="shared" si="15"/>
        <v>25811905.903760754</v>
      </c>
      <c r="J24" s="67">
        <f t="shared" si="15"/>
        <v>30974287.084512904</v>
      </c>
      <c r="K24" s="67">
        <f t="shared" si="15"/>
        <v>30974287.084512904</v>
      </c>
      <c r="L24" s="68"/>
      <c r="M24" s="68"/>
      <c r="N24" s="68"/>
      <c r="O24" s="67">
        <f>SUM(O12:O23)</f>
        <v>0</v>
      </c>
      <c r="P24" s="69">
        <f>SUM(P12:P23)</f>
        <v>0</v>
      </c>
      <c r="R24" s="70">
        <f>SUM(R12:R23)</f>
        <v>0</v>
      </c>
      <c r="S24" s="70">
        <f>SUM(S12:S23)</f>
        <v>0</v>
      </c>
      <c r="T24" s="70">
        <f>SUM(T12:T23)</f>
        <v>0</v>
      </c>
      <c r="U24" s="70">
        <f>SUM(U12:U23)</f>
        <v>0</v>
      </c>
      <c r="V24" s="70">
        <f>SUM(V12:V23)</f>
        <v>0</v>
      </c>
      <c r="X24" s="70">
        <f>+SUM(X12:X23)</f>
        <v>-32363.808539373233</v>
      </c>
    </row>
    <row r="25" spans="1:24">
      <c r="A25" s="71"/>
      <c r="B25" s="72"/>
      <c r="C25" s="72"/>
      <c r="D25" s="73" t="s">
        <v>59</v>
      </c>
      <c r="E25" s="74">
        <f>+E24/$M$7</f>
        <v>0.11612776238577145</v>
      </c>
      <c r="F25" s="72"/>
      <c r="G25" s="72"/>
      <c r="H25" s="72">
        <f>+H24*1.2</f>
        <v>738228.9374611415</v>
      </c>
      <c r="I25" s="72"/>
      <c r="J25" s="73" t="s">
        <v>60</v>
      </c>
      <c r="K25" s="74">
        <f>+K24/J24</f>
        <v>1</v>
      </c>
      <c r="L25" s="72"/>
      <c r="M25" s="72"/>
      <c r="N25" s="72"/>
      <c r="O25" s="72"/>
      <c r="P25" s="75"/>
      <c r="Q25" s="56"/>
      <c r="R25" s="56"/>
      <c r="S25" s="56"/>
      <c r="T25" s="56"/>
      <c r="U25" s="56"/>
      <c r="V25" s="56"/>
    </row>
    <row r="26" spans="1:24" ht="17.25" thickBot="1">
      <c r="A26" s="76"/>
      <c r="B26" s="77"/>
      <c r="C26" s="77"/>
      <c r="D26" s="78" t="s">
        <v>61</v>
      </c>
      <c r="E26" s="79">
        <f>+$M$7-$E$24</f>
        <v>234117165.94871908</v>
      </c>
      <c r="F26" s="80">
        <f>+E26/M7</f>
        <v>0.88387223761422862</v>
      </c>
      <c r="G26" s="77"/>
      <c r="H26" s="77"/>
      <c r="I26" s="77"/>
      <c r="J26" s="77"/>
      <c r="K26" s="77"/>
      <c r="L26" s="77"/>
      <c r="M26" s="77"/>
      <c r="N26" s="77"/>
      <c r="O26" s="77"/>
      <c r="P26" s="81"/>
      <c r="Q26" s="56"/>
      <c r="R26" s="56"/>
      <c r="S26" s="56"/>
      <c r="T26" s="56"/>
      <c r="U26" s="56"/>
      <c r="V26" s="56"/>
    </row>
    <row r="27" spans="1:24">
      <c r="A27" s="56"/>
      <c r="B27" s="82"/>
      <c r="C27" s="83"/>
      <c r="D27" s="83"/>
      <c r="E27" s="83"/>
      <c r="F27" s="83"/>
      <c r="G27" s="83"/>
      <c r="H27" s="83"/>
      <c r="I27" s="83"/>
      <c r="J27" s="83"/>
      <c r="K27" s="83"/>
      <c r="L27" s="83"/>
      <c r="M27" s="83"/>
      <c r="N27" s="84"/>
      <c r="O27" s="56"/>
      <c r="P27" s="56"/>
      <c r="Q27" s="56"/>
      <c r="R27" s="56"/>
      <c r="S27" s="56"/>
      <c r="T27" s="56"/>
      <c r="U27" s="56"/>
      <c r="V27" s="56"/>
    </row>
    <row r="28" spans="1:24" ht="21">
      <c r="A28" s="56"/>
      <c r="B28" s="85"/>
      <c r="C28" s="86" t="s">
        <v>62</v>
      </c>
      <c r="D28" s="86"/>
      <c r="E28" s="86"/>
      <c r="F28" s="86"/>
      <c r="G28" s="86"/>
      <c r="H28" s="86"/>
      <c r="I28" s="87"/>
      <c r="J28" s="87"/>
      <c r="K28" s="87"/>
      <c r="L28" s="87"/>
      <c r="M28" s="87"/>
      <c r="N28" s="88"/>
      <c r="O28" s="56"/>
      <c r="P28" s="89"/>
      <c r="Q28" s="56"/>
      <c r="R28" s="56"/>
      <c r="S28" s="56"/>
      <c r="T28" s="56"/>
      <c r="U28" s="56"/>
      <c r="V28" s="56"/>
    </row>
    <row r="29" spans="1:24" ht="17.25" thickBot="1">
      <c r="A29" s="56"/>
      <c r="B29" s="85"/>
      <c r="C29" s="87"/>
      <c r="D29" s="87"/>
      <c r="E29" s="87"/>
      <c r="F29" s="87"/>
      <c r="G29" s="90"/>
      <c r="H29" s="87"/>
      <c r="I29" s="87"/>
      <c r="J29" s="87"/>
      <c r="K29" s="87"/>
      <c r="L29" s="87"/>
      <c r="M29" s="87"/>
      <c r="N29" s="88"/>
      <c r="O29" s="56"/>
      <c r="P29" s="89"/>
      <c r="Q29" s="56"/>
      <c r="R29" s="56"/>
      <c r="S29" s="56"/>
      <c r="T29" s="56"/>
      <c r="U29" s="56"/>
      <c r="V29" s="56"/>
    </row>
    <row r="30" spans="1:24" ht="17.25" thickBot="1">
      <c r="A30" s="56"/>
      <c r="B30" s="85"/>
      <c r="C30" s="242" t="s">
        <v>63</v>
      </c>
      <c r="D30" s="243"/>
      <c r="E30" s="244"/>
      <c r="F30" s="91" t="s">
        <v>64</v>
      </c>
      <c r="G30" s="92">
        <f>+M7</f>
        <v>264876705.00959998</v>
      </c>
      <c r="H30" s="91"/>
      <c r="I30" s="93"/>
      <c r="J30" s="91"/>
      <c r="K30" s="91"/>
      <c r="L30" s="91"/>
      <c r="M30" s="94"/>
      <c r="N30" s="95"/>
      <c r="O30" s="56"/>
      <c r="P30" s="56"/>
      <c r="Q30" s="56"/>
      <c r="R30" s="56"/>
      <c r="S30" s="56"/>
      <c r="T30" s="56"/>
      <c r="U30" s="56"/>
      <c r="V30" s="56"/>
    </row>
    <row r="31" spans="1:24" ht="17.25" thickBot="1">
      <c r="A31" s="56"/>
      <c r="B31" s="85"/>
      <c r="C31" s="91"/>
      <c r="D31" s="91"/>
      <c r="E31" s="91"/>
      <c r="F31" s="91"/>
      <c r="G31" s="91"/>
      <c r="H31" s="91"/>
      <c r="I31" s="91"/>
      <c r="J31" s="91"/>
      <c r="K31" s="91"/>
      <c r="L31" s="91"/>
      <c r="M31" s="94"/>
      <c r="N31" s="95"/>
      <c r="O31" s="56"/>
      <c r="P31" s="56"/>
      <c r="Q31" s="56"/>
      <c r="R31" s="56"/>
      <c r="S31" s="56"/>
      <c r="T31" s="56"/>
      <c r="U31" s="56"/>
      <c r="V31" s="56"/>
    </row>
    <row r="32" spans="1:24" ht="17.25" thickBot="1">
      <c r="A32" s="56"/>
      <c r="B32" s="85"/>
      <c r="C32" s="245" t="s">
        <v>65</v>
      </c>
      <c r="D32" s="246"/>
      <c r="E32" s="247"/>
      <c r="F32" s="91" t="s">
        <v>64</v>
      </c>
      <c r="G32" s="96">
        <f>+E24</f>
        <v>30759539.060880907</v>
      </c>
      <c r="H32" s="91"/>
      <c r="I32" s="91"/>
      <c r="J32" s="97">
        <f>G32/G30</f>
        <v>0.11612776238577145</v>
      </c>
      <c r="K32" s="98" t="s">
        <v>66</v>
      </c>
      <c r="L32" s="99"/>
      <c r="M32" s="100"/>
      <c r="N32" s="95"/>
      <c r="O32" s="56"/>
      <c r="P32" s="56"/>
      <c r="Q32" s="56"/>
      <c r="R32" s="56"/>
      <c r="S32" s="56"/>
      <c r="T32" s="56"/>
      <c r="U32" s="56"/>
      <c r="V32" s="56"/>
    </row>
    <row r="33" spans="2:14" ht="17.25" thickBot="1">
      <c r="B33" s="101"/>
      <c r="C33" s="91"/>
      <c r="D33" s="91"/>
      <c r="E33" s="91"/>
      <c r="F33" s="91"/>
      <c r="G33" s="91"/>
      <c r="H33" s="91"/>
      <c r="I33" s="91"/>
      <c r="J33" s="91"/>
      <c r="K33" s="102"/>
      <c r="L33" s="91"/>
      <c r="M33" s="94"/>
      <c r="N33" s="95"/>
    </row>
    <row r="34" spans="2:14" ht="17.25" thickBot="1">
      <c r="B34" s="101"/>
      <c r="C34" s="235" t="s">
        <v>67</v>
      </c>
      <c r="D34" s="236"/>
      <c r="E34" s="237"/>
      <c r="F34" s="91" t="s">
        <v>68</v>
      </c>
      <c r="G34" s="103">
        <f>+K24</f>
        <v>30974287.084512904</v>
      </c>
      <c r="H34" s="91"/>
      <c r="I34" s="91"/>
      <c r="J34" s="104">
        <f>+G34/J24</f>
        <v>1</v>
      </c>
      <c r="K34" s="105" t="s">
        <v>69</v>
      </c>
      <c r="L34" s="106"/>
      <c r="M34" s="107"/>
      <c r="N34" s="95"/>
    </row>
    <row r="35" spans="2:14" ht="17.25" thickBot="1">
      <c r="B35" s="101"/>
      <c r="C35" s="91"/>
      <c r="D35" s="91"/>
      <c r="E35" s="91"/>
      <c r="F35" s="91"/>
      <c r="G35" s="91"/>
      <c r="H35" s="91"/>
      <c r="I35" s="91"/>
      <c r="J35" s="91"/>
      <c r="K35" s="102"/>
      <c r="L35" s="91"/>
      <c r="M35" s="94"/>
      <c r="N35" s="95"/>
    </row>
    <row r="36" spans="2:14" ht="17.25" thickBot="1">
      <c r="B36" s="101"/>
      <c r="C36" s="235" t="s">
        <v>70</v>
      </c>
      <c r="D36" s="236"/>
      <c r="E36" s="237"/>
      <c r="F36" s="91" t="s">
        <v>68</v>
      </c>
      <c r="G36" s="108">
        <f>+O24</f>
        <v>0</v>
      </c>
      <c r="H36" s="91"/>
      <c r="I36" s="91"/>
      <c r="J36" s="109">
        <f>+G36/J24</f>
        <v>0</v>
      </c>
      <c r="K36" s="105" t="s">
        <v>69</v>
      </c>
      <c r="L36" s="110"/>
      <c r="M36" s="111"/>
      <c r="N36" s="95"/>
    </row>
    <row r="37" spans="2:14" ht="17.25" thickBot="1">
      <c r="B37" s="101"/>
      <c r="C37" s="91"/>
      <c r="D37" s="91"/>
      <c r="E37" s="91"/>
      <c r="F37" s="91"/>
      <c r="G37" s="91"/>
      <c r="H37" s="91"/>
      <c r="I37" s="91"/>
      <c r="J37" s="91"/>
      <c r="K37" s="102"/>
      <c r="L37" s="91"/>
      <c r="M37" s="94"/>
      <c r="N37" s="95"/>
    </row>
    <row r="38" spans="2:14" ht="17.25" thickBot="1">
      <c r="B38" s="101"/>
      <c r="C38" s="235" t="s">
        <v>71</v>
      </c>
      <c r="D38" s="236"/>
      <c r="E38" s="237"/>
      <c r="F38" s="91" t="s">
        <v>68</v>
      </c>
      <c r="G38" s="112">
        <f>+P24</f>
        <v>0</v>
      </c>
      <c r="H38" s="91"/>
      <c r="I38" s="91"/>
      <c r="J38" s="113">
        <f>+G38/I24</f>
        <v>0</v>
      </c>
      <c r="K38" s="105" t="s">
        <v>69</v>
      </c>
      <c r="L38" s="106"/>
      <c r="M38" s="107"/>
      <c r="N38" s="95"/>
    </row>
    <row r="39" spans="2:14" ht="17.25" thickBot="1">
      <c r="B39" s="114"/>
      <c r="C39" s="115"/>
      <c r="D39" s="115"/>
      <c r="E39" s="115"/>
      <c r="F39" s="115"/>
      <c r="G39" s="115"/>
      <c r="H39" s="115"/>
      <c r="I39" s="115"/>
      <c r="J39" s="115"/>
      <c r="K39" s="115"/>
      <c r="L39" s="115"/>
      <c r="M39" s="115"/>
      <c r="N39" s="116"/>
    </row>
    <row r="41" spans="2:14">
      <c r="H41" s="117"/>
    </row>
    <row r="42" spans="2:14">
      <c r="G42" s="118"/>
      <c r="H42" s="118"/>
    </row>
    <row r="43" spans="2:14">
      <c r="G43" s="118"/>
      <c r="H43" s="118"/>
    </row>
    <row r="44" spans="2:14">
      <c r="G44" s="118"/>
      <c r="H44" s="118"/>
    </row>
    <row r="45" spans="2:14">
      <c r="H45" s="117"/>
    </row>
    <row r="46" spans="2:14">
      <c r="H46" s="118"/>
    </row>
    <row r="47" spans="2:14">
      <c r="H47" s="117"/>
    </row>
  </sheetData>
  <mergeCells count="20">
    <mergeCell ref="M6:N6"/>
    <mergeCell ref="A1:B2"/>
    <mergeCell ref="C1:E2"/>
    <mergeCell ref="F1:F2"/>
    <mergeCell ref="G1:J1"/>
    <mergeCell ref="M1:N1"/>
    <mergeCell ref="M2:N2"/>
    <mergeCell ref="A3:B4"/>
    <mergeCell ref="C3:E4"/>
    <mergeCell ref="M3:N3"/>
    <mergeCell ref="M4:N4"/>
    <mergeCell ref="M5:N5"/>
    <mergeCell ref="C36:E36"/>
    <mergeCell ref="C38:E38"/>
    <mergeCell ref="M7:N7"/>
    <mergeCell ref="M8:N8"/>
    <mergeCell ref="O10:P10"/>
    <mergeCell ref="C30:E30"/>
    <mergeCell ref="C32:E32"/>
    <mergeCell ref="C34:E34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RECAP</vt:lpstr>
      <vt:lpstr>211</vt:lpstr>
      <vt:lpstr>210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Imanitta</dc:creator>
  <cp:lastModifiedBy>Imanitta</cp:lastModifiedBy>
  <dcterms:created xsi:type="dcterms:W3CDTF">2017-11-25T19:56:20Z</dcterms:created>
  <dcterms:modified xsi:type="dcterms:W3CDTF">2017-12-11T20:36:44Z</dcterms:modified>
</cp:coreProperties>
</file>