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Nouveau dossier (2)\"/>
    </mc:Choice>
  </mc:AlternateContent>
  <bookViews>
    <workbookView xWindow="240" yWindow="75" windowWidth="20055" windowHeight="7935" tabRatio="881"/>
  </bookViews>
  <sheets>
    <sheet name="7000-003" sheetId="47" r:id="rId1"/>
    <sheet name="7005" sheetId="28" r:id="rId2"/>
    <sheet name="7006" sheetId="27" r:id="rId3"/>
    <sheet name="7007" sheetId="26" r:id="rId4"/>
    <sheet name="7008" sheetId="25" r:id="rId5"/>
    <sheet name="7009" sheetId="31" r:id="rId6"/>
    <sheet name="7010" sheetId="30" r:id="rId7"/>
    <sheet name="7011" sheetId="23" r:id="rId8"/>
    <sheet name="7012" sheetId="22" r:id="rId9"/>
  </sheets>
  <definedNames>
    <definedName name="_Key2" localSheetId="0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localSheetId="8" hidden="1">#REF!</definedName>
    <definedName name="_Key2" hidden="1">#REF!</definedName>
    <definedName name="_Order2" hidden="1">255</definedName>
    <definedName name="_Sort" localSheetId="0" hidden="1">#REF!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hidden="1">#REF!</definedName>
    <definedName name="AC" localSheetId="7" hidden="1">{#N/A,#N/A,FALSE,"Classe";#N/A,#N/A,FALSE,"Destination";#N/A,#N/A,FALSE,"Consolidation"}</definedName>
    <definedName name="AC" hidden="1">{#N/A,#N/A,FALSE,"Classe";#N/A,#N/A,FALSE,"Destination";#N/A,#N/A,FALSE,"Consolidation"}</definedName>
    <definedName name="AEZ" localSheetId="7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localSheetId="7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localSheetId="7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localSheetId="7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localSheetId="7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localSheetId="7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localSheetId="7" hidden="1">{#N/A,#N/A,FALSE,"Classe";#N/A,#N/A,FALSE,"Destination";#N/A,#N/A,FALSE,"Consolidation"}</definedName>
    <definedName name="BC" hidden="1">{#N/A,#N/A,FALSE,"Classe";#N/A,#N/A,FALSE,"Destination";#N/A,#N/A,FALSE,"Consolidation"}</definedName>
    <definedName name="BG" localSheetId="7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localSheetId="7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localSheetId="7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localSheetId="7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localSheetId="7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localSheetId="7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localSheetId="7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localSheetId="7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localSheetId="7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localSheetId="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localSheetId="7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localSheetId="7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localSheetId="7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localSheetId="7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localSheetId="7" hidden="1">{#N/A,#N/A,FALSE,"Classe";#N/A,#N/A,FALSE,"Destination";#N/A,#N/A,FALSE,"Consolidation"}</definedName>
    <definedName name="DA" hidden="1">{#N/A,#N/A,FALSE,"Classe";#N/A,#N/A,FALSE,"Destination";#N/A,#N/A,FALSE,"Consolidation"}</definedName>
    <definedName name="DC" localSheetId="7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localSheetId="7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localSheetId="0" hidden="1">{#N/A,#N/A,FALSE,"Etanchéité";#N/A,#N/A,FALSE,"Etanchéité2";#N/A,#N/A,FALSE,"MOI";#N/A,#N/A,FALSE,"Encadrement"}</definedName>
    <definedName name="dd" localSheetId="1" hidden="1">{#N/A,#N/A,FALSE,"Etanchéité";#N/A,#N/A,FALSE,"Etanchéité2";#N/A,#N/A,FALSE,"MOI";#N/A,#N/A,FALSE,"Encadrement"}</definedName>
    <definedName name="dd" localSheetId="2" hidden="1">{#N/A,#N/A,FALSE,"Etanchéité";#N/A,#N/A,FALSE,"Etanchéité2";#N/A,#N/A,FALSE,"MOI";#N/A,#N/A,FALSE,"Encadrement"}</definedName>
    <definedName name="dd" localSheetId="3" hidden="1">{#N/A,#N/A,FALSE,"Etanchéité";#N/A,#N/A,FALSE,"Etanchéité2";#N/A,#N/A,FALSE,"MOI";#N/A,#N/A,FALSE,"Encadrement"}</definedName>
    <definedName name="dd" localSheetId="4" hidden="1">{#N/A,#N/A,FALSE,"Etanchéité";#N/A,#N/A,FALSE,"Etanchéité2";#N/A,#N/A,FALSE,"MOI";#N/A,#N/A,FALSE,"Encadrement"}</definedName>
    <definedName name="dd" localSheetId="5" hidden="1">{#N/A,#N/A,FALSE,"Etanchéité";#N/A,#N/A,FALSE,"Etanchéité2";#N/A,#N/A,FALSE,"MOI";#N/A,#N/A,FALSE,"Encadrement"}</definedName>
    <definedName name="dd" localSheetId="6" hidden="1">{#N/A,#N/A,FALSE,"Etanchéité";#N/A,#N/A,FALSE,"Etanchéité2";#N/A,#N/A,FALSE,"MOI";#N/A,#N/A,FALSE,"Encadrement"}</definedName>
    <definedName name="dd" localSheetId="7" hidden="1">{#N/A,#N/A,FALSE,"Etanchéité";#N/A,#N/A,FALSE,"Etanchéité2";#N/A,#N/A,FALSE,"MOI";#N/A,#N/A,FALSE,"Encadrement"}</definedName>
    <definedName name="dd" localSheetId="8" hidden="1">{#N/A,#N/A,FALSE,"Etanchéité";#N/A,#N/A,FALSE,"Etanchéité2";#N/A,#N/A,FALSE,"MOI";#N/A,#N/A,FALSE,"Encadrement"}</definedName>
    <definedName name="dd" hidden="1">{#N/A,#N/A,FALSE,"Etanchéité";#N/A,#N/A,FALSE,"Etanchéité2";#N/A,#N/A,FALSE,"MOI";#N/A,#N/A,FALSE,"Encadrement"}</definedName>
    <definedName name="de" localSheetId="0" hidden="1">{#N/A,#N/A,FALSE,"R.D. Maroc";#N/A,#N/A,FALSE,"Colle";#N/A,#N/A,FALSE,"Métaci"}</definedName>
    <definedName name="de" localSheetId="1" hidden="1">{#N/A,#N/A,FALSE,"R.D. Maroc";#N/A,#N/A,FALSE,"Colle";#N/A,#N/A,FALSE,"Métaci"}</definedName>
    <definedName name="de" localSheetId="2" hidden="1">{#N/A,#N/A,FALSE,"R.D. Maroc";#N/A,#N/A,FALSE,"Colle";#N/A,#N/A,FALSE,"Métaci"}</definedName>
    <definedName name="de" localSheetId="3" hidden="1">{#N/A,#N/A,FALSE,"R.D. Maroc";#N/A,#N/A,FALSE,"Colle";#N/A,#N/A,FALSE,"Métaci"}</definedName>
    <definedName name="de" localSheetId="4" hidden="1">{#N/A,#N/A,FALSE,"R.D. Maroc";#N/A,#N/A,FALSE,"Colle";#N/A,#N/A,FALSE,"Métaci"}</definedName>
    <definedName name="de" localSheetId="5" hidden="1">{#N/A,#N/A,FALSE,"R.D. Maroc";#N/A,#N/A,FALSE,"Colle";#N/A,#N/A,FALSE,"Métaci"}</definedName>
    <definedName name="de" localSheetId="6" hidden="1">{#N/A,#N/A,FALSE,"R.D. Maroc";#N/A,#N/A,FALSE,"Colle";#N/A,#N/A,FALSE,"Métaci"}</definedName>
    <definedName name="de" localSheetId="7" hidden="1">{#N/A,#N/A,FALSE,"R.D. Maroc";#N/A,#N/A,FALSE,"Colle";#N/A,#N/A,FALSE,"Métaci"}</definedName>
    <definedName name="de" localSheetId="8" hidden="1">{#N/A,#N/A,FALSE,"R.D. Maroc";#N/A,#N/A,FALSE,"Colle";#N/A,#N/A,FALSE,"Métaci"}</definedName>
    <definedName name="de" hidden="1">{#N/A,#N/A,FALSE,"R.D. Maroc";#N/A,#N/A,FALSE,"Colle";#N/A,#N/A,FALSE,"Métaci"}</definedName>
    <definedName name="DFR" localSheetId="7" hidden="1">{#N/A,#N/A,FALSE,"Classe";#N/A,#N/A,FALSE,"Destination";#N/A,#N/A,FALSE,"Consolidation"}</definedName>
    <definedName name="DFR" hidden="1">{#N/A,#N/A,FALSE,"Classe";#N/A,#N/A,FALSE,"Destination";#N/A,#N/A,FALSE,"Consolidation"}</definedName>
    <definedName name="ds" localSheetId="0" hidden="1">{#N/A,#N/A,FALSE,"Menuiserie extérieure";#N/A,#N/A,FALSE,"Menuiserie ext.";#N/A,#N/A,FALSE,"MOI";#N/A,#N/A,FALSE,"Encadrement";#N/A,#N/A,FALSE,"Fournitures"}</definedName>
    <definedName name="ds" localSheetId="1" hidden="1">{#N/A,#N/A,FALSE,"Menuiserie extérieure";#N/A,#N/A,FALSE,"Menuiserie ext.";#N/A,#N/A,FALSE,"MOI";#N/A,#N/A,FALSE,"Encadrement";#N/A,#N/A,FALSE,"Fournitures"}</definedName>
    <definedName name="ds" localSheetId="2" hidden="1">{#N/A,#N/A,FALSE,"Menuiserie extérieure";#N/A,#N/A,FALSE,"Menuiserie ext.";#N/A,#N/A,FALSE,"MOI";#N/A,#N/A,FALSE,"Encadrement";#N/A,#N/A,FALSE,"Fournitures"}</definedName>
    <definedName name="ds" localSheetId="3" hidden="1">{#N/A,#N/A,FALSE,"Menuiserie extérieure";#N/A,#N/A,FALSE,"Menuiserie ext.";#N/A,#N/A,FALSE,"MOI";#N/A,#N/A,FALSE,"Encadrement";#N/A,#N/A,FALSE,"Fournitures"}</definedName>
    <definedName name="ds" localSheetId="4" hidden="1">{#N/A,#N/A,FALSE,"Menuiserie extérieure";#N/A,#N/A,FALSE,"Menuiserie ext.";#N/A,#N/A,FALSE,"MOI";#N/A,#N/A,FALSE,"Encadrement";#N/A,#N/A,FALSE,"Fournitures"}</definedName>
    <definedName name="ds" localSheetId="5" hidden="1">{#N/A,#N/A,FALSE,"Menuiserie extérieure";#N/A,#N/A,FALSE,"Menuiserie ext.";#N/A,#N/A,FALSE,"MOI";#N/A,#N/A,FALSE,"Encadrement";#N/A,#N/A,FALSE,"Fournitures"}</definedName>
    <definedName name="ds" localSheetId="6" hidden="1">{#N/A,#N/A,FALSE,"Menuiserie extérieure";#N/A,#N/A,FALSE,"Menuiserie ext.";#N/A,#N/A,FALSE,"MOI";#N/A,#N/A,FALSE,"Encadrement";#N/A,#N/A,FALSE,"Fournitures"}</definedName>
    <definedName name="ds" localSheetId="7" hidden="1">{#N/A,#N/A,FALSE,"Menuiserie extérieure";#N/A,#N/A,FALSE,"Menuiserie ext.";#N/A,#N/A,FALSE,"MOI";#N/A,#N/A,FALSE,"Encadrement";#N/A,#N/A,FALSE,"Fournitures"}</definedName>
    <definedName name="ds" localSheetId="8" hidden="1">{#N/A,#N/A,FALSE,"Menuiserie extérieure";#N/A,#N/A,FALSE,"Menuiserie ext.";#N/A,#N/A,FALSE,"MOI";#N/A,#N/A,FALSE,"Encadrement";#N/A,#N/A,FALSE,"Fournitures"}</definedName>
    <definedName name="ds" hidden="1">{#N/A,#N/A,FALSE,"Menuiserie extérieure";#N/A,#N/A,FALSE,"Menuiserie ext.";#N/A,#N/A,FALSE,"MOI";#N/A,#N/A,FALSE,"Encadrement";#N/A,#N/A,FALSE,"Fournitures"}</definedName>
    <definedName name="EA" localSheetId="7" hidden="1">{#N/A,#N/A,FALSE,"Classe";#N/A,#N/A,FALSE,"Destination";#N/A,#N/A,FALSE,"Consolidation"}</definedName>
    <definedName name="EA" hidden="1">{#N/A,#N/A,FALSE,"Classe";#N/A,#N/A,FALSE,"Destination";#N/A,#N/A,FALSE,"Consolidation"}</definedName>
    <definedName name="EI" localSheetId="7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localSheetId="7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localSheetId="7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localSheetId="7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localSheetId="7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localSheetId="7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localSheetId="7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localSheetId="7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localSheetId="7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localSheetId="7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localSheetId="7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localSheetId="7" hidden="1">{#N/A,#N/A,FALSE,"Classe";#N/A,#N/A,FALSE,"Destination";#N/A,#N/A,FALSE,"Consolidation"}</definedName>
    <definedName name="HY" hidden="1">{#N/A,#N/A,FALSE,"Classe";#N/A,#N/A,FALSE,"Destination";#N/A,#N/A,FALSE,"Consolidation"}</definedName>
    <definedName name="IG" localSheetId="7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localSheetId="7" hidden="1">{#N/A,#N/A,FALSE,"Classe";#N/A,#N/A,FALSE,"Destination";#N/A,#N/A,FALSE,"Consolidation"}</definedName>
    <definedName name="IJK" hidden="1">{#N/A,#N/A,FALSE,"Classe";#N/A,#N/A,FALSE,"Destination";#N/A,#N/A,FALSE,"Consolidation"}</definedName>
    <definedName name="IK" localSheetId="7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localSheetId="7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localSheetId="7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localSheetId="7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localSheetId="7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localSheetId="7" hidden="1">{#N/A,#N/A,FALSE,"Classe";#N/A,#N/A,FALSE,"Destination";#N/A,#N/A,FALSE,"Consolidation"}</definedName>
    <definedName name="JKI" hidden="1">{#N/A,#N/A,FALSE,"Classe";#N/A,#N/A,FALSE,"Destination";#N/A,#N/A,FALSE,"Consolidation"}</definedName>
    <definedName name="JR" localSheetId="7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localSheetId="7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localSheetId="7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localSheetId="7" hidden="1">{#N/A,#N/A,FALSE,"Classe";#N/A,#N/A,FALSE,"Destination";#N/A,#N/A,FALSE,"Consolidation"}</definedName>
    <definedName name="KID" hidden="1">{#N/A,#N/A,FALSE,"Classe";#N/A,#N/A,FALSE,"Destination";#N/A,#N/A,FALSE,"Consolidation"}</definedName>
    <definedName name="KIJ" localSheetId="7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localSheetId="7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localSheetId="7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localSheetId="7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localSheetId="7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localSheetId="7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localSheetId="7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localSheetId="7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localSheetId="7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localSheetId="7" hidden="1">{#N/A,#N/A,FALSE,"Classe";#N/A,#N/A,FALSE,"Destination";#N/A,#N/A,FALSE,"Consolidation"}</definedName>
    <definedName name="NA" hidden="1">{#N/A,#N/A,FALSE,"Classe";#N/A,#N/A,FALSE,"Destination";#N/A,#N/A,FALSE,"Consolidation"}</definedName>
    <definedName name="NBV" localSheetId="7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localSheetId="7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localSheetId="7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localSheetId="7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localSheetId="7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localSheetId="0" hidden="1">{#N/A,#N/A,FALSE,"DH";#N/A,#N/A,FALSE,"FFR";#N/A,#N/A,FALSE,"AVDH";#N/A,#N/A,FALSE,"AVFFR";#N/A,#N/A,FALSE,"RevDH";#N/A,#N/A,FALSE,"RevFFR";#N/A,#N/A,FALSE,"Base-App-Dh";#N/A,#N/A,FALSE,"Base-App-FF"}</definedName>
    <definedName name="NN" localSheetId="1" hidden="1">{#N/A,#N/A,FALSE,"DH";#N/A,#N/A,FALSE,"FFR";#N/A,#N/A,FALSE,"AVDH";#N/A,#N/A,FALSE,"AVFFR";#N/A,#N/A,FALSE,"RevDH";#N/A,#N/A,FALSE,"RevFFR";#N/A,#N/A,FALSE,"Base-App-Dh";#N/A,#N/A,FALSE,"Base-App-FF"}</definedName>
    <definedName name="NN" localSheetId="2" hidden="1">{#N/A,#N/A,FALSE,"DH";#N/A,#N/A,FALSE,"FFR";#N/A,#N/A,FALSE,"AVDH";#N/A,#N/A,FALSE,"AVFFR";#N/A,#N/A,FALSE,"RevDH";#N/A,#N/A,FALSE,"RevFFR";#N/A,#N/A,FALSE,"Base-App-Dh";#N/A,#N/A,FALSE,"Base-App-FF"}</definedName>
    <definedName name="NN" localSheetId="3" hidden="1">{#N/A,#N/A,FALSE,"DH";#N/A,#N/A,FALSE,"FFR";#N/A,#N/A,FALSE,"AVDH";#N/A,#N/A,FALSE,"AVFFR";#N/A,#N/A,FALSE,"RevDH";#N/A,#N/A,FALSE,"RevFFR";#N/A,#N/A,FALSE,"Base-App-Dh";#N/A,#N/A,FALSE,"Base-App-FF"}</definedName>
    <definedName name="NN" localSheetId="4" hidden="1">{#N/A,#N/A,FALSE,"DH";#N/A,#N/A,FALSE,"FFR";#N/A,#N/A,FALSE,"AVDH";#N/A,#N/A,FALSE,"AVFFR";#N/A,#N/A,FALSE,"RevDH";#N/A,#N/A,FALSE,"RevFFR";#N/A,#N/A,FALSE,"Base-App-Dh";#N/A,#N/A,FALSE,"Base-App-FF"}</definedName>
    <definedName name="NN" localSheetId="5" hidden="1">{#N/A,#N/A,FALSE,"DH";#N/A,#N/A,FALSE,"FFR";#N/A,#N/A,FALSE,"AVDH";#N/A,#N/A,FALSE,"AVFFR";#N/A,#N/A,FALSE,"RevDH";#N/A,#N/A,FALSE,"RevFFR";#N/A,#N/A,FALSE,"Base-App-Dh";#N/A,#N/A,FALSE,"Base-App-FF"}</definedName>
    <definedName name="NN" localSheetId="6" hidden="1">{#N/A,#N/A,FALSE,"DH";#N/A,#N/A,FALSE,"FFR";#N/A,#N/A,FALSE,"AVDH";#N/A,#N/A,FALSE,"AVFFR";#N/A,#N/A,FALSE,"RevDH";#N/A,#N/A,FALSE,"RevFFR";#N/A,#N/A,FALSE,"Base-App-Dh";#N/A,#N/A,FALSE,"Base-App-FF"}</definedName>
    <definedName name="NN" localSheetId="7" hidden="1">{#N/A,#N/A,FALSE,"DH";#N/A,#N/A,FALSE,"FFR";#N/A,#N/A,FALSE,"AVDH";#N/A,#N/A,FALSE,"AVFFR";#N/A,#N/A,FALSE,"RevDH";#N/A,#N/A,FALSE,"RevFFR";#N/A,#N/A,FALSE,"Base-App-Dh";#N/A,#N/A,FALSE,"Base-App-FF"}</definedName>
    <definedName name="NN" localSheetId="8" hidden="1">{#N/A,#N/A,FALSE,"DH";#N/A,#N/A,FALSE,"FFR";#N/A,#N/A,FALSE,"AVDH";#N/A,#N/A,FALSE,"AVFFR";#N/A,#N/A,FALSE,"RevDH";#N/A,#N/A,FALSE,"RevFFR";#N/A,#N/A,FALSE,"Base-App-Dh";#N/A,#N/A,FALSE,"Base-App-FF"}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localSheetId="7" hidden="1">{#N/A,#N/A,FALSE,"Classe";#N/A,#N/A,FALSE,"Destination";#N/A,#N/A,FALSE,"Consolidation"}</definedName>
    <definedName name="NNF" hidden="1">{#N/A,#N/A,FALSE,"Classe";#N/A,#N/A,FALSE,"Destination";#N/A,#N/A,FALSE,"Consolidation"}</definedName>
    <definedName name="NO" localSheetId="7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localSheetId="7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localSheetId="7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localSheetId="7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localSheetId="7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localSheetId="7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localSheetId="7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localSheetId="7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localSheetId="7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localSheetId="7" hidden="1">{#N/A,#N/A,FALSE,"Classe";#N/A,#N/A,FALSE,"Destination";#N/A,#N/A,FALSE,"Consolidation"}</definedName>
    <definedName name="POR" hidden="1">{#N/A,#N/A,FALSE,"Classe";#N/A,#N/A,FALSE,"Destination";#N/A,#N/A,FALSE,"Consolidation"}</definedName>
    <definedName name="portr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localSheetId="7" hidden="1">{#N/A,#N/A,FALSE,"Classe";#N/A,#N/A,FALSE,"Destination";#N/A,#N/A,FALSE,"Consolidation"}</definedName>
    <definedName name="PU" hidden="1">{#N/A,#N/A,FALSE,"Classe";#N/A,#N/A,FALSE,"Destination";#N/A,#N/A,FALSE,"Consolidation"}</definedName>
    <definedName name="qq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localSheetId="7" hidden="1">{#N/A,#N/A,FALSE,"Classe";#N/A,#N/A,FALSE,"Destination";#N/A,#N/A,FALSE,"Consolidation"}</definedName>
    <definedName name="QZ" hidden="1">{#N/A,#N/A,FALSE,"Classe";#N/A,#N/A,FALSE,"Destination";#N/A,#N/A,FALSE,"Consolidation"}</definedName>
    <definedName name="RED" localSheetId="7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localSheetId="7" hidden="1">{#N/A,#N/A,FALSE,"Classe";#N/A,#N/A,FALSE,"Destination";#N/A,#N/A,FALSE,"Consolidation"}</definedName>
    <definedName name="SA" hidden="1">{#N/A,#N/A,FALSE,"Classe";#N/A,#N/A,FALSE,"Destination";#N/A,#N/A,FALSE,"Consolidation"}</definedName>
    <definedName name="SD" localSheetId="7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localSheetId="7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localSheetId="7" hidden="1">{#N/A,#N/A,FALSE,"Classe";#N/A,#N/A,FALSE,"Destination";#N/A,#N/A,FALSE,"Consolidation"}</definedName>
    <definedName name="SZ" hidden="1">{#N/A,#N/A,FALSE,"Classe";#N/A,#N/A,FALSE,"Destination";#N/A,#N/A,FALSE,"Consolidation"}</definedName>
    <definedName name="TP" localSheetId="7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localSheetId="7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localSheetId="7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localSheetId="7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localSheetId="7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localSheetId="7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localSheetId="7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localSheetId="0" hidden="1">{#N/A,#N/A,FALSE,"DH";#N/A,#N/A,FALSE,"FFR";#N/A,#N/A,FALSE,"AVDH";#N/A,#N/A,FALSE,"AVFFR";#N/A,#N/A,FALSE,"RevDH";#N/A,#N/A,FALSE,"RevFFR";#N/A,#N/A,FALSE,"Base-App-Dh";#N/A,#N/A,FALSE,"Base-App-FF"}</definedName>
    <definedName name="uu" localSheetId="1" hidden="1">{#N/A,#N/A,FALSE,"DH";#N/A,#N/A,FALSE,"FFR";#N/A,#N/A,FALSE,"AVDH";#N/A,#N/A,FALSE,"AVFFR";#N/A,#N/A,FALSE,"RevDH";#N/A,#N/A,FALSE,"RevFFR";#N/A,#N/A,FALSE,"Base-App-Dh";#N/A,#N/A,FALSE,"Base-App-FF"}</definedName>
    <definedName name="uu" localSheetId="2" hidden="1">{#N/A,#N/A,FALSE,"DH";#N/A,#N/A,FALSE,"FFR";#N/A,#N/A,FALSE,"AVDH";#N/A,#N/A,FALSE,"AVFFR";#N/A,#N/A,FALSE,"RevDH";#N/A,#N/A,FALSE,"RevFFR";#N/A,#N/A,FALSE,"Base-App-Dh";#N/A,#N/A,FALSE,"Base-App-FF"}</definedName>
    <definedName name="uu" localSheetId="3" hidden="1">{#N/A,#N/A,FALSE,"DH";#N/A,#N/A,FALSE,"FFR";#N/A,#N/A,FALSE,"AVDH";#N/A,#N/A,FALSE,"AVFFR";#N/A,#N/A,FALSE,"RevDH";#N/A,#N/A,FALSE,"RevFFR";#N/A,#N/A,FALSE,"Base-App-Dh";#N/A,#N/A,FALSE,"Base-App-FF"}</definedName>
    <definedName name="uu" localSheetId="4" hidden="1">{#N/A,#N/A,FALSE,"DH";#N/A,#N/A,FALSE,"FFR";#N/A,#N/A,FALSE,"AVDH";#N/A,#N/A,FALSE,"AVFFR";#N/A,#N/A,FALSE,"RevDH";#N/A,#N/A,FALSE,"RevFFR";#N/A,#N/A,FALSE,"Base-App-Dh";#N/A,#N/A,FALSE,"Base-App-FF"}</definedName>
    <definedName name="uu" localSheetId="5" hidden="1">{#N/A,#N/A,FALSE,"DH";#N/A,#N/A,FALSE,"FFR";#N/A,#N/A,FALSE,"AVDH";#N/A,#N/A,FALSE,"AVFFR";#N/A,#N/A,FALSE,"RevDH";#N/A,#N/A,FALSE,"RevFFR";#N/A,#N/A,FALSE,"Base-App-Dh";#N/A,#N/A,FALSE,"Base-App-FF"}</definedName>
    <definedName name="uu" localSheetId="6" hidden="1">{#N/A,#N/A,FALSE,"DH";#N/A,#N/A,FALSE,"FFR";#N/A,#N/A,FALSE,"AVDH";#N/A,#N/A,FALSE,"AVFFR";#N/A,#N/A,FALSE,"RevDH";#N/A,#N/A,FALSE,"RevFFR";#N/A,#N/A,FALSE,"Base-App-Dh";#N/A,#N/A,FALSE,"Base-App-FF"}</definedName>
    <definedName name="uu" localSheetId="7" hidden="1">{#N/A,#N/A,FALSE,"DH";#N/A,#N/A,FALSE,"FFR";#N/A,#N/A,FALSE,"AVDH";#N/A,#N/A,FALSE,"AVFFR";#N/A,#N/A,FALSE,"RevDH";#N/A,#N/A,FALSE,"RevFFR";#N/A,#N/A,FALSE,"Base-App-Dh";#N/A,#N/A,FALSE,"Base-App-FF"}</definedName>
    <definedName name="uu" localSheetId="8" hidden="1">{#N/A,#N/A,FALSE,"DH";#N/A,#N/A,FALSE,"FFR";#N/A,#N/A,FALSE,"AVDH";#N/A,#N/A,FALSE,"AVFFR";#N/A,#N/A,FALSE,"RevDH";#N/A,#N/A,FALSE,"RevFFR";#N/A,#N/A,FALSE,"Base-App-Dh";#N/A,#N/A,FALSE,"Base-App-FF"}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localSheetId="7" hidden="1">{#N/A,#N/A,FALSE,"Classe";#N/A,#N/A,FALSE,"Destination";#N/A,#N/A,FALSE,"Consolidation"}</definedName>
    <definedName name="VC" hidden="1">{#N/A,#N/A,FALSE,"Classe";#N/A,#N/A,FALSE,"Destination";#N/A,#N/A,FALSE,"Consolidation"}</definedName>
    <definedName name="VCD" localSheetId="7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localSheetId="7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localSheetId="7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localSheetId="7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localSheetId="7" hidden="1">{#N/A,#N/A,FALSE,"Classe";#N/A,#N/A,FALSE,"Destination";#N/A,#N/A,FALSE,"Consolidation"}</definedName>
    <definedName name="VX" hidden="1">{#N/A,#N/A,FALSE,"Classe";#N/A,#N/A,FALSE,"Destination";#N/A,#N/A,FALSE,"Consolidation"}</definedName>
    <definedName name="wrn.Avancement.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localSheetId="0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1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2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3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4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5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6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7" hidden="1">{#N/A,#N/A,FALSE,"ETANC";#N/A,#N/A,FALSE,"PLO";#N/A,#N/A,FALSE,"ELEC";#N/A,#N/A,FALSE,"P-int-B";#N/A,#N/A,FALSE,"P-int-Récap";#N/A,#N/A,FALSE,"Rev-sol";#N/A,#N/A,FALSE,"RV-Récap";#N/A,#N/A,FALSE,"FAI-VIT-MEN-P_ext"}</definedName>
    <definedName name="wrn.CES." localSheetId="8" hidden="1">{#N/A,#N/A,FALSE,"ETANC";#N/A,#N/A,FALSE,"PLO";#N/A,#N/A,FALSE,"ELEC";#N/A,#N/A,FALSE,"P-int-B";#N/A,#N/A,FALSE,"P-int-Récap";#N/A,#N/A,FALSE,"Rev-sol";#N/A,#N/A,FALSE,"RV-Récap";#N/A,#N/A,FALSE,"FAI-VIT-MEN-P_ext"}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localSheetId="0" hidden="1">{#N/A,#N/A,FALSE,"Etanchéité";#N/A,#N/A,FALSE,"Etanchéité2";#N/A,#N/A,FALSE,"MOI";#N/A,#N/A,FALSE,"Encadrement"}</definedName>
    <definedName name="wrn.Etanchéité." localSheetId="1" hidden="1">{#N/A,#N/A,FALSE,"Etanchéité";#N/A,#N/A,FALSE,"Etanchéité2";#N/A,#N/A,FALSE,"MOI";#N/A,#N/A,FALSE,"Encadrement"}</definedName>
    <definedName name="wrn.Etanchéité." localSheetId="2" hidden="1">{#N/A,#N/A,FALSE,"Etanchéité";#N/A,#N/A,FALSE,"Etanchéité2";#N/A,#N/A,FALSE,"MOI";#N/A,#N/A,FALSE,"Encadrement"}</definedName>
    <definedName name="wrn.Etanchéité." localSheetId="3" hidden="1">{#N/A,#N/A,FALSE,"Etanchéité";#N/A,#N/A,FALSE,"Etanchéité2";#N/A,#N/A,FALSE,"MOI";#N/A,#N/A,FALSE,"Encadrement"}</definedName>
    <definedName name="wrn.Etanchéité." localSheetId="4" hidden="1">{#N/A,#N/A,FALSE,"Etanchéité";#N/A,#N/A,FALSE,"Etanchéité2";#N/A,#N/A,FALSE,"MOI";#N/A,#N/A,FALSE,"Encadrement"}</definedName>
    <definedName name="wrn.Etanchéité." localSheetId="5" hidden="1">{#N/A,#N/A,FALSE,"Etanchéité";#N/A,#N/A,FALSE,"Etanchéité2";#N/A,#N/A,FALSE,"MOI";#N/A,#N/A,FALSE,"Encadrement"}</definedName>
    <definedName name="wrn.Etanchéité." localSheetId="6" hidden="1">{#N/A,#N/A,FALSE,"Etanchéité";#N/A,#N/A,FALSE,"Etanchéité2";#N/A,#N/A,FALSE,"MOI";#N/A,#N/A,FALSE,"Encadrement"}</definedName>
    <definedName name="wrn.Etanchéité." localSheetId="7" hidden="1">{#N/A,#N/A,FALSE,"Etanchéité";#N/A,#N/A,FALSE,"Etanchéité2";#N/A,#N/A,FALSE,"MOI";#N/A,#N/A,FALSE,"Encadrement"}</definedName>
    <definedName name="wrn.Etanchéité." localSheetId="8" hidden="1">{#N/A,#N/A,FALSE,"Etanchéité";#N/A,#N/A,FALSE,"Etanchéité2";#N/A,#N/A,FALSE,"MOI";#N/A,#N/A,FALSE,"Encadrement"}</definedName>
    <definedName name="wrn.Etanchéité." hidden="1">{#N/A,#N/A,FALSE,"Etanchéité";#N/A,#N/A,FALSE,"Etanchéité2";#N/A,#N/A,FALSE,"MOI";#N/A,#N/A,FALSE,"Encadrement"}</definedName>
    <definedName name="wrn.Investissement._.Matériel." localSheetId="7" hidden="1">{#N/A,#N/A,FALSE,"Classe";#N/A,#N/A,FALSE,"Destination";#N/A,#N/A,FALSE,"Consolidation"}</definedName>
    <definedName name="wrn.Investissement._.Matériel." hidden="1">{#N/A,#N/A,FALSE,"Classe";#N/A,#N/A,FALSE,"Destination";#N/A,#N/A,FALSE,"Consolidation"}</definedName>
    <definedName name="wrn.Menuiserie._.extérieure." localSheetId="0" hidden="1">{#N/A,#N/A,FALSE,"Menuiserie extérieure";#N/A,#N/A,FALSE,"Menuiserie ext.";#N/A,#N/A,FALSE,"MOI";#N/A,#N/A,FALSE,"Encadrement";#N/A,#N/A,FALSE,"Fournitures"}</definedName>
    <definedName name="wrn.Menuiserie._.extérieure." localSheetId="1" hidden="1">{#N/A,#N/A,FALSE,"Menuiserie extérieure";#N/A,#N/A,FALSE,"Menuiserie ext.";#N/A,#N/A,FALSE,"MOI";#N/A,#N/A,FALSE,"Encadrement";#N/A,#N/A,FALSE,"Fournitures"}</definedName>
    <definedName name="wrn.Menuiserie._.extérieure." localSheetId="2" hidden="1">{#N/A,#N/A,FALSE,"Menuiserie extérieure";#N/A,#N/A,FALSE,"Menuiserie ext.";#N/A,#N/A,FALSE,"MOI";#N/A,#N/A,FALSE,"Encadrement";#N/A,#N/A,FALSE,"Fournitures"}</definedName>
    <definedName name="wrn.Menuiserie._.extérieure." localSheetId="3" hidden="1">{#N/A,#N/A,FALSE,"Menuiserie extérieure";#N/A,#N/A,FALSE,"Menuiserie ext.";#N/A,#N/A,FALSE,"MOI";#N/A,#N/A,FALSE,"Encadrement";#N/A,#N/A,FALSE,"Fournitures"}</definedName>
    <definedName name="wrn.Menuiserie._.extérieure." localSheetId="4" hidden="1">{#N/A,#N/A,FALSE,"Menuiserie extérieure";#N/A,#N/A,FALSE,"Menuiserie ext.";#N/A,#N/A,FALSE,"MOI";#N/A,#N/A,FALSE,"Encadrement";#N/A,#N/A,FALSE,"Fournitures"}</definedName>
    <definedName name="wrn.Menuiserie._.extérieure." localSheetId="5" hidden="1">{#N/A,#N/A,FALSE,"Menuiserie extérieure";#N/A,#N/A,FALSE,"Menuiserie ext.";#N/A,#N/A,FALSE,"MOI";#N/A,#N/A,FALSE,"Encadrement";#N/A,#N/A,FALSE,"Fournitures"}</definedName>
    <definedName name="wrn.Menuiserie._.extérieure." localSheetId="6" hidden="1">{#N/A,#N/A,FALSE,"Menuiserie extérieure";#N/A,#N/A,FALSE,"Menuiserie ext.";#N/A,#N/A,FALSE,"MOI";#N/A,#N/A,FALSE,"Encadrement";#N/A,#N/A,FALSE,"Fournitures"}</definedName>
    <definedName name="wrn.Menuiserie._.extérieure." localSheetId="7" hidden="1">{#N/A,#N/A,FALSE,"Menuiserie extérieure";#N/A,#N/A,FALSE,"Menuiserie ext.";#N/A,#N/A,FALSE,"MOI";#N/A,#N/A,FALSE,"Encadrement";#N/A,#N/A,FALSE,"Fournitures"}</definedName>
    <definedName name="wrn.Menuiserie._.extérieure." localSheetId="8" hidden="1">{#N/A,#N/A,FALSE,"Menuiserie extérieure";#N/A,#N/A,FALSE,"Menuiserie ext.";#N/A,#N/A,FALSE,"MOI";#N/A,#N/A,FALSE,"Encadrement";#N/A,#N/A,FALSE,"Fournitures"}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localSheetId="0" hidden="1">{#N/A,#N/A,FALSE,"R.D. Maroc";#N/A,#N/A,FALSE,"Colle";#N/A,#N/A,FALSE,"Métaci"}</definedName>
    <definedName name="wrn.METACI." localSheetId="1" hidden="1">{#N/A,#N/A,FALSE,"R.D. Maroc";#N/A,#N/A,FALSE,"Colle";#N/A,#N/A,FALSE,"Métaci"}</definedName>
    <definedName name="wrn.METACI." localSheetId="2" hidden="1">{#N/A,#N/A,FALSE,"R.D. Maroc";#N/A,#N/A,FALSE,"Colle";#N/A,#N/A,FALSE,"Métaci"}</definedName>
    <definedName name="wrn.METACI." localSheetId="3" hidden="1">{#N/A,#N/A,FALSE,"R.D. Maroc";#N/A,#N/A,FALSE,"Colle";#N/A,#N/A,FALSE,"Métaci"}</definedName>
    <definedName name="wrn.METACI." localSheetId="4" hidden="1">{#N/A,#N/A,FALSE,"R.D. Maroc";#N/A,#N/A,FALSE,"Colle";#N/A,#N/A,FALSE,"Métaci"}</definedName>
    <definedName name="wrn.METACI." localSheetId="5" hidden="1">{#N/A,#N/A,FALSE,"R.D. Maroc";#N/A,#N/A,FALSE,"Colle";#N/A,#N/A,FALSE,"Métaci"}</definedName>
    <definedName name="wrn.METACI." localSheetId="6" hidden="1">{#N/A,#N/A,FALSE,"R.D. Maroc";#N/A,#N/A,FALSE,"Colle";#N/A,#N/A,FALSE,"Métaci"}</definedName>
    <definedName name="wrn.METACI." localSheetId="7" hidden="1">{#N/A,#N/A,FALSE,"R.D. Maroc";#N/A,#N/A,FALSE,"Colle";#N/A,#N/A,FALSE,"Métaci"}</definedName>
    <definedName name="wrn.METACI." localSheetId="8" hidden="1">{#N/A,#N/A,FALSE,"R.D. Maroc";#N/A,#N/A,FALSE,"Colle";#N/A,#N/A,FALSE,"Métaci"}</definedName>
    <definedName name="wrn.METACI." hidden="1">{#N/A,#N/A,FALSE,"R.D. Maroc";#N/A,#N/A,FALSE,"Colle";#N/A,#N/A,FALSE,"Métaci"}</definedName>
    <definedName name="wrn.Situation." localSheetId="0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1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2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3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4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5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6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7" hidden="1">{#N/A,#N/A,FALSE,"DH";#N/A,#N/A,FALSE,"FFR";#N/A,#N/A,FALSE,"AVDH";#N/A,#N/A,FALSE,"AVFFR";#N/A,#N/A,FALSE,"RevDH";#N/A,#N/A,FALSE,"RevFFR";#N/A,#N/A,FALSE,"Base-App-Dh";#N/A,#N/A,FALSE,"Base-App-FF"}</definedName>
    <definedName name="wrn.Situation." localSheetId="8" hidden="1">{#N/A,#N/A,FALSE,"DH";#N/A,#N/A,FALSE,"FFR";#N/A,#N/A,FALSE,"AVDH";#N/A,#N/A,FALSE,"AVFFR";#N/A,#N/A,FALSE,"RevDH";#N/A,#N/A,FALSE,"RevFFR";#N/A,#N/A,FALSE,"Base-App-Dh";#N/A,#N/A,FALSE,"Base-App-FF"}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localSheetId="0" hidden="1">{#N/A,#N/A,FALSE,"VRD-F-DH";#N/A,#N/A,FALSE,"VRD-F-FF";#N/A,#N/A,FALSE,"VRD-T";#N/A,#N/A,FALSE,"RevVRD-DH";#N/A,#N/A,FALSE,"RevVRD-FF";#N/A,#N/A,FALSE,"Base-App-Dh";#N/A,#N/A,FALSE,"Base-App-FF"}</definedName>
    <definedName name="wrn.VRD." localSheetId="1" hidden="1">{#N/A,#N/A,FALSE,"VRD-F-DH";#N/A,#N/A,FALSE,"VRD-F-FF";#N/A,#N/A,FALSE,"VRD-T";#N/A,#N/A,FALSE,"RevVRD-DH";#N/A,#N/A,FALSE,"RevVRD-FF";#N/A,#N/A,FALSE,"Base-App-Dh";#N/A,#N/A,FALSE,"Base-App-FF"}</definedName>
    <definedName name="wrn.VRD." localSheetId="2" hidden="1">{#N/A,#N/A,FALSE,"VRD-F-DH";#N/A,#N/A,FALSE,"VRD-F-FF";#N/A,#N/A,FALSE,"VRD-T";#N/A,#N/A,FALSE,"RevVRD-DH";#N/A,#N/A,FALSE,"RevVRD-FF";#N/A,#N/A,FALSE,"Base-App-Dh";#N/A,#N/A,FALSE,"Base-App-FF"}</definedName>
    <definedName name="wrn.VRD." localSheetId="3" hidden="1">{#N/A,#N/A,FALSE,"VRD-F-DH";#N/A,#N/A,FALSE,"VRD-F-FF";#N/A,#N/A,FALSE,"VRD-T";#N/A,#N/A,FALSE,"RevVRD-DH";#N/A,#N/A,FALSE,"RevVRD-FF";#N/A,#N/A,FALSE,"Base-App-Dh";#N/A,#N/A,FALSE,"Base-App-FF"}</definedName>
    <definedName name="wrn.VRD." localSheetId="4" hidden="1">{#N/A,#N/A,FALSE,"VRD-F-DH";#N/A,#N/A,FALSE,"VRD-F-FF";#N/A,#N/A,FALSE,"VRD-T";#N/A,#N/A,FALSE,"RevVRD-DH";#N/A,#N/A,FALSE,"RevVRD-FF";#N/A,#N/A,FALSE,"Base-App-Dh";#N/A,#N/A,FALSE,"Base-App-FF"}</definedName>
    <definedName name="wrn.VRD." localSheetId="5" hidden="1">{#N/A,#N/A,FALSE,"VRD-F-DH";#N/A,#N/A,FALSE,"VRD-F-FF";#N/A,#N/A,FALSE,"VRD-T";#N/A,#N/A,FALSE,"RevVRD-DH";#N/A,#N/A,FALSE,"RevVRD-FF";#N/A,#N/A,FALSE,"Base-App-Dh";#N/A,#N/A,FALSE,"Base-App-FF"}</definedName>
    <definedName name="wrn.VRD." localSheetId="6" hidden="1">{#N/A,#N/A,FALSE,"VRD-F-DH";#N/A,#N/A,FALSE,"VRD-F-FF";#N/A,#N/A,FALSE,"VRD-T";#N/A,#N/A,FALSE,"RevVRD-DH";#N/A,#N/A,FALSE,"RevVRD-FF";#N/A,#N/A,FALSE,"Base-App-Dh";#N/A,#N/A,FALSE,"Base-App-FF"}</definedName>
    <definedName name="wrn.VRD." localSheetId="7" hidden="1">{#N/A,#N/A,FALSE,"VRD-F-DH";#N/A,#N/A,FALSE,"VRD-F-FF";#N/A,#N/A,FALSE,"VRD-T";#N/A,#N/A,FALSE,"RevVRD-DH";#N/A,#N/A,FALSE,"RevVRD-FF";#N/A,#N/A,FALSE,"Base-App-Dh";#N/A,#N/A,FALSE,"Base-App-FF"}</definedName>
    <definedName name="wrn.VRD." localSheetId="8" hidden="1">{#N/A,#N/A,FALSE,"VRD-F-DH";#N/A,#N/A,FALSE,"VRD-F-FF";#N/A,#N/A,FALSE,"VRD-T";#N/A,#N/A,FALSE,"RevVRD-DH";#N/A,#N/A,FALSE,"RevVRD-FF";#N/A,#N/A,FALSE,"Base-App-Dh";#N/A,#N/A,FALSE,"Base-App-FF"}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localSheetId="7" hidden="1">{#N/A,#N/A,FALSE,"Classe";#N/A,#N/A,FALSE,"Destination";#N/A,#N/A,FALSE,"Consolidation"}</definedName>
    <definedName name="YT" hidden="1">{#N/A,#N/A,FALSE,"Classe";#N/A,#N/A,FALSE,"Destination";#N/A,#N/A,FALSE,"Consolidation"}</definedName>
    <definedName name="YTR" localSheetId="7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localSheetId="7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localSheetId="0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2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3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4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5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6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7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localSheetId="8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localSheetId="7" hidden="1">{#N/A,#N/A,FALSE,"Classe";#N/A,#N/A,FALSE,"Destination";#N/A,#N/A,FALSE,"Consolidation"}</definedName>
    <definedName name="ZE" hidden="1">{#N/A,#N/A,FALSE,"Classe";#N/A,#N/A,FALSE,"Destination";#N/A,#N/A,FALSE,"Consolidation"}</definedName>
    <definedName name="ZS" localSheetId="7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localSheetId="7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localSheetId="7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localSheetId="0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2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3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4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5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6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7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localSheetId="8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 concurrentCalc="0"/>
</workbook>
</file>

<file path=xl/calcChain.xml><?xml version="1.0" encoding="utf-8"?>
<calcChain xmlns="http://schemas.openxmlformats.org/spreadsheetml/2006/main">
  <c r="V168" i="47" l="1"/>
  <c r="N237" i="47"/>
  <c r="U237" i="47"/>
  <c r="U238" i="47"/>
  <c r="N235" i="47"/>
  <c r="U235" i="47"/>
  <c r="U236" i="47"/>
  <c r="N233" i="47"/>
  <c r="U233" i="47"/>
  <c r="U234" i="47"/>
  <c r="N231" i="47"/>
  <c r="U231" i="47"/>
  <c r="U232" i="47"/>
  <c r="N229" i="47"/>
  <c r="U229" i="47"/>
  <c r="U230" i="47"/>
  <c r="N227" i="47"/>
  <c r="U227" i="47"/>
  <c r="U228" i="47"/>
  <c r="N225" i="47"/>
  <c r="U225" i="47"/>
  <c r="U226" i="47"/>
  <c r="N223" i="47"/>
  <c r="U223" i="47"/>
  <c r="U224" i="47"/>
  <c r="N221" i="47"/>
  <c r="U221" i="47"/>
  <c r="U222" i="47"/>
  <c r="N219" i="47"/>
  <c r="U219" i="47"/>
  <c r="U220" i="47"/>
  <c r="N217" i="47"/>
  <c r="U217" i="47"/>
  <c r="U218" i="47"/>
  <c r="N215" i="47"/>
  <c r="U215" i="47"/>
  <c r="U216" i="47"/>
  <c r="N213" i="47"/>
  <c r="U213" i="47"/>
  <c r="U214" i="47"/>
  <c r="N211" i="47"/>
  <c r="U211" i="47"/>
  <c r="U212" i="47"/>
  <c r="N209" i="47"/>
  <c r="U209" i="47"/>
  <c r="U210" i="47"/>
  <c r="N207" i="47"/>
  <c r="U207" i="47"/>
  <c r="U208" i="47"/>
  <c r="U239" i="47"/>
  <c r="N203" i="47"/>
  <c r="U203" i="47"/>
  <c r="U204" i="47"/>
  <c r="N201" i="47"/>
  <c r="U201" i="47"/>
  <c r="U202" i="47"/>
  <c r="N199" i="47"/>
  <c r="U199" i="47"/>
  <c r="U200" i="47"/>
  <c r="C10" i="47"/>
  <c r="N196" i="47"/>
  <c r="U196" i="47"/>
  <c r="U198" i="47"/>
  <c r="U205" i="47"/>
  <c r="N189" i="47"/>
  <c r="U189" i="47"/>
  <c r="U190" i="47"/>
  <c r="N187" i="47"/>
  <c r="U187" i="47"/>
  <c r="U188" i="47"/>
  <c r="N185" i="47"/>
  <c r="U185" i="47"/>
  <c r="U186" i="47"/>
  <c r="N183" i="47"/>
  <c r="U183" i="47"/>
  <c r="U184" i="47"/>
  <c r="N181" i="47"/>
  <c r="U181" i="47"/>
  <c r="U182" i="47"/>
  <c r="N179" i="47"/>
  <c r="U179" i="47"/>
  <c r="U180" i="47"/>
  <c r="N174" i="47"/>
  <c r="U174" i="47"/>
  <c r="N175" i="47"/>
  <c r="U175" i="47"/>
  <c r="N176" i="47"/>
  <c r="U176" i="47"/>
  <c r="N177" i="47"/>
  <c r="U177" i="47"/>
  <c r="U178" i="47"/>
  <c r="N172" i="47"/>
  <c r="U172" i="47"/>
  <c r="U173" i="47"/>
  <c r="N170" i="47"/>
  <c r="U170" i="47"/>
  <c r="U171" i="47"/>
  <c r="N168" i="47"/>
  <c r="U168" i="47"/>
  <c r="U169" i="47"/>
  <c r="N166" i="47"/>
  <c r="U166" i="47"/>
  <c r="U167" i="47"/>
  <c r="N164" i="47"/>
  <c r="U164" i="47"/>
  <c r="U165" i="47"/>
  <c r="N162" i="47"/>
  <c r="U162" i="47"/>
  <c r="U163" i="47"/>
  <c r="N160" i="47"/>
  <c r="U160" i="47"/>
  <c r="U161" i="47"/>
  <c r="N158" i="47"/>
  <c r="U158" i="47"/>
  <c r="U159" i="47"/>
  <c r="N156" i="47"/>
  <c r="U156" i="47"/>
  <c r="U157" i="47"/>
  <c r="N154" i="47"/>
  <c r="U154" i="47"/>
  <c r="U155" i="47"/>
  <c r="N152" i="47"/>
  <c r="U152" i="47"/>
  <c r="U153" i="47"/>
  <c r="N150" i="47"/>
  <c r="U150" i="47"/>
  <c r="U151" i="47"/>
  <c r="N148" i="47"/>
  <c r="U148" i="47"/>
  <c r="U149" i="47"/>
  <c r="N146" i="47"/>
  <c r="U146" i="47"/>
  <c r="U147" i="47"/>
  <c r="N144" i="47"/>
  <c r="U144" i="47"/>
  <c r="U145" i="47"/>
  <c r="N142" i="47"/>
  <c r="U142" i="47"/>
  <c r="U143" i="47"/>
  <c r="N140" i="47"/>
  <c r="U140" i="47"/>
  <c r="U141" i="47"/>
  <c r="N138" i="47"/>
  <c r="U138" i="47"/>
  <c r="U139" i="47"/>
  <c r="N136" i="47"/>
  <c r="U136" i="47"/>
  <c r="U137" i="47"/>
  <c r="N134" i="47"/>
  <c r="U134" i="47"/>
  <c r="U135" i="47"/>
  <c r="N132" i="47"/>
  <c r="U132" i="47"/>
  <c r="U133" i="47"/>
  <c r="N130" i="47"/>
  <c r="U130" i="47"/>
  <c r="U131" i="47"/>
  <c r="N128" i="47"/>
  <c r="U128" i="47"/>
  <c r="U129" i="47"/>
  <c r="N126" i="47"/>
  <c r="U126" i="47"/>
  <c r="U127" i="47"/>
  <c r="N121" i="47"/>
  <c r="U121" i="47"/>
  <c r="N122" i="47"/>
  <c r="U122" i="47"/>
  <c r="N123" i="47"/>
  <c r="U123" i="47"/>
  <c r="N124" i="47"/>
  <c r="U124" i="47"/>
  <c r="U125" i="47"/>
  <c r="U191" i="47"/>
  <c r="U240" i="47"/>
  <c r="T237" i="47"/>
  <c r="T238" i="47"/>
  <c r="T235" i="47"/>
  <c r="T236" i="47"/>
  <c r="T233" i="47"/>
  <c r="T234" i="47"/>
  <c r="T231" i="47"/>
  <c r="T232" i="47"/>
  <c r="T229" i="47"/>
  <c r="T230" i="47"/>
  <c r="T227" i="47"/>
  <c r="T228" i="47"/>
  <c r="T225" i="47"/>
  <c r="T226" i="47"/>
  <c r="T223" i="47"/>
  <c r="T224" i="47"/>
  <c r="T221" i="47"/>
  <c r="T222" i="47"/>
  <c r="T219" i="47"/>
  <c r="T220" i="47"/>
  <c r="T217" i="47"/>
  <c r="T218" i="47"/>
  <c r="T215" i="47"/>
  <c r="T216" i="47"/>
  <c r="T213" i="47"/>
  <c r="T214" i="47"/>
  <c r="T211" i="47"/>
  <c r="T212" i="47"/>
  <c r="T209" i="47"/>
  <c r="T210" i="47"/>
  <c r="T207" i="47"/>
  <c r="T208" i="47"/>
  <c r="T239" i="47"/>
  <c r="T203" i="47"/>
  <c r="T204" i="47"/>
  <c r="T201" i="47"/>
  <c r="T202" i="47"/>
  <c r="T199" i="47"/>
  <c r="T200" i="47"/>
  <c r="T196" i="47"/>
  <c r="T198" i="47"/>
  <c r="T205" i="47"/>
  <c r="T189" i="47"/>
  <c r="T190" i="47"/>
  <c r="T187" i="47"/>
  <c r="T188" i="47"/>
  <c r="T185" i="47"/>
  <c r="T186" i="47"/>
  <c r="T183" i="47"/>
  <c r="T184" i="47"/>
  <c r="T181" i="47"/>
  <c r="T182" i="47"/>
  <c r="T179" i="47"/>
  <c r="T180" i="47"/>
  <c r="T174" i="47"/>
  <c r="T175" i="47"/>
  <c r="T176" i="47"/>
  <c r="T177" i="47"/>
  <c r="T178" i="47"/>
  <c r="T172" i="47"/>
  <c r="T173" i="47"/>
  <c r="T170" i="47"/>
  <c r="T171" i="47"/>
  <c r="T168" i="47"/>
  <c r="T169" i="47"/>
  <c r="T166" i="47"/>
  <c r="T167" i="47"/>
  <c r="T164" i="47"/>
  <c r="T165" i="47"/>
  <c r="T162" i="47"/>
  <c r="T163" i="47"/>
  <c r="T160" i="47"/>
  <c r="T161" i="47"/>
  <c r="T158" i="47"/>
  <c r="T159" i="47"/>
  <c r="T156" i="47"/>
  <c r="T157" i="47"/>
  <c r="T154" i="47"/>
  <c r="T155" i="47"/>
  <c r="T152" i="47"/>
  <c r="T153" i="47"/>
  <c r="T150" i="47"/>
  <c r="T151" i="47"/>
  <c r="T148" i="47"/>
  <c r="T149" i="47"/>
  <c r="T146" i="47"/>
  <c r="T147" i="47"/>
  <c r="T144" i="47"/>
  <c r="T145" i="47"/>
  <c r="T142" i="47"/>
  <c r="T143" i="47"/>
  <c r="T140" i="47"/>
  <c r="T141" i="47"/>
  <c r="T138" i="47"/>
  <c r="T139" i="47"/>
  <c r="T136" i="47"/>
  <c r="T137" i="47"/>
  <c r="T134" i="47"/>
  <c r="T135" i="47"/>
  <c r="T132" i="47"/>
  <c r="T133" i="47"/>
  <c r="T130" i="47"/>
  <c r="T131" i="47"/>
  <c r="T128" i="47"/>
  <c r="T129" i="47"/>
  <c r="T126" i="47"/>
  <c r="T127" i="47"/>
  <c r="T121" i="47"/>
  <c r="T122" i="47"/>
  <c r="T123" i="47"/>
  <c r="T124" i="47"/>
  <c r="T125" i="47"/>
  <c r="T191" i="47"/>
  <c r="T240" i="47"/>
  <c r="S237" i="47"/>
  <c r="S238" i="47"/>
  <c r="S235" i="47"/>
  <c r="S236" i="47"/>
  <c r="S233" i="47"/>
  <c r="S234" i="47"/>
  <c r="S231" i="47"/>
  <c r="S232" i="47"/>
  <c r="S229" i="47"/>
  <c r="S230" i="47"/>
  <c r="S227" i="47"/>
  <c r="S228" i="47"/>
  <c r="S225" i="47"/>
  <c r="S226" i="47"/>
  <c r="S223" i="47"/>
  <c r="S224" i="47"/>
  <c r="S221" i="47"/>
  <c r="S222" i="47"/>
  <c r="S219" i="47"/>
  <c r="S220" i="47"/>
  <c r="S217" i="47"/>
  <c r="S218" i="47"/>
  <c r="S215" i="47"/>
  <c r="S216" i="47"/>
  <c r="S213" i="47"/>
  <c r="S214" i="47"/>
  <c r="S211" i="47"/>
  <c r="S212" i="47"/>
  <c r="S209" i="47"/>
  <c r="S210" i="47"/>
  <c r="S207" i="47"/>
  <c r="S208" i="47"/>
  <c r="S239" i="47"/>
  <c r="S203" i="47"/>
  <c r="S204" i="47"/>
  <c r="S201" i="47"/>
  <c r="S202" i="47"/>
  <c r="S199" i="47"/>
  <c r="S200" i="47"/>
  <c r="S196" i="47"/>
  <c r="S198" i="47"/>
  <c r="S205" i="47"/>
  <c r="S189" i="47"/>
  <c r="S190" i="47"/>
  <c r="S187" i="47"/>
  <c r="S188" i="47"/>
  <c r="S185" i="47"/>
  <c r="S186" i="47"/>
  <c r="S183" i="47"/>
  <c r="S184" i="47"/>
  <c r="S181" i="47"/>
  <c r="S182" i="47"/>
  <c r="S179" i="47"/>
  <c r="S180" i="47"/>
  <c r="S174" i="47"/>
  <c r="S175" i="47"/>
  <c r="S176" i="47"/>
  <c r="S177" i="47"/>
  <c r="S178" i="47"/>
  <c r="S172" i="47"/>
  <c r="S173" i="47"/>
  <c r="S170" i="47"/>
  <c r="S171" i="47"/>
  <c r="S168" i="47"/>
  <c r="S169" i="47"/>
  <c r="S166" i="47"/>
  <c r="S167" i="47"/>
  <c r="S164" i="47"/>
  <c r="S165" i="47"/>
  <c r="S162" i="47"/>
  <c r="S163" i="47"/>
  <c r="S160" i="47"/>
  <c r="S161" i="47"/>
  <c r="S158" i="47"/>
  <c r="S159" i="47"/>
  <c r="S156" i="47"/>
  <c r="S157" i="47"/>
  <c r="S154" i="47"/>
  <c r="S155" i="47"/>
  <c r="S152" i="47"/>
  <c r="S153" i="47"/>
  <c r="S150" i="47"/>
  <c r="S151" i="47"/>
  <c r="S148" i="47"/>
  <c r="S149" i="47"/>
  <c r="S146" i="47"/>
  <c r="S147" i="47"/>
  <c r="S144" i="47"/>
  <c r="S145" i="47"/>
  <c r="S142" i="47"/>
  <c r="S143" i="47"/>
  <c r="S140" i="47"/>
  <c r="S141" i="47"/>
  <c r="S138" i="47"/>
  <c r="S139" i="47"/>
  <c r="S136" i="47"/>
  <c r="S137" i="47"/>
  <c r="S134" i="47"/>
  <c r="S135" i="47"/>
  <c r="S132" i="47"/>
  <c r="S133" i="47"/>
  <c r="S130" i="47"/>
  <c r="S131" i="47"/>
  <c r="S128" i="47"/>
  <c r="S129" i="47"/>
  <c r="S126" i="47"/>
  <c r="S127" i="47"/>
  <c r="S121" i="47"/>
  <c r="S122" i="47"/>
  <c r="S123" i="47"/>
  <c r="S124" i="47"/>
  <c r="S125" i="47"/>
  <c r="S191" i="47"/>
  <c r="S240" i="47"/>
  <c r="R237" i="47"/>
  <c r="R238" i="47"/>
  <c r="R235" i="47"/>
  <c r="R236" i="47"/>
  <c r="R233" i="47"/>
  <c r="R234" i="47"/>
  <c r="R231" i="47"/>
  <c r="R232" i="47"/>
  <c r="R229" i="47"/>
  <c r="R230" i="47"/>
  <c r="R227" i="47"/>
  <c r="R228" i="47"/>
  <c r="R225" i="47"/>
  <c r="R226" i="47"/>
  <c r="R223" i="47"/>
  <c r="R224" i="47"/>
  <c r="R221" i="47"/>
  <c r="R222" i="47"/>
  <c r="R219" i="47"/>
  <c r="R220" i="47"/>
  <c r="R217" i="47"/>
  <c r="R218" i="47"/>
  <c r="R215" i="47"/>
  <c r="R216" i="47"/>
  <c r="R213" i="47"/>
  <c r="R214" i="47"/>
  <c r="R211" i="47"/>
  <c r="R212" i="47"/>
  <c r="R209" i="47"/>
  <c r="R210" i="47"/>
  <c r="R207" i="47"/>
  <c r="R208" i="47"/>
  <c r="R239" i="47"/>
  <c r="R203" i="47"/>
  <c r="R204" i="47"/>
  <c r="R201" i="47"/>
  <c r="R202" i="47"/>
  <c r="R199" i="47"/>
  <c r="R200" i="47"/>
  <c r="R196" i="47"/>
  <c r="R198" i="47"/>
  <c r="R205" i="47"/>
  <c r="R189" i="47"/>
  <c r="R190" i="47"/>
  <c r="R187" i="47"/>
  <c r="R188" i="47"/>
  <c r="R185" i="47"/>
  <c r="R186" i="47"/>
  <c r="R183" i="47"/>
  <c r="R184" i="47"/>
  <c r="R181" i="47"/>
  <c r="R182" i="47"/>
  <c r="R179" i="47"/>
  <c r="R180" i="47"/>
  <c r="R174" i="47"/>
  <c r="R175" i="47"/>
  <c r="R176" i="47"/>
  <c r="R177" i="47"/>
  <c r="R178" i="47"/>
  <c r="R172" i="47"/>
  <c r="R173" i="47"/>
  <c r="R170" i="47"/>
  <c r="R171" i="47"/>
  <c r="R168" i="47"/>
  <c r="R169" i="47"/>
  <c r="R166" i="47"/>
  <c r="R167" i="47"/>
  <c r="R164" i="47"/>
  <c r="R165" i="47"/>
  <c r="R162" i="47"/>
  <c r="R163" i="47"/>
  <c r="R160" i="47"/>
  <c r="R161" i="47"/>
  <c r="R158" i="47"/>
  <c r="R159" i="47"/>
  <c r="R156" i="47"/>
  <c r="R157" i="47"/>
  <c r="R154" i="47"/>
  <c r="R155" i="47"/>
  <c r="R152" i="47"/>
  <c r="R153" i="47"/>
  <c r="R150" i="47"/>
  <c r="R151" i="47"/>
  <c r="R148" i="47"/>
  <c r="R149" i="47"/>
  <c r="R146" i="47"/>
  <c r="R147" i="47"/>
  <c r="R144" i="47"/>
  <c r="R145" i="47"/>
  <c r="R142" i="47"/>
  <c r="R143" i="47"/>
  <c r="R140" i="47"/>
  <c r="R141" i="47"/>
  <c r="R138" i="47"/>
  <c r="R139" i="47"/>
  <c r="R136" i="47"/>
  <c r="R137" i="47"/>
  <c r="R134" i="47"/>
  <c r="R135" i="47"/>
  <c r="R132" i="47"/>
  <c r="R133" i="47"/>
  <c r="R130" i="47"/>
  <c r="R131" i="47"/>
  <c r="R128" i="47"/>
  <c r="R129" i="47"/>
  <c r="R126" i="47"/>
  <c r="R127" i="47"/>
  <c r="R121" i="47"/>
  <c r="R122" i="47"/>
  <c r="R123" i="47"/>
  <c r="R124" i="47"/>
  <c r="R125" i="47"/>
  <c r="R191" i="47"/>
  <c r="R240" i="47"/>
  <c r="Q240" i="47"/>
  <c r="P237" i="47"/>
  <c r="P238" i="47"/>
  <c r="P239" i="47"/>
  <c r="P203" i="47"/>
  <c r="P204" i="47"/>
  <c r="P205" i="47"/>
  <c r="P189" i="47"/>
  <c r="P190" i="47"/>
  <c r="P191" i="47"/>
  <c r="P240" i="47"/>
  <c r="O240" i="47"/>
  <c r="F240" i="47"/>
  <c r="G240" i="47"/>
  <c r="H240" i="47"/>
  <c r="I240" i="47"/>
  <c r="J240" i="47"/>
  <c r="K240" i="47"/>
  <c r="E240" i="47"/>
  <c r="E205" i="47"/>
  <c r="M1" i="47"/>
  <c r="Q239" i="47"/>
  <c r="F239" i="47"/>
  <c r="G239" i="47"/>
  <c r="H239" i="47"/>
  <c r="I239" i="47"/>
  <c r="J239" i="47"/>
  <c r="K239" i="47"/>
  <c r="E239" i="47"/>
  <c r="K238" i="47"/>
  <c r="H238" i="47"/>
  <c r="E238" i="47"/>
  <c r="V237" i="47"/>
  <c r="V238" i="47"/>
  <c r="G237" i="47"/>
  <c r="G238" i="47"/>
  <c r="F237" i="47"/>
  <c r="I237" i="47"/>
  <c r="E235" i="47"/>
  <c r="E233" i="47"/>
  <c r="F233" i="47"/>
  <c r="E231" i="47"/>
  <c r="G231" i="47"/>
  <c r="G232" i="47"/>
  <c r="E229" i="47"/>
  <c r="E230" i="47"/>
  <c r="E227" i="47"/>
  <c r="F227" i="47"/>
  <c r="I227" i="47"/>
  <c r="E225" i="47"/>
  <c r="G225" i="47"/>
  <c r="G226" i="47"/>
  <c r="E223" i="47"/>
  <c r="G223" i="47"/>
  <c r="G224" i="47"/>
  <c r="E221" i="47"/>
  <c r="E222" i="47"/>
  <c r="E219" i="47"/>
  <c r="E220" i="47"/>
  <c r="E217" i="47"/>
  <c r="E218" i="47"/>
  <c r="E215" i="47"/>
  <c r="E216" i="47"/>
  <c r="E213" i="47"/>
  <c r="E211" i="47"/>
  <c r="G211" i="47"/>
  <c r="G212" i="47"/>
  <c r="E209" i="47"/>
  <c r="E210" i="47"/>
  <c r="E207" i="47"/>
  <c r="K224" i="47"/>
  <c r="H224" i="47"/>
  <c r="E224" i="47"/>
  <c r="V223" i="47"/>
  <c r="V224" i="47"/>
  <c r="F223" i="47"/>
  <c r="K222" i="47"/>
  <c r="H222" i="47"/>
  <c r="G221" i="47"/>
  <c r="G222" i="47"/>
  <c r="F221" i="47"/>
  <c r="F222" i="47"/>
  <c r="K220" i="47"/>
  <c r="H220" i="47"/>
  <c r="V219" i="47"/>
  <c r="V220" i="47"/>
  <c r="V235" i="47"/>
  <c r="V236" i="47"/>
  <c r="V233" i="47"/>
  <c r="V234" i="47"/>
  <c r="V231" i="47"/>
  <c r="V232" i="47"/>
  <c r="V229" i="47"/>
  <c r="V230" i="47"/>
  <c r="V227" i="47"/>
  <c r="V228" i="47"/>
  <c r="V225" i="47"/>
  <c r="V226" i="47"/>
  <c r="V221" i="47"/>
  <c r="V222" i="47"/>
  <c r="V217" i="47"/>
  <c r="V218" i="47"/>
  <c r="V215" i="47"/>
  <c r="V216" i="47"/>
  <c r="V213" i="47"/>
  <c r="V214" i="47"/>
  <c r="V211" i="47"/>
  <c r="V212" i="47"/>
  <c r="V209" i="47"/>
  <c r="V210" i="47"/>
  <c r="V207" i="47"/>
  <c r="V208" i="47"/>
  <c r="V239" i="47"/>
  <c r="G219" i="47"/>
  <c r="G220" i="47"/>
  <c r="F219" i="47"/>
  <c r="K218" i="47"/>
  <c r="H218" i="47"/>
  <c r="G217" i="47"/>
  <c r="G218" i="47"/>
  <c r="K232" i="47"/>
  <c r="H232" i="47"/>
  <c r="E232" i="47"/>
  <c r="F231" i="47"/>
  <c r="K230" i="47"/>
  <c r="H230" i="47"/>
  <c r="G229" i="47"/>
  <c r="G230" i="47"/>
  <c r="F229" i="47"/>
  <c r="F230" i="47"/>
  <c r="K228" i="47"/>
  <c r="H228" i="47"/>
  <c r="G227" i="47"/>
  <c r="G228" i="47"/>
  <c r="K226" i="47"/>
  <c r="H226" i="47"/>
  <c r="E226" i="47"/>
  <c r="K236" i="47"/>
  <c r="H236" i="47"/>
  <c r="G236" i="47"/>
  <c r="E236" i="47"/>
  <c r="G235" i="47"/>
  <c r="F235" i="47"/>
  <c r="F236" i="47"/>
  <c r="K234" i="47"/>
  <c r="H234" i="47"/>
  <c r="G233" i="47"/>
  <c r="G234" i="47"/>
  <c r="K216" i="47"/>
  <c r="H216" i="47"/>
  <c r="G215" i="47"/>
  <c r="G216" i="47"/>
  <c r="F215" i="47"/>
  <c r="I215" i="47"/>
  <c r="K214" i="47"/>
  <c r="H214" i="47"/>
  <c r="G213" i="47"/>
  <c r="G214" i="47"/>
  <c r="K212" i="47"/>
  <c r="H212" i="47"/>
  <c r="E212" i="47"/>
  <c r="K210" i="47"/>
  <c r="H210" i="47"/>
  <c r="F209" i="47"/>
  <c r="K208" i="47"/>
  <c r="H208" i="47"/>
  <c r="G208" i="47"/>
  <c r="F208" i="47"/>
  <c r="I207" i="47"/>
  <c r="J207" i="47"/>
  <c r="O207" i="47"/>
  <c r="E203" i="47"/>
  <c r="F203" i="47"/>
  <c r="H198" i="47"/>
  <c r="K198" i="47"/>
  <c r="E201" i="47"/>
  <c r="F201" i="47"/>
  <c r="F202" i="47"/>
  <c r="E199" i="47"/>
  <c r="E197" i="47"/>
  <c r="E196" i="47"/>
  <c r="G196" i="47"/>
  <c r="E194" i="47"/>
  <c r="I194" i="47"/>
  <c r="J194" i="47"/>
  <c r="O194" i="47"/>
  <c r="E193" i="47"/>
  <c r="I193" i="47"/>
  <c r="J193" i="47"/>
  <c r="O193" i="47"/>
  <c r="K204" i="47"/>
  <c r="H204" i="47"/>
  <c r="K202" i="47"/>
  <c r="H202" i="47"/>
  <c r="K200" i="47"/>
  <c r="H200" i="47"/>
  <c r="K195" i="47"/>
  <c r="H195" i="47"/>
  <c r="G195" i="47"/>
  <c r="F195" i="47"/>
  <c r="K168" i="47"/>
  <c r="K169" i="47"/>
  <c r="K188" i="47"/>
  <c r="H188" i="47"/>
  <c r="V187" i="47"/>
  <c r="V188" i="47"/>
  <c r="E187" i="47"/>
  <c r="G187" i="47"/>
  <c r="G188" i="47"/>
  <c r="G189" i="47"/>
  <c r="G190" i="47"/>
  <c r="E185" i="47"/>
  <c r="F185" i="47"/>
  <c r="F186" i="47"/>
  <c r="E183" i="47"/>
  <c r="E181" i="47"/>
  <c r="F181" i="47"/>
  <c r="E179" i="47"/>
  <c r="G179" i="47"/>
  <c r="G180" i="47"/>
  <c r="E177" i="47"/>
  <c r="G177" i="47"/>
  <c r="E176" i="47"/>
  <c r="E175" i="47"/>
  <c r="G175" i="47"/>
  <c r="E174" i="47"/>
  <c r="H178" i="47"/>
  <c r="K178" i="47"/>
  <c r="V176" i="47"/>
  <c r="E172" i="47"/>
  <c r="E170" i="47"/>
  <c r="G170" i="47"/>
  <c r="G171" i="47"/>
  <c r="E168" i="47"/>
  <c r="E166" i="47"/>
  <c r="E164" i="47"/>
  <c r="E162" i="47"/>
  <c r="G162" i="47"/>
  <c r="G163" i="47"/>
  <c r="E160" i="47"/>
  <c r="E158" i="47"/>
  <c r="E156" i="47"/>
  <c r="G156" i="47"/>
  <c r="G157" i="47"/>
  <c r="E154" i="47"/>
  <c r="F154" i="47"/>
  <c r="F155" i="47"/>
  <c r="E152" i="47"/>
  <c r="E153" i="47"/>
  <c r="E150" i="47"/>
  <c r="E148" i="47"/>
  <c r="E149" i="47"/>
  <c r="E146" i="47"/>
  <c r="E144" i="47"/>
  <c r="G144" i="47"/>
  <c r="G145" i="47"/>
  <c r="E142" i="47"/>
  <c r="E140" i="47"/>
  <c r="F140" i="47"/>
  <c r="F141" i="47"/>
  <c r="E138" i="47"/>
  <c r="G138" i="47"/>
  <c r="G139" i="47"/>
  <c r="E136" i="47"/>
  <c r="F136" i="47"/>
  <c r="F137" i="47"/>
  <c r="E134" i="47"/>
  <c r="E132" i="47"/>
  <c r="E130" i="47"/>
  <c r="E131" i="47"/>
  <c r="E128" i="47"/>
  <c r="E126" i="47"/>
  <c r="G126" i="47"/>
  <c r="G127" i="47"/>
  <c r="F125" i="47"/>
  <c r="G125" i="47"/>
  <c r="H125" i="47"/>
  <c r="K125" i="47"/>
  <c r="I121" i="47"/>
  <c r="J121" i="47"/>
  <c r="O121" i="47"/>
  <c r="E124" i="47"/>
  <c r="I124" i="47"/>
  <c r="J124" i="47"/>
  <c r="O124" i="47"/>
  <c r="E123" i="47"/>
  <c r="I123" i="47"/>
  <c r="J123" i="47"/>
  <c r="O123" i="47"/>
  <c r="E122" i="47"/>
  <c r="K190" i="47"/>
  <c r="H190" i="47"/>
  <c r="F189" i="47"/>
  <c r="F190" i="47"/>
  <c r="K186" i="47"/>
  <c r="H186" i="47"/>
  <c r="E186" i="47"/>
  <c r="K184" i="47"/>
  <c r="H184" i="47"/>
  <c r="K182" i="47"/>
  <c r="H182" i="47"/>
  <c r="K180" i="47"/>
  <c r="H180" i="47"/>
  <c r="E180" i="47"/>
  <c r="G174" i="47"/>
  <c r="K173" i="47"/>
  <c r="H173" i="47"/>
  <c r="V172" i="47"/>
  <c r="V173" i="47"/>
  <c r="K171" i="47"/>
  <c r="H171" i="47"/>
  <c r="H169" i="47"/>
  <c r="K167" i="47"/>
  <c r="H167" i="47"/>
  <c r="K165" i="47"/>
  <c r="H165" i="47"/>
  <c r="K163" i="47"/>
  <c r="H163" i="47"/>
  <c r="K161" i="47"/>
  <c r="H161" i="47"/>
  <c r="K159" i="47"/>
  <c r="H159" i="47"/>
  <c r="K157" i="47"/>
  <c r="H157" i="47"/>
  <c r="V156" i="47"/>
  <c r="V157" i="47"/>
  <c r="K155" i="47"/>
  <c r="H155" i="47"/>
  <c r="K153" i="47"/>
  <c r="H153" i="47"/>
  <c r="K151" i="47"/>
  <c r="H151" i="47"/>
  <c r="K149" i="47"/>
  <c r="H149" i="47"/>
  <c r="K147" i="47"/>
  <c r="H147" i="47"/>
  <c r="K145" i="47"/>
  <c r="H145" i="47"/>
  <c r="K143" i="47"/>
  <c r="H143" i="47"/>
  <c r="K141" i="47"/>
  <c r="H141" i="47"/>
  <c r="K139" i="47"/>
  <c r="H139" i="47"/>
  <c r="K137" i="47"/>
  <c r="H137" i="47"/>
  <c r="K135" i="47"/>
  <c r="H135" i="47"/>
  <c r="K133" i="47"/>
  <c r="H133" i="47"/>
  <c r="K131" i="47"/>
  <c r="H131" i="47"/>
  <c r="K129" i="47"/>
  <c r="H129" i="47"/>
  <c r="K127" i="47"/>
  <c r="H127" i="47"/>
  <c r="V122" i="47"/>
  <c r="E117" i="47"/>
  <c r="K114" i="47"/>
  <c r="H114" i="47"/>
  <c r="N113" i="47"/>
  <c r="V113" i="47"/>
  <c r="V114" i="47"/>
  <c r="E113" i="47"/>
  <c r="F113" i="47"/>
  <c r="F115" i="47"/>
  <c r="K116" i="47"/>
  <c r="H116" i="47"/>
  <c r="N115" i="47"/>
  <c r="V115" i="47"/>
  <c r="V116" i="47"/>
  <c r="G115" i="47"/>
  <c r="G116" i="47"/>
  <c r="E111" i="47"/>
  <c r="F111" i="47"/>
  <c r="K112" i="47"/>
  <c r="H112" i="47"/>
  <c r="N111" i="47"/>
  <c r="V111" i="47"/>
  <c r="V112" i="47"/>
  <c r="G111" i="47"/>
  <c r="G112" i="47"/>
  <c r="E109" i="47"/>
  <c r="E107" i="47"/>
  <c r="F107" i="47"/>
  <c r="K108" i="47"/>
  <c r="H108" i="47"/>
  <c r="N107" i="47"/>
  <c r="V107" i="47"/>
  <c r="V108" i="47"/>
  <c r="G107" i="47"/>
  <c r="G108" i="47"/>
  <c r="E105" i="47"/>
  <c r="F105" i="47"/>
  <c r="K106" i="47"/>
  <c r="H106" i="47"/>
  <c r="N105" i="47"/>
  <c r="V105" i="47"/>
  <c r="V106" i="47"/>
  <c r="G105" i="47"/>
  <c r="G106" i="47"/>
  <c r="E103" i="47"/>
  <c r="G103" i="47"/>
  <c r="G104" i="47"/>
  <c r="K104" i="47"/>
  <c r="H104" i="47"/>
  <c r="N103" i="47"/>
  <c r="T103" i="47"/>
  <c r="T104" i="47"/>
  <c r="E101" i="47"/>
  <c r="F101" i="47"/>
  <c r="K102" i="47"/>
  <c r="H102" i="47"/>
  <c r="N101" i="47"/>
  <c r="V101" i="47"/>
  <c r="V102" i="47"/>
  <c r="G101" i="47"/>
  <c r="G102" i="47"/>
  <c r="E99" i="47"/>
  <c r="E100" i="47"/>
  <c r="K100" i="47"/>
  <c r="H100" i="47"/>
  <c r="N99" i="47"/>
  <c r="T99" i="47"/>
  <c r="T100" i="47"/>
  <c r="F99" i="47"/>
  <c r="F100" i="47"/>
  <c r="E97" i="47"/>
  <c r="F97" i="47"/>
  <c r="K98" i="47"/>
  <c r="H98" i="47"/>
  <c r="N97" i="47"/>
  <c r="V97" i="47"/>
  <c r="V98" i="47"/>
  <c r="G97" i="47"/>
  <c r="G98" i="47"/>
  <c r="E95" i="47"/>
  <c r="F95" i="47"/>
  <c r="K94" i="47"/>
  <c r="H94" i="47"/>
  <c r="N93" i="47"/>
  <c r="T93" i="47"/>
  <c r="T94" i="47"/>
  <c r="E93" i="47"/>
  <c r="G93" i="47"/>
  <c r="G94" i="47"/>
  <c r="K96" i="47"/>
  <c r="H96" i="47"/>
  <c r="N95" i="47"/>
  <c r="V95" i="47"/>
  <c r="V96" i="47"/>
  <c r="E91" i="47"/>
  <c r="E92" i="47"/>
  <c r="K90" i="47"/>
  <c r="H90" i="47"/>
  <c r="N89" i="47"/>
  <c r="V89" i="47"/>
  <c r="V90" i="47"/>
  <c r="E89" i="47"/>
  <c r="G89" i="47"/>
  <c r="G90" i="47"/>
  <c r="K88" i="47"/>
  <c r="H88" i="47"/>
  <c r="N87" i="47"/>
  <c r="V87" i="47"/>
  <c r="V88" i="47"/>
  <c r="E87" i="47"/>
  <c r="G87" i="47"/>
  <c r="G88" i="47"/>
  <c r="K92" i="47"/>
  <c r="H92" i="47"/>
  <c r="N91" i="47"/>
  <c r="V91" i="47"/>
  <c r="V92" i="47"/>
  <c r="E85" i="47"/>
  <c r="K84" i="47"/>
  <c r="H84" i="47"/>
  <c r="N83" i="47"/>
  <c r="V83" i="47"/>
  <c r="V84" i="47"/>
  <c r="E83" i="47"/>
  <c r="G83" i="47"/>
  <c r="G84" i="47"/>
  <c r="K82" i="47"/>
  <c r="H82" i="47"/>
  <c r="N81" i="47"/>
  <c r="V81" i="47"/>
  <c r="V82" i="47"/>
  <c r="E81" i="47"/>
  <c r="G81" i="47"/>
  <c r="G82" i="47"/>
  <c r="K80" i="47"/>
  <c r="H80" i="47"/>
  <c r="N79" i="47"/>
  <c r="V79" i="47"/>
  <c r="V80" i="47"/>
  <c r="E79" i="47"/>
  <c r="F79" i="47"/>
  <c r="E77" i="47"/>
  <c r="E75" i="47"/>
  <c r="E73" i="47"/>
  <c r="E71" i="47"/>
  <c r="E69" i="47"/>
  <c r="E67" i="47"/>
  <c r="E65" i="47"/>
  <c r="E63" i="47"/>
  <c r="E61" i="47"/>
  <c r="E59" i="47"/>
  <c r="E57" i="47"/>
  <c r="E55" i="47"/>
  <c r="E53" i="47"/>
  <c r="E51" i="47"/>
  <c r="E49" i="47"/>
  <c r="E47" i="47"/>
  <c r="E45" i="47"/>
  <c r="E41" i="47"/>
  <c r="E39" i="47"/>
  <c r="E37" i="47"/>
  <c r="E35" i="47"/>
  <c r="E33" i="47"/>
  <c r="E31" i="47"/>
  <c r="E29" i="47"/>
  <c r="K28" i="47"/>
  <c r="H28" i="47"/>
  <c r="E28" i="47"/>
  <c r="N27" i="47"/>
  <c r="V27" i="47"/>
  <c r="V28" i="47"/>
  <c r="G27" i="47"/>
  <c r="G28" i="47"/>
  <c r="F27" i="47"/>
  <c r="E17" i="47"/>
  <c r="E18" i="47"/>
  <c r="K18" i="47"/>
  <c r="H18" i="47"/>
  <c r="N17" i="47"/>
  <c r="V17" i="47"/>
  <c r="V18" i="47"/>
  <c r="E19" i="47"/>
  <c r="F19" i="47"/>
  <c r="K20" i="47"/>
  <c r="H20" i="47"/>
  <c r="N19" i="47"/>
  <c r="V19" i="47"/>
  <c r="V20" i="47"/>
  <c r="G19" i="47"/>
  <c r="G20" i="47"/>
  <c r="E21" i="47"/>
  <c r="E15" i="47"/>
  <c r="E13" i="47"/>
  <c r="J237" i="47"/>
  <c r="I238" i="47"/>
  <c r="F238" i="47"/>
  <c r="E234" i="47"/>
  <c r="E228" i="47"/>
  <c r="F225" i="47"/>
  <c r="F226" i="47"/>
  <c r="I223" i="47"/>
  <c r="F217" i="47"/>
  <c r="F218" i="47"/>
  <c r="G209" i="47"/>
  <c r="I209" i="47"/>
  <c r="J209" i="47"/>
  <c r="I229" i="47"/>
  <c r="I230" i="47"/>
  <c r="I231" i="47"/>
  <c r="I232" i="47"/>
  <c r="K205" i="47"/>
  <c r="F130" i="47"/>
  <c r="F131" i="47"/>
  <c r="G130" i="47"/>
  <c r="G131" i="47"/>
  <c r="E155" i="47"/>
  <c r="F187" i="47"/>
  <c r="I187" i="47"/>
  <c r="I188" i="47"/>
  <c r="F148" i="47"/>
  <c r="F149" i="47"/>
  <c r="E163" i="47"/>
  <c r="H191" i="47"/>
  <c r="F175" i="47"/>
  <c r="I175" i="47"/>
  <c r="J175" i="47"/>
  <c r="O175" i="47"/>
  <c r="E198" i="47"/>
  <c r="H205" i="47"/>
  <c r="I217" i="47"/>
  <c r="I218" i="47"/>
  <c r="E139" i="47"/>
  <c r="E188" i="47"/>
  <c r="I233" i="47"/>
  <c r="J233" i="47"/>
  <c r="I225" i="47"/>
  <c r="I226" i="47"/>
  <c r="I219" i="47"/>
  <c r="I220" i="47"/>
  <c r="I221" i="47"/>
  <c r="I222" i="47"/>
  <c r="J223" i="47"/>
  <c r="I224" i="47"/>
  <c r="F220" i="47"/>
  <c r="J221" i="47"/>
  <c r="F224" i="47"/>
  <c r="J227" i="47"/>
  <c r="I228" i="47"/>
  <c r="F228" i="47"/>
  <c r="F232" i="47"/>
  <c r="I235" i="47"/>
  <c r="F234" i="47"/>
  <c r="J215" i="47"/>
  <c r="I216" i="47"/>
  <c r="F216" i="47"/>
  <c r="G210" i="47"/>
  <c r="F210" i="47"/>
  <c r="O208" i="47"/>
  <c r="E208" i="47"/>
  <c r="I208" i="47"/>
  <c r="J208" i="47"/>
  <c r="F213" i="47"/>
  <c r="E214" i="47"/>
  <c r="F211" i="47"/>
  <c r="G203" i="47"/>
  <c r="G204" i="47"/>
  <c r="E204" i="47"/>
  <c r="G113" i="47"/>
  <c r="G114" i="47"/>
  <c r="G148" i="47"/>
  <c r="G149" i="47"/>
  <c r="K191" i="47"/>
  <c r="G201" i="47"/>
  <c r="G202" i="47"/>
  <c r="G140" i="47"/>
  <c r="G141" i="47"/>
  <c r="E202" i="47"/>
  <c r="F196" i="47"/>
  <c r="G176" i="47"/>
  <c r="G178" i="47"/>
  <c r="F176" i="47"/>
  <c r="I176" i="47"/>
  <c r="J176" i="47"/>
  <c r="O176" i="47"/>
  <c r="G134" i="47"/>
  <c r="G135" i="47"/>
  <c r="E135" i="47"/>
  <c r="V175" i="47"/>
  <c r="G99" i="47"/>
  <c r="I99" i="47"/>
  <c r="E182" i="47"/>
  <c r="G181" i="47"/>
  <c r="G182" i="47"/>
  <c r="E125" i="47"/>
  <c r="E178" i="47"/>
  <c r="E195" i="47"/>
  <c r="E200" i="47"/>
  <c r="G199" i="47"/>
  <c r="G200" i="47"/>
  <c r="F199" i="47"/>
  <c r="F200" i="47"/>
  <c r="V199" i="47"/>
  <c r="V200" i="47"/>
  <c r="G197" i="47"/>
  <c r="G198" i="47"/>
  <c r="F197" i="47"/>
  <c r="F204" i="47"/>
  <c r="I195" i="47"/>
  <c r="V201" i="47"/>
  <c r="V202" i="47"/>
  <c r="V203" i="47"/>
  <c r="V204" i="47"/>
  <c r="F134" i="47"/>
  <c r="I134" i="47"/>
  <c r="I135" i="47"/>
  <c r="G185" i="47"/>
  <c r="G186" i="47"/>
  <c r="F177" i="47"/>
  <c r="G91" i="47"/>
  <c r="G92" i="47"/>
  <c r="F91" i="47"/>
  <c r="I91" i="47"/>
  <c r="E114" i="47"/>
  <c r="E190" i="47"/>
  <c r="V121" i="47"/>
  <c r="G136" i="47"/>
  <c r="I136" i="47"/>
  <c r="F138" i="47"/>
  <c r="I138" i="47"/>
  <c r="G152" i="47"/>
  <c r="G153" i="47"/>
  <c r="E171" i="47"/>
  <c r="I177" i="47"/>
  <c r="J177" i="47"/>
  <c r="O177" i="47"/>
  <c r="V189" i="47"/>
  <c r="V190" i="47"/>
  <c r="F170" i="47"/>
  <c r="I170" i="47"/>
  <c r="F162" i="47"/>
  <c r="F163" i="47"/>
  <c r="G154" i="47"/>
  <c r="G155" i="47"/>
  <c r="E141" i="47"/>
  <c r="E137" i="47"/>
  <c r="V185" i="47"/>
  <c r="V186" i="47"/>
  <c r="V132" i="47"/>
  <c r="V133" i="47"/>
  <c r="V142" i="47"/>
  <c r="V143" i="47"/>
  <c r="V164" i="47"/>
  <c r="V165" i="47"/>
  <c r="V136" i="47"/>
  <c r="V137" i="47"/>
  <c r="V160" i="47"/>
  <c r="V161" i="47"/>
  <c r="V183" i="47"/>
  <c r="V184" i="47"/>
  <c r="V150" i="47"/>
  <c r="V151" i="47"/>
  <c r="E143" i="47"/>
  <c r="F142" i="47"/>
  <c r="F143" i="47"/>
  <c r="G158" i="47"/>
  <c r="G159" i="47"/>
  <c r="E159" i="47"/>
  <c r="G160" i="47"/>
  <c r="G161" i="47"/>
  <c r="G166" i="47"/>
  <c r="G167" i="47"/>
  <c r="E167" i="47"/>
  <c r="F166" i="47"/>
  <c r="F167" i="47"/>
  <c r="V181" i="47"/>
  <c r="V182" i="47"/>
  <c r="E133" i="47"/>
  <c r="F132" i="47"/>
  <c r="F133" i="47"/>
  <c r="V138" i="47"/>
  <c r="V139" i="47"/>
  <c r="G142" i="47"/>
  <c r="G143" i="47"/>
  <c r="E151" i="47"/>
  <c r="F150" i="47"/>
  <c r="F151" i="47"/>
  <c r="V154" i="47"/>
  <c r="V155" i="47"/>
  <c r="F158" i="47"/>
  <c r="F159" i="47"/>
  <c r="V158" i="47"/>
  <c r="V159" i="47"/>
  <c r="F160" i="47"/>
  <c r="F161" i="47"/>
  <c r="V169" i="47"/>
  <c r="E173" i="47"/>
  <c r="F172" i="47"/>
  <c r="F173" i="47"/>
  <c r="G172" i="47"/>
  <c r="G173" i="47"/>
  <c r="I122" i="47"/>
  <c r="I125" i="47"/>
  <c r="F126" i="47"/>
  <c r="F127" i="47"/>
  <c r="V126" i="47"/>
  <c r="V127" i="47"/>
  <c r="F128" i="47"/>
  <c r="F129" i="47"/>
  <c r="V128" i="47"/>
  <c r="V129" i="47"/>
  <c r="G132" i="47"/>
  <c r="G133" i="47"/>
  <c r="V134" i="47"/>
  <c r="V135" i="47"/>
  <c r="V140" i="47"/>
  <c r="V141" i="47"/>
  <c r="F144" i="47"/>
  <c r="F145" i="47"/>
  <c r="V144" i="47"/>
  <c r="V145" i="47"/>
  <c r="F146" i="47"/>
  <c r="F147" i="47"/>
  <c r="V146" i="47"/>
  <c r="V147" i="47"/>
  <c r="G150" i="47"/>
  <c r="G151" i="47"/>
  <c r="E165" i="47"/>
  <c r="F164" i="47"/>
  <c r="F165" i="47"/>
  <c r="V166" i="47"/>
  <c r="V167" i="47"/>
  <c r="F182" i="47"/>
  <c r="E127" i="47"/>
  <c r="G128" i="47"/>
  <c r="G129" i="47"/>
  <c r="E129" i="47"/>
  <c r="V130" i="47"/>
  <c r="V131" i="47"/>
  <c r="E145" i="47"/>
  <c r="G146" i="47"/>
  <c r="G147" i="47"/>
  <c r="E147" i="47"/>
  <c r="V148" i="47"/>
  <c r="V149" i="47"/>
  <c r="F152" i="47"/>
  <c r="V152" i="47"/>
  <c r="V153" i="47"/>
  <c r="E157" i="47"/>
  <c r="F156" i="47"/>
  <c r="E161" i="47"/>
  <c r="G164" i="47"/>
  <c r="G165" i="47"/>
  <c r="E169" i="47"/>
  <c r="G168" i="47"/>
  <c r="G169" i="47"/>
  <c r="F168" i="47"/>
  <c r="F169" i="47"/>
  <c r="F171" i="47"/>
  <c r="V162" i="47"/>
  <c r="V163" i="47"/>
  <c r="E184" i="47"/>
  <c r="F183" i="47"/>
  <c r="V170" i="47"/>
  <c r="V171" i="47"/>
  <c r="F174" i="47"/>
  <c r="V174" i="47"/>
  <c r="F179" i="47"/>
  <c r="F180" i="47"/>
  <c r="V179" i="47"/>
  <c r="V180" i="47"/>
  <c r="G183" i="47"/>
  <c r="G184" i="47"/>
  <c r="I189" i="47"/>
  <c r="S113" i="47"/>
  <c r="S114" i="47"/>
  <c r="T113" i="47"/>
  <c r="T114" i="47"/>
  <c r="F114" i="47"/>
  <c r="U113" i="47"/>
  <c r="U114" i="47"/>
  <c r="R113" i="47"/>
  <c r="R114" i="47"/>
  <c r="I111" i="47"/>
  <c r="J111" i="47"/>
  <c r="G79" i="47"/>
  <c r="G80" i="47"/>
  <c r="I115" i="47"/>
  <c r="J115" i="47"/>
  <c r="E116" i="47"/>
  <c r="S115" i="47"/>
  <c r="S116" i="47"/>
  <c r="T115" i="47"/>
  <c r="T116" i="47"/>
  <c r="F116" i="47"/>
  <c r="U115" i="47"/>
  <c r="U116" i="47"/>
  <c r="R115" i="47"/>
  <c r="R116" i="47"/>
  <c r="E112" i="47"/>
  <c r="S111" i="47"/>
  <c r="S112" i="47"/>
  <c r="T111" i="47"/>
  <c r="T112" i="47"/>
  <c r="F112" i="47"/>
  <c r="U111" i="47"/>
  <c r="U112" i="47"/>
  <c r="R111" i="47"/>
  <c r="R112" i="47"/>
  <c r="E84" i="47"/>
  <c r="I105" i="47"/>
  <c r="J105" i="47"/>
  <c r="E82" i="47"/>
  <c r="F83" i="47"/>
  <c r="I83" i="47"/>
  <c r="J83" i="47"/>
  <c r="E88" i="47"/>
  <c r="E90" i="47"/>
  <c r="F93" i="47"/>
  <c r="F94" i="47"/>
  <c r="I107" i="47"/>
  <c r="J107" i="47"/>
  <c r="E80" i="47"/>
  <c r="F81" i="47"/>
  <c r="I81" i="47"/>
  <c r="I82" i="47"/>
  <c r="F87" i="47"/>
  <c r="I87" i="47"/>
  <c r="I88" i="47"/>
  <c r="F89" i="47"/>
  <c r="I89" i="47"/>
  <c r="I90" i="47"/>
  <c r="E94" i="47"/>
  <c r="I97" i="47"/>
  <c r="J97" i="47"/>
  <c r="I101" i="47"/>
  <c r="I102" i="47"/>
  <c r="E108" i="47"/>
  <c r="S107" i="47"/>
  <c r="S108" i="47"/>
  <c r="T107" i="47"/>
  <c r="T108" i="47"/>
  <c r="F108" i="47"/>
  <c r="U107" i="47"/>
  <c r="U108" i="47"/>
  <c r="R107" i="47"/>
  <c r="R108" i="47"/>
  <c r="E106" i="47"/>
  <c r="S105" i="47"/>
  <c r="S106" i="47"/>
  <c r="R103" i="47"/>
  <c r="R104" i="47"/>
  <c r="T105" i="47"/>
  <c r="T106" i="47"/>
  <c r="F106" i="47"/>
  <c r="U103" i="47"/>
  <c r="U104" i="47"/>
  <c r="U105" i="47"/>
  <c r="U106" i="47"/>
  <c r="V103" i="47"/>
  <c r="V104" i="47"/>
  <c r="R105" i="47"/>
  <c r="R106" i="47"/>
  <c r="F103" i="47"/>
  <c r="S103" i="47"/>
  <c r="S104" i="47"/>
  <c r="E104" i="47"/>
  <c r="E102" i="47"/>
  <c r="S101" i="47"/>
  <c r="S102" i="47"/>
  <c r="T101" i="47"/>
  <c r="T102" i="47"/>
  <c r="F102" i="47"/>
  <c r="U99" i="47"/>
  <c r="U100" i="47"/>
  <c r="U101" i="47"/>
  <c r="U102" i="47"/>
  <c r="R101" i="47"/>
  <c r="R102" i="47"/>
  <c r="G100" i="47"/>
  <c r="R99" i="47"/>
  <c r="R100" i="47"/>
  <c r="V99" i="47"/>
  <c r="V100" i="47"/>
  <c r="S99" i="47"/>
  <c r="S100" i="47"/>
  <c r="E98" i="47"/>
  <c r="S97" i="47"/>
  <c r="S98" i="47"/>
  <c r="T97" i="47"/>
  <c r="T98" i="47"/>
  <c r="F98" i="47"/>
  <c r="U97" i="47"/>
  <c r="U98" i="47"/>
  <c r="R97" i="47"/>
  <c r="R98" i="47"/>
  <c r="G95" i="47"/>
  <c r="G96" i="47"/>
  <c r="U93" i="47"/>
  <c r="U94" i="47"/>
  <c r="R93" i="47"/>
  <c r="R94" i="47"/>
  <c r="V93" i="47"/>
  <c r="V94" i="47"/>
  <c r="S93" i="47"/>
  <c r="S94" i="47"/>
  <c r="E96" i="47"/>
  <c r="S95" i="47"/>
  <c r="S96" i="47"/>
  <c r="T95" i="47"/>
  <c r="T96" i="47"/>
  <c r="F96" i="47"/>
  <c r="U95" i="47"/>
  <c r="U96" i="47"/>
  <c r="R95" i="47"/>
  <c r="R96" i="47"/>
  <c r="S89" i="47"/>
  <c r="S90" i="47"/>
  <c r="T89" i="47"/>
  <c r="T90" i="47"/>
  <c r="U89" i="47"/>
  <c r="U90" i="47"/>
  <c r="R89" i="47"/>
  <c r="R90" i="47"/>
  <c r="S87" i="47"/>
  <c r="S88" i="47"/>
  <c r="T87" i="47"/>
  <c r="T88" i="47"/>
  <c r="U87" i="47"/>
  <c r="U88" i="47"/>
  <c r="R87" i="47"/>
  <c r="R88" i="47"/>
  <c r="S91" i="47"/>
  <c r="S92" i="47"/>
  <c r="T91" i="47"/>
  <c r="T92" i="47"/>
  <c r="U91" i="47"/>
  <c r="U92" i="47"/>
  <c r="R91" i="47"/>
  <c r="R92" i="47"/>
  <c r="S83" i="47"/>
  <c r="S84" i="47"/>
  <c r="T83" i="47"/>
  <c r="T84" i="47"/>
  <c r="U83" i="47"/>
  <c r="U84" i="47"/>
  <c r="R83" i="47"/>
  <c r="R84" i="47"/>
  <c r="S81" i="47"/>
  <c r="S82" i="47"/>
  <c r="T81" i="47"/>
  <c r="T82" i="47"/>
  <c r="U81" i="47"/>
  <c r="U82" i="47"/>
  <c r="R81" i="47"/>
  <c r="R82" i="47"/>
  <c r="S79" i="47"/>
  <c r="S80" i="47"/>
  <c r="T79" i="47"/>
  <c r="T80" i="47"/>
  <c r="F80" i="47"/>
  <c r="U79" i="47"/>
  <c r="U80" i="47"/>
  <c r="R79" i="47"/>
  <c r="R80" i="47"/>
  <c r="F17" i="47"/>
  <c r="G17" i="47"/>
  <c r="G18" i="47"/>
  <c r="I19" i="47"/>
  <c r="J19" i="47"/>
  <c r="I27" i="47"/>
  <c r="J27" i="47"/>
  <c r="S27" i="47"/>
  <c r="S28" i="47"/>
  <c r="T27" i="47"/>
  <c r="T28" i="47"/>
  <c r="F28" i="47"/>
  <c r="U27" i="47"/>
  <c r="U28" i="47"/>
  <c r="R27" i="47"/>
  <c r="R28" i="47"/>
  <c r="S17" i="47"/>
  <c r="S18" i="47"/>
  <c r="T17" i="47"/>
  <c r="T18" i="47"/>
  <c r="U17" i="47"/>
  <c r="U18" i="47"/>
  <c r="R17" i="47"/>
  <c r="R18" i="47"/>
  <c r="E20" i="47"/>
  <c r="S19" i="47"/>
  <c r="S20" i="47"/>
  <c r="T19" i="47"/>
  <c r="T20" i="47"/>
  <c r="F20" i="47"/>
  <c r="U19" i="47"/>
  <c r="U20" i="47"/>
  <c r="R19" i="47"/>
  <c r="R20" i="47"/>
  <c r="M7" i="47"/>
  <c r="K118" i="47"/>
  <c r="H118" i="47"/>
  <c r="N117" i="47"/>
  <c r="U117" i="47"/>
  <c r="U118" i="47"/>
  <c r="K110" i="47"/>
  <c r="H110" i="47"/>
  <c r="E110" i="47"/>
  <c r="G109" i="47"/>
  <c r="G110" i="47"/>
  <c r="F109" i="47"/>
  <c r="K86" i="47"/>
  <c r="H86" i="47"/>
  <c r="N85" i="47"/>
  <c r="S85" i="47"/>
  <c r="S86" i="47"/>
  <c r="G85" i="47"/>
  <c r="G86" i="47"/>
  <c r="F85" i="47"/>
  <c r="F86" i="47"/>
  <c r="K78" i="47"/>
  <c r="H78" i="47"/>
  <c r="E78" i="47"/>
  <c r="N77" i="47"/>
  <c r="U77" i="47"/>
  <c r="U78" i="47"/>
  <c r="G77" i="47"/>
  <c r="G78" i="47"/>
  <c r="F77" i="47"/>
  <c r="K76" i="47"/>
  <c r="H76" i="47"/>
  <c r="N75" i="47"/>
  <c r="S75" i="47"/>
  <c r="S76" i="47"/>
  <c r="G75" i="47"/>
  <c r="G76" i="47"/>
  <c r="K74" i="47"/>
  <c r="H74" i="47"/>
  <c r="N73" i="47"/>
  <c r="U73" i="47"/>
  <c r="U74" i="47"/>
  <c r="G73" i="47"/>
  <c r="F73" i="47"/>
  <c r="F74" i="47"/>
  <c r="E74" i="47"/>
  <c r="K72" i="47"/>
  <c r="H72" i="47"/>
  <c r="N71" i="47"/>
  <c r="U71" i="47"/>
  <c r="U72" i="47"/>
  <c r="G71" i="47"/>
  <c r="G72" i="47"/>
  <c r="K70" i="47"/>
  <c r="H70" i="47"/>
  <c r="N69" i="47"/>
  <c r="U69" i="47"/>
  <c r="U70" i="47"/>
  <c r="G69" i="47"/>
  <c r="G70" i="47"/>
  <c r="K68" i="47"/>
  <c r="H68" i="47"/>
  <c r="N67" i="47"/>
  <c r="S67" i="47"/>
  <c r="S68" i="47"/>
  <c r="G67" i="47"/>
  <c r="G68" i="47"/>
  <c r="K66" i="47"/>
  <c r="H66" i="47"/>
  <c r="N65" i="47"/>
  <c r="S65" i="47"/>
  <c r="S66" i="47"/>
  <c r="G65" i="47"/>
  <c r="G66" i="47"/>
  <c r="K64" i="47"/>
  <c r="H64" i="47"/>
  <c r="N63" i="47"/>
  <c r="U63" i="47"/>
  <c r="U64" i="47"/>
  <c r="G63" i="47"/>
  <c r="G64" i="47"/>
  <c r="K62" i="47"/>
  <c r="H62" i="47"/>
  <c r="N61" i="47"/>
  <c r="S61" i="47"/>
  <c r="S62" i="47"/>
  <c r="G61" i="47"/>
  <c r="G62" i="47"/>
  <c r="K60" i="47"/>
  <c r="H60" i="47"/>
  <c r="N59" i="47"/>
  <c r="S59" i="47"/>
  <c r="S60" i="47"/>
  <c r="G59" i="47"/>
  <c r="F59" i="47"/>
  <c r="F60" i="47"/>
  <c r="E60" i="47"/>
  <c r="K58" i="47"/>
  <c r="H58" i="47"/>
  <c r="N57" i="47"/>
  <c r="S57" i="47"/>
  <c r="S58" i="47"/>
  <c r="G57" i="47"/>
  <c r="G58" i="47"/>
  <c r="K56" i="47"/>
  <c r="H56" i="47"/>
  <c r="N55" i="47"/>
  <c r="S55" i="47"/>
  <c r="S56" i="47"/>
  <c r="F55" i="47"/>
  <c r="F56" i="47"/>
  <c r="G55" i="47"/>
  <c r="G56" i="47"/>
  <c r="K54" i="47"/>
  <c r="H54" i="47"/>
  <c r="N53" i="47"/>
  <c r="U53" i="47"/>
  <c r="U54" i="47"/>
  <c r="K52" i="47"/>
  <c r="H52" i="47"/>
  <c r="E52" i="47"/>
  <c r="N51" i="47"/>
  <c r="S51" i="47"/>
  <c r="S52" i="47"/>
  <c r="F51" i="47"/>
  <c r="F52" i="47"/>
  <c r="G51" i="47"/>
  <c r="G52" i="47"/>
  <c r="K50" i="47"/>
  <c r="H50" i="47"/>
  <c r="N49" i="47"/>
  <c r="S49" i="47"/>
  <c r="S50" i="47"/>
  <c r="K48" i="47"/>
  <c r="H48" i="47"/>
  <c r="E48" i="47"/>
  <c r="N47" i="47"/>
  <c r="S47" i="47"/>
  <c r="S48" i="47"/>
  <c r="F47" i="47"/>
  <c r="G47" i="47"/>
  <c r="G48" i="47"/>
  <c r="K46" i="47"/>
  <c r="H46" i="47"/>
  <c r="G45" i="47"/>
  <c r="F45" i="47"/>
  <c r="K44" i="47"/>
  <c r="H44" i="47"/>
  <c r="E44" i="47"/>
  <c r="N43" i="47"/>
  <c r="U43" i="47"/>
  <c r="U44" i="47"/>
  <c r="F43" i="47"/>
  <c r="F44" i="47"/>
  <c r="G43" i="47"/>
  <c r="G44" i="47"/>
  <c r="K42" i="47"/>
  <c r="H42" i="47"/>
  <c r="N41" i="47"/>
  <c r="S41" i="47"/>
  <c r="S42" i="47"/>
  <c r="G41" i="47"/>
  <c r="G42" i="47"/>
  <c r="K40" i="47"/>
  <c r="H40" i="47"/>
  <c r="E40" i="47"/>
  <c r="N39" i="47"/>
  <c r="S39" i="47"/>
  <c r="S40" i="47"/>
  <c r="G39" i="47"/>
  <c r="G40" i="47"/>
  <c r="F39" i="47"/>
  <c r="F40" i="47"/>
  <c r="K38" i="47"/>
  <c r="H38" i="47"/>
  <c r="N37" i="47"/>
  <c r="S37" i="47"/>
  <c r="S38" i="47"/>
  <c r="G37" i="47"/>
  <c r="G38" i="47"/>
  <c r="K36" i="47"/>
  <c r="H36" i="47"/>
  <c r="E36" i="47"/>
  <c r="N35" i="47"/>
  <c r="U35" i="47"/>
  <c r="U36" i="47"/>
  <c r="F35" i="47"/>
  <c r="F36" i="47"/>
  <c r="G35" i="47"/>
  <c r="G36" i="47"/>
  <c r="K34" i="47"/>
  <c r="H34" i="47"/>
  <c r="N33" i="47"/>
  <c r="S33" i="47"/>
  <c r="S34" i="47"/>
  <c r="G33" i="47"/>
  <c r="G34" i="47"/>
  <c r="K32" i="47"/>
  <c r="H32" i="47"/>
  <c r="E32" i="47"/>
  <c r="N31" i="47"/>
  <c r="U31" i="47"/>
  <c r="U32" i="47"/>
  <c r="G31" i="47"/>
  <c r="G32" i="47"/>
  <c r="F31" i="47"/>
  <c r="F32" i="47"/>
  <c r="K30" i="47"/>
  <c r="H30" i="47"/>
  <c r="N29" i="47"/>
  <c r="S29" i="47"/>
  <c r="S30" i="47"/>
  <c r="G29" i="47"/>
  <c r="G30" i="47"/>
  <c r="K26" i="47"/>
  <c r="H26" i="47"/>
  <c r="E26" i="47"/>
  <c r="N25" i="47"/>
  <c r="S25" i="47"/>
  <c r="S26" i="47"/>
  <c r="F25" i="47"/>
  <c r="F26" i="47"/>
  <c r="G25" i="47"/>
  <c r="G26" i="47"/>
  <c r="K24" i="47"/>
  <c r="H24" i="47"/>
  <c r="N23" i="47"/>
  <c r="S23" i="47"/>
  <c r="S24" i="47"/>
  <c r="G23" i="47"/>
  <c r="G24" i="47"/>
  <c r="K22" i="47"/>
  <c r="H22" i="47"/>
  <c r="E22" i="47"/>
  <c r="N21" i="47"/>
  <c r="S21" i="47"/>
  <c r="S22" i="47"/>
  <c r="G21" i="47"/>
  <c r="G22" i="47"/>
  <c r="F21" i="47"/>
  <c r="F22" i="47"/>
  <c r="K16" i="47"/>
  <c r="H16" i="47"/>
  <c r="N15" i="47"/>
  <c r="S15" i="47"/>
  <c r="S16" i="47"/>
  <c r="G15" i="47"/>
  <c r="G16" i="47"/>
  <c r="K14" i="47"/>
  <c r="H14" i="47"/>
  <c r="G14" i="47"/>
  <c r="F14" i="47"/>
  <c r="E14" i="47"/>
  <c r="N13" i="47"/>
  <c r="U13" i="47"/>
  <c r="I13" i="47"/>
  <c r="I14" i="47"/>
  <c r="J238" i="47"/>
  <c r="O237" i="47"/>
  <c r="O238" i="47"/>
  <c r="J225" i="47"/>
  <c r="O225" i="47"/>
  <c r="O226" i="47"/>
  <c r="J231" i="47"/>
  <c r="J232" i="47"/>
  <c r="J229" i="47"/>
  <c r="J230" i="47"/>
  <c r="I17" i="47"/>
  <c r="J17" i="47"/>
  <c r="O17" i="47"/>
  <c r="O18" i="47"/>
  <c r="J187" i="47"/>
  <c r="O187" i="47"/>
  <c r="O188" i="47"/>
  <c r="I106" i="47"/>
  <c r="F188" i="47"/>
  <c r="I201" i="47"/>
  <c r="J219" i="47"/>
  <c r="J220" i="47"/>
  <c r="F18" i="47"/>
  <c r="I130" i="47"/>
  <c r="J130" i="47"/>
  <c r="I234" i="47"/>
  <c r="I196" i="47"/>
  <c r="F198" i="47"/>
  <c r="F205" i="47"/>
  <c r="F178" i="47"/>
  <c r="I181" i="47"/>
  <c r="J181" i="47"/>
  <c r="G205" i="47"/>
  <c r="J217" i="47"/>
  <c r="J218" i="47"/>
  <c r="J224" i="47"/>
  <c r="O223" i="47"/>
  <c r="O224" i="47"/>
  <c r="J222" i="47"/>
  <c r="O221" i="47"/>
  <c r="O222" i="47"/>
  <c r="O219" i="47"/>
  <c r="O220" i="47"/>
  <c r="O239" i="47"/>
  <c r="J226" i="47"/>
  <c r="J228" i="47"/>
  <c r="O227" i="47"/>
  <c r="O228" i="47"/>
  <c r="I236" i="47"/>
  <c r="J235" i="47"/>
  <c r="J234" i="47"/>
  <c r="O233" i="47"/>
  <c r="O234" i="47"/>
  <c r="J216" i="47"/>
  <c r="O215" i="47"/>
  <c r="O216" i="47"/>
  <c r="I210" i="47"/>
  <c r="P207" i="47"/>
  <c r="P206" i="47"/>
  <c r="F212" i="47"/>
  <c r="I211" i="47"/>
  <c r="F214" i="47"/>
  <c r="I213" i="47"/>
  <c r="J210" i="47"/>
  <c r="O209" i="47"/>
  <c r="O210" i="47"/>
  <c r="I203" i="47"/>
  <c r="J203" i="47"/>
  <c r="I148" i="47"/>
  <c r="J148" i="47"/>
  <c r="N197" i="47"/>
  <c r="I140" i="47"/>
  <c r="J140" i="47"/>
  <c r="I113" i="47"/>
  <c r="N193" i="47"/>
  <c r="J138" i="47"/>
  <c r="I139" i="47"/>
  <c r="E191" i="47"/>
  <c r="F139" i="47"/>
  <c r="I162" i="47"/>
  <c r="I163" i="47"/>
  <c r="J101" i="47"/>
  <c r="O101" i="47"/>
  <c r="O102" i="47"/>
  <c r="F135" i="47"/>
  <c r="J195" i="47"/>
  <c r="O195" i="47"/>
  <c r="I199" i="47"/>
  <c r="J199" i="47"/>
  <c r="N194" i="47"/>
  <c r="P193" i="47"/>
  <c r="P194" i="47"/>
  <c r="P192" i="47"/>
  <c r="I197" i="47"/>
  <c r="J201" i="47"/>
  <c r="I202" i="47"/>
  <c r="J188" i="47"/>
  <c r="P176" i="47"/>
  <c r="I137" i="47"/>
  <c r="J136" i="47"/>
  <c r="J137" i="47"/>
  <c r="I92" i="47"/>
  <c r="J91" i="47"/>
  <c r="O91" i="47"/>
  <c r="O92" i="47"/>
  <c r="K119" i="47"/>
  <c r="G250" i="47"/>
  <c r="I112" i="47"/>
  <c r="G137" i="47"/>
  <c r="G191" i="47"/>
  <c r="F92" i="47"/>
  <c r="H119" i="47"/>
  <c r="J81" i="47"/>
  <c r="O81" i="47"/>
  <c r="O82" i="47"/>
  <c r="I98" i="47"/>
  <c r="I164" i="47"/>
  <c r="J164" i="47"/>
  <c r="J134" i="47"/>
  <c r="J135" i="47"/>
  <c r="I185" i="47"/>
  <c r="P121" i="47"/>
  <c r="P177" i="47"/>
  <c r="P175" i="47"/>
  <c r="I172" i="47"/>
  <c r="I173" i="47"/>
  <c r="I166" i="47"/>
  <c r="I167" i="47"/>
  <c r="I160" i="47"/>
  <c r="I161" i="47"/>
  <c r="I154" i="47"/>
  <c r="I144" i="47"/>
  <c r="I145" i="47"/>
  <c r="I142" i="47"/>
  <c r="I143" i="47"/>
  <c r="I126" i="47"/>
  <c r="J126" i="47"/>
  <c r="P123" i="47"/>
  <c r="P124" i="47"/>
  <c r="J189" i="47"/>
  <c r="I190" i="47"/>
  <c r="I174" i="47"/>
  <c r="I178" i="47"/>
  <c r="I179" i="47"/>
  <c r="F157" i="47"/>
  <c r="I156" i="47"/>
  <c r="F153" i="47"/>
  <c r="I152" i="47"/>
  <c r="I182" i="47"/>
  <c r="J142" i="47"/>
  <c r="I131" i="47"/>
  <c r="F184" i="47"/>
  <c r="I183" i="47"/>
  <c r="I168" i="47"/>
  <c r="I150" i="47"/>
  <c r="J122" i="47"/>
  <c r="J125" i="47"/>
  <c r="I146" i="47"/>
  <c r="J170" i="47"/>
  <c r="I171" i="47"/>
  <c r="I132" i="47"/>
  <c r="I158" i="47"/>
  <c r="I149" i="47"/>
  <c r="I128" i="47"/>
  <c r="J89" i="47"/>
  <c r="J90" i="47"/>
  <c r="I116" i="47"/>
  <c r="J87" i="47"/>
  <c r="J88" i="47"/>
  <c r="F90" i="47"/>
  <c r="F82" i="47"/>
  <c r="F88" i="47"/>
  <c r="I79" i="47"/>
  <c r="J116" i="47"/>
  <c r="O115" i="47"/>
  <c r="O116" i="47"/>
  <c r="J112" i="47"/>
  <c r="O111" i="47"/>
  <c r="O112" i="47"/>
  <c r="I20" i="47"/>
  <c r="I84" i="47"/>
  <c r="I108" i="47"/>
  <c r="I109" i="47"/>
  <c r="I110" i="47"/>
  <c r="F84" i="47"/>
  <c r="I93" i="47"/>
  <c r="I94" i="47"/>
  <c r="J108" i="47"/>
  <c r="O107" i="47"/>
  <c r="O108" i="47"/>
  <c r="J106" i="47"/>
  <c r="O105" i="47"/>
  <c r="O106" i="47"/>
  <c r="F104" i="47"/>
  <c r="I103" i="47"/>
  <c r="J102" i="47"/>
  <c r="I100" i="47"/>
  <c r="J99" i="47"/>
  <c r="J98" i="47"/>
  <c r="O97" i="47"/>
  <c r="O98" i="47"/>
  <c r="I95" i="47"/>
  <c r="J84" i="47"/>
  <c r="O83" i="47"/>
  <c r="O84" i="47"/>
  <c r="I45" i="47"/>
  <c r="J45" i="47"/>
  <c r="E66" i="47"/>
  <c r="I55" i="47"/>
  <c r="J55" i="47"/>
  <c r="J56" i="47"/>
  <c r="I59" i="47"/>
  <c r="J59" i="47"/>
  <c r="O59" i="47"/>
  <c r="O60" i="47"/>
  <c r="F65" i="47"/>
  <c r="F66" i="47"/>
  <c r="F69" i="47"/>
  <c r="F70" i="47"/>
  <c r="I73" i="47"/>
  <c r="J73" i="47"/>
  <c r="J74" i="47"/>
  <c r="I51" i="47"/>
  <c r="J51" i="47"/>
  <c r="J52" i="47"/>
  <c r="E86" i="47"/>
  <c r="I28" i="47"/>
  <c r="E56" i="47"/>
  <c r="E70" i="47"/>
  <c r="I77" i="47"/>
  <c r="I78" i="47"/>
  <c r="F78" i="47"/>
  <c r="I43" i="47"/>
  <c r="J43" i="47"/>
  <c r="O43" i="47"/>
  <c r="J28" i="47"/>
  <c r="O27" i="47"/>
  <c r="O28" i="47"/>
  <c r="V29" i="47"/>
  <c r="V30" i="47"/>
  <c r="U67" i="47"/>
  <c r="U68" i="47"/>
  <c r="U23" i="47"/>
  <c r="U24" i="47"/>
  <c r="T29" i="47"/>
  <c r="T30" i="47"/>
  <c r="J18" i="47"/>
  <c r="N45" i="47"/>
  <c r="U45" i="47"/>
  <c r="R77" i="47"/>
  <c r="R78" i="47"/>
  <c r="J20" i="47"/>
  <c r="O19" i="47"/>
  <c r="O20" i="47"/>
  <c r="R23" i="47"/>
  <c r="R24" i="47"/>
  <c r="R67" i="47"/>
  <c r="R68" i="47"/>
  <c r="T77" i="47"/>
  <c r="T78" i="47"/>
  <c r="U21" i="47"/>
  <c r="U22" i="47"/>
  <c r="T23" i="47"/>
  <c r="T24" i="47"/>
  <c r="U39" i="47"/>
  <c r="U40" i="47"/>
  <c r="U65" i="47"/>
  <c r="U66" i="47"/>
  <c r="T67" i="47"/>
  <c r="T68" i="47"/>
  <c r="V77" i="47"/>
  <c r="V78" i="47"/>
  <c r="G60" i="47"/>
  <c r="G74" i="47"/>
  <c r="U25" i="47"/>
  <c r="U26" i="47"/>
  <c r="T33" i="47"/>
  <c r="T34" i="47"/>
  <c r="I39" i="47"/>
  <c r="J39" i="47"/>
  <c r="J40" i="47"/>
  <c r="T49" i="47"/>
  <c r="T50" i="47"/>
  <c r="R117" i="47"/>
  <c r="R118" i="47"/>
  <c r="I21" i="47"/>
  <c r="J21" i="47"/>
  <c r="J22" i="47"/>
  <c r="U33" i="47"/>
  <c r="U34" i="47"/>
  <c r="S43" i="47"/>
  <c r="S44" i="47"/>
  <c r="V49" i="47"/>
  <c r="V50" i="47"/>
  <c r="T61" i="47"/>
  <c r="T62" i="47"/>
  <c r="T71" i="47"/>
  <c r="T72" i="47"/>
  <c r="U75" i="47"/>
  <c r="U76" i="47"/>
  <c r="T117" i="47"/>
  <c r="T118" i="47"/>
  <c r="I25" i="47"/>
  <c r="J25" i="47"/>
  <c r="O25" i="47"/>
  <c r="I31" i="47"/>
  <c r="I35" i="47"/>
  <c r="J35" i="47"/>
  <c r="J36" i="47"/>
  <c r="V37" i="47"/>
  <c r="V38" i="47"/>
  <c r="U61" i="47"/>
  <c r="U62" i="47"/>
  <c r="V71" i="47"/>
  <c r="V72" i="47"/>
  <c r="V117" i="47"/>
  <c r="V118" i="47"/>
  <c r="V41" i="47"/>
  <c r="V42" i="47"/>
  <c r="R15" i="47"/>
  <c r="R16" i="47"/>
  <c r="S31" i="47"/>
  <c r="S32" i="47"/>
  <c r="R41" i="47"/>
  <c r="R42" i="47"/>
  <c r="R53" i="47"/>
  <c r="R54" i="47"/>
  <c r="R57" i="47"/>
  <c r="R58" i="47"/>
  <c r="R63" i="47"/>
  <c r="R64" i="47"/>
  <c r="S73" i="47"/>
  <c r="S74" i="47"/>
  <c r="V75" i="47"/>
  <c r="V76" i="47"/>
  <c r="U85" i="47"/>
  <c r="U86" i="47"/>
  <c r="T15" i="47"/>
  <c r="T16" i="47"/>
  <c r="V33" i="47"/>
  <c r="V34" i="47"/>
  <c r="S35" i="47"/>
  <c r="S36" i="47"/>
  <c r="R37" i="47"/>
  <c r="R38" i="47"/>
  <c r="T41" i="47"/>
  <c r="T42" i="47"/>
  <c r="T53" i="47"/>
  <c r="T54" i="47"/>
  <c r="U55" i="47"/>
  <c r="U56" i="47"/>
  <c r="T57" i="47"/>
  <c r="T58" i="47"/>
  <c r="V61" i="47"/>
  <c r="V62" i="47"/>
  <c r="T63" i="47"/>
  <c r="T64" i="47"/>
  <c r="S69" i="47"/>
  <c r="S70" i="47"/>
  <c r="R75" i="47"/>
  <c r="R76" i="47"/>
  <c r="S13" i="47"/>
  <c r="S14" i="47"/>
  <c r="V15" i="47"/>
  <c r="V16" i="47"/>
  <c r="V23" i="47"/>
  <c r="V24" i="47"/>
  <c r="R29" i="47"/>
  <c r="R30" i="47"/>
  <c r="R33" i="47"/>
  <c r="R34" i="47"/>
  <c r="T37" i="47"/>
  <c r="T38" i="47"/>
  <c r="U41" i="47"/>
  <c r="U42" i="47"/>
  <c r="R49" i="47"/>
  <c r="R50" i="47"/>
  <c r="V53" i="47"/>
  <c r="V54" i="47"/>
  <c r="V57" i="47"/>
  <c r="V58" i="47"/>
  <c r="U59" i="47"/>
  <c r="U60" i="47"/>
  <c r="R61" i="47"/>
  <c r="R62" i="47"/>
  <c r="V63" i="47"/>
  <c r="V64" i="47"/>
  <c r="V67" i="47"/>
  <c r="V68" i="47"/>
  <c r="R71" i="47"/>
  <c r="R72" i="47"/>
  <c r="T75" i="47"/>
  <c r="T76" i="47"/>
  <c r="U14" i="47"/>
  <c r="J13" i="47"/>
  <c r="G246" i="47"/>
  <c r="M8" i="47"/>
  <c r="V13" i="47"/>
  <c r="R13" i="47"/>
  <c r="T13" i="47"/>
  <c r="F48" i="47"/>
  <c r="I47" i="47"/>
  <c r="P120" i="47"/>
  <c r="N109" i="47"/>
  <c r="E16" i="47"/>
  <c r="F15" i="47"/>
  <c r="F16" i="47"/>
  <c r="T21" i="47"/>
  <c r="T22" i="47"/>
  <c r="V21" i="47"/>
  <c r="V22" i="47"/>
  <c r="R21" i="47"/>
  <c r="R22" i="47"/>
  <c r="E24" i="47"/>
  <c r="F23" i="47"/>
  <c r="F24" i="47"/>
  <c r="V25" i="47"/>
  <c r="V26" i="47"/>
  <c r="R25" i="47"/>
  <c r="R26" i="47"/>
  <c r="T25" i="47"/>
  <c r="T26" i="47"/>
  <c r="E30" i="47"/>
  <c r="F29" i="47"/>
  <c r="F30" i="47"/>
  <c r="T31" i="47"/>
  <c r="T32" i="47"/>
  <c r="V31" i="47"/>
  <c r="V32" i="47"/>
  <c r="R31" i="47"/>
  <c r="R32" i="47"/>
  <c r="E34" i="47"/>
  <c r="F33" i="47"/>
  <c r="F34" i="47"/>
  <c r="V35" i="47"/>
  <c r="V36" i="47"/>
  <c r="R35" i="47"/>
  <c r="R36" i="47"/>
  <c r="T35" i="47"/>
  <c r="T36" i="47"/>
  <c r="E38" i="47"/>
  <c r="F37" i="47"/>
  <c r="F38" i="47"/>
  <c r="T39" i="47"/>
  <c r="T40" i="47"/>
  <c r="V39" i="47"/>
  <c r="V40" i="47"/>
  <c r="R39" i="47"/>
  <c r="R40" i="47"/>
  <c r="E42" i="47"/>
  <c r="F41" i="47"/>
  <c r="F42" i="47"/>
  <c r="V43" i="47"/>
  <c r="V44" i="47"/>
  <c r="R43" i="47"/>
  <c r="R44" i="47"/>
  <c r="T43" i="47"/>
  <c r="T44" i="47"/>
  <c r="E46" i="47"/>
  <c r="F46" i="47"/>
  <c r="V47" i="47"/>
  <c r="V48" i="47"/>
  <c r="R47" i="47"/>
  <c r="R48" i="47"/>
  <c r="T47" i="47"/>
  <c r="T48" i="47"/>
  <c r="E50" i="47"/>
  <c r="F49" i="47"/>
  <c r="F50" i="47"/>
  <c r="T51" i="47"/>
  <c r="T52" i="47"/>
  <c r="V51" i="47"/>
  <c r="V52" i="47"/>
  <c r="R51" i="47"/>
  <c r="R52" i="47"/>
  <c r="E54" i="47"/>
  <c r="F53" i="47"/>
  <c r="F54" i="47"/>
  <c r="I85" i="47"/>
  <c r="U15" i="47"/>
  <c r="U16" i="47"/>
  <c r="U29" i="47"/>
  <c r="U30" i="47"/>
  <c r="U37" i="47"/>
  <c r="U38" i="47"/>
  <c r="G49" i="47"/>
  <c r="G50" i="47"/>
  <c r="G53" i="47"/>
  <c r="G54" i="47"/>
  <c r="E64" i="47"/>
  <c r="F63" i="47"/>
  <c r="F64" i="47"/>
  <c r="E118" i="47"/>
  <c r="F117" i="47"/>
  <c r="F118" i="47"/>
  <c r="G117" i="47"/>
  <c r="G118" i="47"/>
  <c r="U47" i="47"/>
  <c r="U48" i="47"/>
  <c r="U51" i="47"/>
  <c r="U52" i="47"/>
  <c r="V55" i="47"/>
  <c r="V56" i="47"/>
  <c r="R55" i="47"/>
  <c r="R56" i="47"/>
  <c r="T55" i="47"/>
  <c r="T56" i="47"/>
  <c r="E58" i="47"/>
  <c r="F57" i="47"/>
  <c r="F58" i="47"/>
  <c r="T59" i="47"/>
  <c r="T60" i="47"/>
  <c r="V59" i="47"/>
  <c r="V60" i="47"/>
  <c r="R59" i="47"/>
  <c r="R60" i="47"/>
  <c r="E62" i="47"/>
  <c r="F61" i="47"/>
  <c r="F62" i="47"/>
  <c r="U49" i="47"/>
  <c r="U50" i="47"/>
  <c r="S53" i="47"/>
  <c r="S54" i="47"/>
  <c r="U57" i="47"/>
  <c r="U58" i="47"/>
  <c r="V65" i="47"/>
  <c r="V66" i="47"/>
  <c r="R65" i="47"/>
  <c r="R66" i="47"/>
  <c r="T65" i="47"/>
  <c r="T66" i="47"/>
  <c r="E68" i="47"/>
  <c r="F67" i="47"/>
  <c r="F68" i="47"/>
  <c r="T69" i="47"/>
  <c r="T70" i="47"/>
  <c r="V69" i="47"/>
  <c r="V70" i="47"/>
  <c r="R69" i="47"/>
  <c r="R70" i="47"/>
  <c r="E72" i="47"/>
  <c r="F71" i="47"/>
  <c r="F72" i="47"/>
  <c r="V73" i="47"/>
  <c r="V74" i="47"/>
  <c r="R73" i="47"/>
  <c r="R74" i="47"/>
  <c r="T73" i="47"/>
  <c r="T74" i="47"/>
  <c r="E76" i="47"/>
  <c r="F75" i="47"/>
  <c r="F76" i="47"/>
  <c r="V85" i="47"/>
  <c r="V86" i="47"/>
  <c r="R85" i="47"/>
  <c r="R86" i="47"/>
  <c r="T85" i="47"/>
  <c r="T86" i="47"/>
  <c r="F110" i="47"/>
  <c r="S63" i="47"/>
  <c r="S64" i="47"/>
  <c r="S71" i="47"/>
  <c r="S72" i="47"/>
  <c r="S77" i="47"/>
  <c r="S78" i="47"/>
  <c r="S117" i="47"/>
  <c r="S118" i="47"/>
  <c r="O231" i="47"/>
  <c r="O232" i="47"/>
  <c r="O217" i="47"/>
  <c r="O218" i="47"/>
  <c r="O229" i="47"/>
  <c r="O230" i="47"/>
  <c r="O55" i="47"/>
  <c r="O56" i="47"/>
  <c r="I18" i="47"/>
  <c r="P219" i="47"/>
  <c r="P220" i="47"/>
  <c r="I141" i="47"/>
  <c r="P233" i="47"/>
  <c r="P234" i="47"/>
  <c r="P217" i="47"/>
  <c r="P218" i="47"/>
  <c r="J196" i="47"/>
  <c r="I198" i="47"/>
  <c r="P223" i="47"/>
  <c r="P224" i="47"/>
  <c r="P221" i="47"/>
  <c r="P222" i="47"/>
  <c r="P225" i="47"/>
  <c r="P226" i="47"/>
  <c r="P229" i="47"/>
  <c r="P230" i="47"/>
  <c r="P227" i="47"/>
  <c r="P228" i="47"/>
  <c r="P231" i="47"/>
  <c r="P232" i="47"/>
  <c r="J236" i="47"/>
  <c r="O235" i="47"/>
  <c r="P215" i="47"/>
  <c r="P216" i="47"/>
  <c r="I212" i="47"/>
  <c r="J211" i="47"/>
  <c r="I214" i="47"/>
  <c r="J213" i="47"/>
  <c r="P209" i="47"/>
  <c r="P210" i="47"/>
  <c r="P208" i="47"/>
  <c r="I204" i="47"/>
  <c r="O89" i="47"/>
  <c r="O90" i="47"/>
  <c r="I165" i="47"/>
  <c r="I74" i="47"/>
  <c r="J82" i="47"/>
  <c r="U197" i="47"/>
  <c r="T197" i="47"/>
  <c r="S197" i="47"/>
  <c r="R197" i="47"/>
  <c r="J162" i="47"/>
  <c r="O162" i="47"/>
  <c r="F191" i="47"/>
  <c r="I114" i="47"/>
  <c r="J113" i="47"/>
  <c r="U193" i="47"/>
  <c r="R193" i="47"/>
  <c r="V193" i="47"/>
  <c r="T193" i="47"/>
  <c r="S193" i="47"/>
  <c r="J93" i="47"/>
  <c r="O93" i="47"/>
  <c r="I127" i="47"/>
  <c r="P187" i="47"/>
  <c r="P188" i="47"/>
  <c r="I44" i="47"/>
  <c r="J92" i="47"/>
  <c r="J160" i="47"/>
  <c r="O160" i="47"/>
  <c r="J139" i="47"/>
  <c r="O138" i="47"/>
  <c r="P195" i="47"/>
  <c r="S194" i="47"/>
  <c r="T194" i="47"/>
  <c r="R194" i="47"/>
  <c r="V194" i="47"/>
  <c r="U194" i="47"/>
  <c r="I200" i="47"/>
  <c r="J204" i="47"/>
  <c r="O203" i="47"/>
  <c r="O201" i="47"/>
  <c r="J202" i="47"/>
  <c r="J197" i="47"/>
  <c r="V124" i="47"/>
  <c r="V125" i="47"/>
  <c r="V177" i="47"/>
  <c r="V178" i="47"/>
  <c r="O73" i="47"/>
  <c r="O74" i="47"/>
  <c r="O87" i="47"/>
  <c r="O88" i="47"/>
  <c r="O136" i="47"/>
  <c r="J172" i="47"/>
  <c r="J173" i="47"/>
  <c r="J144" i="47"/>
  <c r="J145" i="47"/>
  <c r="F119" i="47"/>
  <c r="O134" i="47"/>
  <c r="E119" i="47"/>
  <c r="I56" i="47"/>
  <c r="J185" i="47"/>
  <c r="I186" i="47"/>
  <c r="J166" i="47"/>
  <c r="J167" i="47"/>
  <c r="J154" i="47"/>
  <c r="I155" i="47"/>
  <c r="I159" i="47"/>
  <c r="J158" i="47"/>
  <c r="I153" i="47"/>
  <c r="J152" i="47"/>
  <c r="J174" i="47"/>
  <c r="J178" i="47"/>
  <c r="I129" i="47"/>
  <c r="J128" i="47"/>
  <c r="I133" i="47"/>
  <c r="J132" i="47"/>
  <c r="J165" i="47"/>
  <c r="O164" i="47"/>
  <c r="I147" i="47"/>
  <c r="J146" i="47"/>
  <c r="J163" i="47"/>
  <c r="I184" i="47"/>
  <c r="J183" i="47"/>
  <c r="O140" i="47"/>
  <c r="J141" i="47"/>
  <c r="J131" i="47"/>
  <c r="O130" i="47"/>
  <c r="J182" i="47"/>
  <c r="O181" i="47"/>
  <c r="O122" i="47"/>
  <c r="O125" i="47"/>
  <c r="I151" i="47"/>
  <c r="J150" i="47"/>
  <c r="J143" i="47"/>
  <c r="O142" i="47"/>
  <c r="J127" i="47"/>
  <c r="O126" i="47"/>
  <c r="I157" i="47"/>
  <c r="J156" i="47"/>
  <c r="J149" i="47"/>
  <c r="O148" i="47"/>
  <c r="J171" i="47"/>
  <c r="O170" i="47"/>
  <c r="I169" i="47"/>
  <c r="J168" i="47"/>
  <c r="I180" i="47"/>
  <c r="J179" i="47"/>
  <c r="O189" i="47"/>
  <c r="J190" i="47"/>
  <c r="I80" i="47"/>
  <c r="J79" i="47"/>
  <c r="I40" i="47"/>
  <c r="J109" i="47"/>
  <c r="J110" i="47"/>
  <c r="O51" i="47"/>
  <c r="O52" i="47"/>
  <c r="I60" i="47"/>
  <c r="P115" i="47"/>
  <c r="P116" i="47"/>
  <c r="P111" i="47"/>
  <c r="P112" i="47"/>
  <c r="J44" i="47"/>
  <c r="I52" i="47"/>
  <c r="P27" i="47"/>
  <c r="P28" i="47"/>
  <c r="P105" i="47"/>
  <c r="P106" i="47"/>
  <c r="P107" i="47"/>
  <c r="P108" i="47"/>
  <c r="I104" i="47"/>
  <c r="J103" i="47"/>
  <c r="P101" i="47"/>
  <c r="P102" i="47"/>
  <c r="J100" i="47"/>
  <c r="O99" i="47"/>
  <c r="P97" i="47"/>
  <c r="P98" i="47"/>
  <c r="J95" i="47"/>
  <c r="I96" i="47"/>
  <c r="J94" i="47"/>
  <c r="P87" i="47"/>
  <c r="P88" i="47"/>
  <c r="P91" i="47"/>
  <c r="P92" i="47"/>
  <c r="P83" i="47"/>
  <c r="P84" i="47"/>
  <c r="R45" i="47"/>
  <c r="P81" i="47"/>
  <c r="P82" i="47"/>
  <c r="J77" i="47"/>
  <c r="O77" i="47"/>
  <c r="I67" i="47"/>
  <c r="J67" i="47"/>
  <c r="I65" i="47"/>
  <c r="J60" i="47"/>
  <c r="I69" i="47"/>
  <c r="J69" i="47"/>
  <c r="T45" i="47"/>
  <c r="S45" i="47"/>
  <c r="I26" i="47"/>
  <c r="I75" i="47"/>
  <c r="I76" i="47"/>
  <c r="J26" i="47"/>
  <c r="O39" i="47"/>
  <c r="O40" i="47"/>
  <c r="P17" i="47"/>
  <c r="P18" i="47"/>
  <c r="P19" i="47"/>
  <c r="P20" i="47"/>
  <c r="P55" i="47"/>
  <c r="P56" i="47"/>
  <c r="I36" i="47"/>
  <c r="I22" i="47"/>
  <c r="J31" i="47"/>
  <c r="I32" i="47"/>
  <c r="I71" i="47"/>
  <c r="I72" i="47"/>
  <c r="I63" i="47"/>
  <c r="I64" i="47"/>
  <c r="P59" i="47"/>
  <c r="P60" i="47"/>
  <c r="O35" i="47"/>
  <c r="O36" i="47"/>
  <c r="O21" i="47"/>
  <c r="O22" i="47"/>
  <c r="I57" i="47"/>
  <c r="I58" i="47"/>
  <c r="G46" i="47"/>
  <c r="I41" i="47"/>
  <c r="I42" i="47"/>
  <c r="I37" i="47"/>
  <c r="I38" i="47"/>
  <c r="I33" i="47"/>
  <c r="J33" i="47"/>
  <c r="I29" i="47"/>
  <c r="I30" i="47"/>
  <c r="I23" i="47"/>
  <c r="I24" i="47"/>
  <c r="I15" i="47"/>
  <c r="I16" i="47"/>
  <c r="J47" i="47"/>
  <c r="I48" i="47"/>
  <c r="J14" i="47"/>
  <c r="O13" i="47"/>
  <c r="O45" i="47"/>
  <c r="I61" i="47"/>
  <c r="T109" i="47"/>
  <c r="R109" i="47"/>
  <c r="U109" i="47"/>
  <c r="S109" i="47"/>
  <c r="O44" i="47"/>
  <c r="P43" i="47"/>
  <c r="P44" i="47"/>
  <c r="T14" i="47"/>
  <c r="J85" i="47"/>
  <c r="I86" i="47"/>
  <c r="V14" i="47"/>
  <c r="O26" i="47"/>
  <c r="P25" i="47"/>
  <c r="P26" i="47"/>
  <c r="I117" i="47"/>
  <c r="I53" i="47"/>
  <c r="I49" i="47"/>
  <c r="R14" i="47"/>
  <c r="P51" i="47"/>
  <c r="P52" i="47"/>
  <c r="E242" i="47"/>
  <c r="F242" i="47"/>
  <c r="E241" i="47"/>
  <c r="P89" i="47"/>
  <c r="P90" i="47"/>
  <c r="O196" i="47"/>
  <c r="J198" i="47"/>
  <c r="J205" i="47"/>
  <c r="I205" i="47"/>
  <c r="O236" i="47"/>
  <c r="P235" i="47"/>
  <c r="P236" i="47"/>
  <c r="J214" i="47"/>
  <c r="O213" i="47"/>
  <c r="J212" i="47"/>
  <c r="O211" i="47"/>
  <c r="V195" i="47"/>
  <c r="O113" i="47"/>
  <c r="J114" i="47"/>
  <c r="J161" i="47"/>
  <c r="I191" i="47"/>
  <c r="T195" i="47"/>
  <c r="U195" i="47"/>
  <c r="S195" i="47"/>
  <c r="R195" i="47"/>
  <c r="P73" i="47"/>
  <c r="P74" i="47"/>
  <c r="O144" i="47"/>
  <c r="O145" i="47"/>
  <c r="O172" i="47"/>
  <c r="O173" i="47"/>
  <c r="O139" i="47"/>
  <c r="P138" i="47"/>
  <c r="P139" i="47"/>
  <c r="V191" i="47"/>
  <c r="O197" i="47"/>
  <c r="O204" i="47"/>
  <c r="O202" i="47"/>
  <c r="P201" i="47"/>
  <c r="P202" i="47"/>
  <c r="J200" i="47"/>
  <c r="O199" i="47"/>
  <c r="J37" i="47"/>
  <c r="O37" i="47"/>
  <c r="O135" i="47"/>
  <c r="P134" i="47"/>
  <c r="P135" i="47"/>
  <c r="O137" i="47"/>
  <c r="P136" i="47"/>
  <c r="P137" i="47"/>
  <c r="J186" i="47"/>
  <c r="O185" i="47"/>
  <c r="G119" i="47"/>
  <c r="O166" i="47"/>
  <c r="O167" i="47"/>
  <c r="O154" i="47"/>
  <c r="J155" i="47"/>
  <c r="O179" i="47"/>
  <c r="J180" i="47"/>
  <c r="O141" i="47"/>
  <c r="P140" i="47"/>
  <c r="P141" i="47"/>
  <c r="O163" i="47"/>
  <c r="P162" i="47"/>
  <c r="P163" i="47"/>
  <c r="J159" i="47"/>
  <c r="O158" i="47"/>
  <c r="O149" i="47"/>
  <c r="P148" i="47"/>
  <c r="P149" i="47"/>
  <c r="O127" i="47"/>
  <c r="P126" i="47"/>
  <c r="P127" i="47"/>
  <c r="P122" i="47"/>
  <c r="P125" i="47"/>
  <c r="O131" i="47"/>
  <c r="P130" i="47"/>
  <c r="P131" i="47"/>
  <c r="O183" i="47"/>
  <c r="J184" i="47"/>
  <c r="J147" i="47"/>
  <c r="O146" i="47"/>
  <c r="J133" i="47"/>
  <c r="O132" i="47"/>
  <c r="O190" i="47"/>
  <c r="J169" i="47"/>
  <c r="O168" i="47"/>
  <c r="O171" i="47"/>
  <c r="P170" i="47"/>
  <c r="P171" i="47"/>
  <c r="J157" i="47"/>
  <c r="O156" i="47"/>
  <c r="O143" i="47"/>
  <c r="P142" i="47"/>
  <c r="P143" i="47"/>
  <c r="J151" i="47"/>
  <c r="O150" i="47"/>
  <c r="O182" i="47"/>
  <c r="P181" i="47"/>
  <c r="P182" i="47"/>
  <c r="O165" i="47"/>
  <c r="P164" i="47"/>
  <c r="P165" i="47"/>
  <c r="J129" i="47"/>
  <c r="O128" i="47"/>
  <c r="O174" i="47"/>
  <c r="O178" i="47"/>
  <c r="J153" i="47"/>
  <c r="O152" i="47"/>
  <c r="O161" i="47"/>
  <c r="P160" i="47"/>
  <c r="P161" i="47"/>
  <c r="O109" i="47"/>
  <c r="O110" i="47"/>
  <c r="I70" i="47"/>
  <c r="J57" i="47"/>
  <c r="O57" i="47"/>
  <c r="J80" i="47"/>
  <c r="O79" i="47"/>
  <c r="P21" i="47"/>
  <c r="P22" i="47"/>
  <c r="J78" i="47"/>
  <c r="J15" i="47"/>
  <c r="O15" i="47"/>
  <c r="J63" i="47"/>
  <c r="J64" i="47"/>
  <c r="J71" i="47"/>
  <c r="J72" i="47"/>
  <c r="P39" i="47"/>
  <c r="P40" i="47"/>
  <c r="I68" i="47"/>
  <c r="J104" i="47"/>
  <c r="O103" i="47"/>
  <c r="O100" i="47"/>
  <c r="P99" i="47"/>
  <c r="P100" i="47"/>
  <c r="J96" i="47"/>
  <c r="O95" i="47"/>
  <c r="O94" i="47"/>
  <c r="P93" i="47"/>
  <c r="P94" i="47"/>
  <c r="J75" i="47"/>
  <c r="O75" i="47"/>
  <c r="J65" i="47"/>
  <c r="I66" i="47"/>
  <c r="J41" i="47"/>
  <c r="J42" i="47"/>
  <c r="I34" i="47"/>
  <c r="G248" i="47"/>
  <c r="J248" i="47"/>
  <c r="J23" i="47"/>
  <c r="O23" i="47"/>
  <c r="J32" i="47"/>
  <c r="O31" i="47"/>
  <c r="P35" i="47"/>
  <c r="P36" i="47"/>
  <c r="J29" i="47"/>
  <c r="J30" i="47"/>
  <c r="R46" i="47"/>
  <c r="S110" i="47"/>
  <c r="T46" i="47"/>
  <c r="S46" i="47"/>
  <c r="I118" i="47"/>
  <c r="J117" i="47"/>
  <c r="T110" i="47"/>
  <c r="U46" i="47"/>
  <c r="J48" i="47"/>
  <c r="O47" i="47"/>
  <c r="U110" i="47"/>
  <c r="O14" i="47"/>
  <c r="P13" i="47"/>
  <c r="O33" i="47"/>
  <c r="J34" i="47"/>
  <c r="O78" i="47"/>
  <c r="P77" i="47"/>
  <c r="P78" i="47"/>
  <c r="I50" i="47"/>
  <c r="J49" i="47"/>
  <c r="J70" i="47"/>
  <c r="O69" i="47"/>
  <c r="O67" i="47"/>
  <c r="J68" i="47"/>
  <c r="R110" i="47"/>
  <c r="I46" i="47"/>
  <c r="I62" i="47"/>
  <c r="J61" i="47"/>
  <c r="I54" i="47"/>
  <c r="J53" i="47"/>
  <c r="J86" i="47"/>
  <c r="O85" i="47"/>
  <c r="V109" i="47"/>
  <c r="V110" i="47"/>
  <c r="V45" i="47"/>
  <c r="P45" i="47"/>
  <c r="X191" i="47"/>
  <c r="V196" i="47"/>
  <c r="V198" i="47"/>
  <c r="V205" i="47"/>
  <c r="V240" i="47"/>
  <c r="J38" i="47"/>
  <c r="P196" i="47"/>
  <c r="O214" i="47"/>
  <c r="P213" i="47"/>
  <c r="P214" i="47"/>
  <c r="O212" i="47"/>
  <c r="P211" i="47"/>
  <c r="P212" i="47"/>
  <c r="P172" i="47"/>
  <c r="P173" i="47"/>
  <c r="J191" i="47"/>
  <c r="O41" i="47"/>
  <c r="O42" i="47"/>
  <c r="O198" i="47"/>
  <c r="V197" i="47"/>
  <c r="O114" i="47"/>
  <c r="P113" i="47"/>
  <c r="P114" i="47"/>
  <c r="P144" i="47"/>
  <c r="P145" i="47"/>
  <c r="P109" i="47"/>
  <c r="P110" i="47"/>
  <c r="O200" i="47"/>
  <c r="P199" i="47"/>
  <c r="P200" i="47"/>
  <c r="P197" i="47"/>
  <c r="O186" i="47"/>
  <c r="P185" i="47"/>
  <c r="P186" i="47"/>
  <c r="O63" i="47"/>
  <c r="O64" i="47"/>
  <c r="I119" i="47"/>
  <c r="P166" i="47"/>
  <c r="P167" i="47"/>
  <c r="O155" i="47"/>
  <c r="P154" i="47"/>
  <c r="P155" i="47"/>
  <c r="O184" i="47"/>
  <c r="P183" i="47"/>
  <c r="P184" i="47"/>
  <c r="O153" i="47"/>
  <c r="P152" i="47"/>
  <c r="P153" i="47"/>
  <c r="O129" i="47"/>
  <c r="P128" i="47"/>
  <c r="P129" i="47"/>
  <c r="O133" i="47"/>
  <c r="P132" i="47"/>
  <c r="P133" i="47"/>
  <c r="O147" i="47"/>
  <c r="P146" i="47"/>
  <c r="P147" i="47"/>
  <c r="O159" i="47"/>
  <c r="P158" i="47"/>
  <c r="P159" i="47"/>
  <c r="P174" i="47"/>
  <c r="P178" i="47"/>
  <c r="O151" i="47"/>
  <c r="P150" i="47"/>
  <c r="P151" i="47"/>
  <c r="O157" i="47"/>
  <c r="P156" i="47"/>
  <c r="P157" i="47"/>
  <c r="O169" i="47"/>
  <c r="P168" i="47"/>
  <c r="P169" i="47"/>
  <c r="O180" i="47"/>
  <c r="P179" i="47"/>
  <c r="P180" i="47"/>
  <c r="J16" i="47"/>
  <c r="J58" i="47"/>
  <c r="O80" i="47"/>
  <c r="P79" i="47"/>
  <c r="P80" i="47"/>
  <c r="O71" i="47"/>
  <c r="O72" i="47"/>
  <c r="O29" i="47"/>
  <c r="P29" i="47"/>
  <c r="P30" i="47"/>
  <c r="J76" i="47"/>
  <c r="O104" i="47"/>
  <c r="P103" i="47"/>
  <c r="P104" i="47"/>
  <c r="O96" i="47"/>
  <c r="P95" i="47"/>
  <c r="P96" i="47"/>
  <c r="J66" i="47"/>
  <c r="O65" i="47"/>
  <c r="J24" i="47"/>
  <c r="O32" i="47"/>
  <c r="P31" i="47"/>
  <c r="P32" i="47"/>
  <c r="O68" i="47"/>
  <c r="P67" i="47"/>
  <c r="P68" i="47"/>
  <c r="O38" i="47"/>
  <c r="P37" i="47"/>
  <c r="P38" i="47"/>
  <c r="J46" i="47"/>
  <c r="O49" i="47"/>
  <c r="J50" i="47"/>
  <c r="O76" i="47"/>
  <c r="P75" i="47"/>
  <c r="P76" i="47"/>
  <c r="J54" i="47"/>
  <c r="O53" i="47"/>
  <c r="P14" i="47"/>
  <c r="J62" i="47"/>
  <c r="O61" i="47"/>
  <c r="O48" i="47"/>
  <c r="P47" i="47"/>
  <c r="P48" i="47"/>
  <c r="O58" i="47"/>
  <c r="P57" i="47"/>
  <c r="P58" i="47"/>
  <c r="J118" i="47"/>
  <c r="O117" i="47"/>
  <c r="O86" i="47"/>
  <c r="P85" i="47"/>
  <c r="P86" i="47"/>
  <c r="O24" i="47"/>
  <c r="P23" i="47"/>
  <c r="P24" i="47"/>
  <c r="O70" i="47"/>
  <c r="P69" i="47"/>
  <c r="P70" i="47"/>
  <c r="O34" i="47"/>
  <c r="P33" i="47"/>
  <c r="P34" i="47"/>
  <c r="O16" i="47"/>
  <c r="P15" i="47"/>
  <c r="P16" i="47"/>
  <c r="P41" i="47"/>
  <c r="P42" i="47"/>
  <c r="X205" i="47"/>
  <c r="O205" i="47"/>
  <c r="P198" i="47"/>
  <c r="P71" i="47"/>
  <c r="P72" i="47"/>
  <c r="O191" i="47"/>
  <c r="J119" i="47"/>
  <c r="J250" i="47"/>
  <c r="P63" i="47"/>
  <c r="P64" i="47"/>
  <c r="O30" i="47"/>
  <c r="O66" i="47"/>
  <c r="P65" i="47"/>
  <c r="P66" i="47"/>
  <c r="O50" i="47"/>
  <c r="P49" i="47"/>
  <c r="P50" i="47"/>
  <c r="O62" i="47"/>
  <c r="P61" i="47"/>
  <c r="P62" i="47"/>
  <c r="O54" i="47"/>
  <c r="P53" i="47"/>
  <c r="P54" i="47"/>
  <c r="O118" i="47"/>
  <c r="P117" i="47"/>
  <c r="P118" i="47"/>
  <c r="P46" i="47"/>
  <c r="O46" i="47"/>
  <c r="K241" i="47"/>
  <c r="G252" i="47"/>
  <c r="J252" i="47"/>
  <c r="V46" i="47"/>
  <c r="G254" i="47"/>
  <c r="J254" i="47"/>
  <c r="J202" i="22"/>
  <c r="G202" i="22"/>
  <c r="J200" i="22"/>
  <c r="G200" i="22"/>
  <c r="J198" i="22"/>
  <c r="G198" i="22"/>
  <c r="G196" i="22"/>
  <c r="F192" i="22"/>
  <c r="E192" i="22"/>
  <c r="K191" i="22"/>
  <c r="E191" i="22"/>
  <c r="O190" i="22"/>
  <c r="K190" i="22"/>
  <c r="J190" i="22"/>
  <c r="I190" i="22"/>
  <c r="H190" i="22"/>
  <c r="G190" i="22"/>
  <c r="F190" i="22"/>
  <c r="E190" i="22"/>
  <c r="O188" i="22"/>
  <c r="K188" i="22"/>
  <c r="J188" i="22"/>
  <c r="I188" i="22"/>
  <c r="H188" i="22"/>
  <c r="G188" i="22"/>
  <c r="F188" i="22"/>
  <c r="E188" i="22"/>
  <c r="O187" i="22"/>
  <c r="N187" i="22"/>
  <c r="U187" i="22"/>
  <c r="U188" i="22"/>
  <c r="J187" i="22"/>
  <c r="I187" i="22"/>
  <c r="G187" i="22"/>
  <c r="F187" i="22"/>
  <c r="O186" i="22"/>
  <c r="K186" i="22"/>
  <c r="J186" i="22"/>
  <c r="I186" i="22"/>
  <c r="H186" i="22"/>
  <c r="G186" i="22"/>
  <c r="F186" i="22"/>
  <c r="E186" i="22"/>
  <c r="O185" i="22"/>
  <c r="N185" i="22"/>
  <c r="S185" i="22"/>
  <c r="K185" i="22"/>
  <c r="J185" i="22"/>
  <c r="I185" i="22"/>
  <c r="G185" i="22"/>
  <c r="F185" i="22"/>
  <c r="O184" i="22"/>
  <c r="N184" i="22"/>
  <c r="J184" i="22"/>
  <c r="I184" i="22"/>
  <c r="G184" i="22"/>
  <c r="F184" i="22"/>
  <c r="O183" i="22"/>
  <c r="N183" i="22"/>
  <c r="T183" i="22"/>
  <c r="J183" i="22"/>
  <c r="I183" i="22"/>
  <c r="G183" i="22"/>
  <c r="F183" i="22"/>
  <c r="O182" i="22"/>
  <c r="K182" i="22"/>
  <c r="J182" i="22"/>
  <c r="I182" i="22"/>
  <c r="H182" i="22"/>
  <c r="G182" i="22"/>
  <c r="F182" i="22"/>
  <c r="E182" i="22"/>
  <c r="O181" i="22"/>
  <c r="N181" i="22"/>
  <c r="U181" i="22"/>
  <c r="J181" i="22"/>
  <c r="I181" i="22"/>
  <c r="G181" i="22"/>
  <c r="F181" i="22"/>
  <c r="O180" i="22"/>
  <c r="N180" i="22"/>
  <c r="J180" i="22"/>
  <c r="I180" i="22"/>
  <c r="G180" i="22"/>
  <c r="F180" i="22"/>
  <c r="O179" i="22"/>
  <c r="K179" i="22"/>
  <c r="J179" i="22"/>
  <c r="I179" i="22"/>
  <c r="H179" i="22"/>
  <c r="G179" i="22"/>
  <c r="F179" i="22"/>
  <c r="E179" i="22"/>
  <c r="O178" i="22"/>
  <c r="N178" i="22"/>
  <c r="U178" i="22"/>
  <c r="J178" i="22"/>
  <c r="I178" i="22"/>
  <c r="G178" i="22"/>
  <c r="F178" i="22"/>
  <c r="O177" i="22"/>
  <c r="N177" i="22"/>
  <c r="J177" i="22"/>
  <c r="I177" i="22"/>
  <c r="G177" i="22"/>
  <c r="F177" i="22"/>
  <c r="O176" i="22"/>
  <c r="N176" i="22"/>
  <c r="U176" i="22"/>
  <c r="J176" i="22"/>
  <c r="I176" i="22"/>
  <c r="G176" i="22"/>
  <c r="F176" i="22"/>
  <c r="O175" i="22"/>
  <c r="K175" i="22"/>
  <c r="J175" i="22"/>
  <c r="I175" i="22"/>
  <c r="H175" i="22"/>
  <c r="G175" i="22"/>
  <c r="F175" i="22"/>
  <c r="E175" i="22"/>
  <c r="O174" i="22"/>
  <c r="N174" i="22"/>
  <c r="J174" i="22"/>
  <c r="I174" i="22"/>
  <c r="G174" i="22"/>
  <c r="F174" i="22"/>
  <c r="O173" i="22"/>
  <c r="K173" i="22"/>
  <c r="J173" i="22"/>
  <c r="I173" i="22"/>
  <c r="H173" i="22"/>
  <c r="G173" i="22"/>
  <c r="F173" i="22"/>
  <c r="E173" i="22"/>
  <c r="O172" i="22"/>
  <c r="N172" i="22"/>
  <c r="U172" i="22"/>
  <c r="U173" i="22"/>
  <c r="J172" i="22"/>
  <c r="I172" i="22"/>
  <c r="G172" i="22"/>
  <c r="F172" i="22"/>
  <c r="O171" i="22"/>
  <c r="K171" i="22"/>
  <c r="J171" i="22"/>
  <c r="I171" i="22"/>
  <c r="H171" i="22"/>
  <c r="G171" i="22"/>
  <c r="F171" i="22"/>
  <c r="E171" i="22"/>
  <c r="O170" i="22"/>
  <c r="N170" i="22"/>
  <c r="J170" i="22"/>
  <c r="I170" i="22"/>
  <c r="G170" i="22"/>
  <c r="F170" i="22"/>
  <c r="O169" i="22"/>
  <c r="N169" i="22"/>
  <c r="J169" i="22"/>
  <c r="I169" i="22"/>
  <c r="G169" i="22"/>
  <c r="F169" i="22"/>
  <c r="O168" i="22"/>
  <c r="N168" i="22"/>
  <c r="J168" i="22"/>
  <c r="I168" i="22"/>
  <c r="G168" i="22"/>
  <c r="F168" i="22"/>
  <c r="O167" i="22"/>
  <c r="N167" i="22"/>
  <c r="U167" i="22"/>
  <c r="J167" i="22"/>
  <c r="I167" i="22"/>
  <c r="G167" i="22"/>
  <c r="F167" i="22"/>
  <c r="O166" i="22"/>
  <c r="K166" i="22"/>
  <c r="J166" i="22"/>
  <c r="I166" i="22"/>
  <c r="H166" i="22"/>
  <c r="G166" i="22"/>
  <c r="F166" i="22"/>
  <c r="E166" i="22"/>
  <c r="O165" i="22"/>
  <c r="N165" i="22"/>
  <c r="J165" i="22"/>
  <c r="I165" i="22"/>
  <c r="G165" i="22"/>
  <c r="F165" i="22"/>
  <c r="O164" i="22"/>
  <c r="N164" i="22"/>
  <c r="J164" i="22"/>
  <c r="I164" i="22"/>
  <c r="G164" i="22"/>
  <c r="F164" i="22"/>
  <c r="O163" i="22"/>
  <c r="J163" i="22"/>
  <c r="I163" i="22"/>
  <c r="G163" i="22"/>
  <c r="F163" i="22"/>
  <c r="O162" i="22"/>
  <c r="N162" i="22"/>
  <c r="J162" i="22"/>
  <c r="I162" i="22"/>
  <c r="G162" i="22"/>
  <c r="F162" i="22"/>
  <c r="O161" i="22"/>
  <c r="N161" i="22"/>
  <c r="J161" i="22"/>
  <c r="I161" i="22"/>
  <c r="G161" i="22"/>
  <c r="F161" i="22"/>
  <c r="O160" i="22"/>
  <c r="N160" i="22"/>
  <c r="J160" i="22"/>
  <c r="I160" i="22"/>
  <c r="G160" i="22"/>
  <c r="F160" i="22"/>
  <c r="O159" i="22"/>
  <c r="N159" i="22"/>
  <c r="J159" i="22"/>
  <c r="I159" i="22"/>
  <c r="G159" i="22"/>
  <c r="F159" i="22"/>
  <c r="O158" i="22"/>
  <c r="N158" i="22"/>
  <c r="T158" i="22"/>
  <c r="J158" i="22"/>
  <c r="I158" i="22"/>
  <c r="G158" i="22"/>
  <c r="F158" i="22"/>
  <c r="O157" i="22"/>
  <c r="J157" i="22"/>
  <c r="I157" i="22"/>
  <c r="G157" i="22"/>
  <c r="F157" i="22"/>
  <c r="O156" i="22"/>
  <c r="J156" i="22"/>
  <c r="I156" i="22"/>
  <c r="G156" i="22"/>
  <c r="F156" i="22"/>
  <c r="O155" i="22"/>
  <c r="N155" i="22"/>
  <c r="J155" i="22"/>
  <c r="I155" i="22"/>
  <c r="G155" i="22"/>
  <c r="F155" i="22"/>
  <c r="O154" i="22"/>
  <c r="N154" i="22"/>
  <c r="J154" i="22"/>
  <c r="I154" i="22"/>
  <c r="G154" i="22"/>
  <c r="F154" i="22"/>
  <c r="O153" i="22"/>
  <c r="N153" i="22"/>
  <c r="S153" i="22"/>
  <c r="J153" i="22"/>
  <c r="I153" i="22"/>
  <c r="G153" i="22"/>
  <c r="F153" i="22"/>
  <c r="O152" i="22"/>
  <c r="K152" i="22"/>
  <c r="J152" i="22"/>
  <c r="I152" i="22"/>
  <c r="H152" i="22"/>
  <c r="G152" i="22"/>
  <c r="F152" i="22"/>
  <c r="E152" i="22"/>
  <c r="O151" i="22"/>
  <c r="N151" i="22"/>
  <c r="S151" i="22"/>
  <c r="J151" i="22"/>
  <c r="I151" i="22"/>
  <c r="G151" i="22"/>
  <c r="F151" i="22"/>
  <c r="O150" i="22"/>
  <c r="N150" i="22"/>
  <c r="R150" i="22"/>
  <c r="J150" i="22"/>
  <c r="I150" i="22"/>
  <c r="G150" i="22"/>
  <c r="F150" i="22"/>
  <c r="O149" i="22"/>
  <c r="N149" i="22"/>
  <c r="J149" i="22"/>
  <c r="I149" i="22"/>
  <c r="G149" i="22"/>
  <c r="F149" i="22"/>
  <c r="O148" i="22"/>
  <c r="N148" i="22"/>
  <c r="V148" i="22"/>
  <c r="J148" i="22"/>
  <c r="I148" i="22"/>
  <c r="G148" i="22"/>
  <c r="F148" i="22"/>
  <c r="O147" i="22"/>
  <c r="N147" i="22"/>
  <c r="J147" i="22"/>
  <c r="I147" i="22"/>
  <c r="G147" i="22"/>
  <c r="F147" i="22"/>
  <c r="O146" i="22"/>
  <c r="N146" i="22"/>
  <c r="S146" i="22"/>
  <c r="J146" i="22"/>
  <c r="I146" i="22"/>
  <c r="G146" i="22"/>
  <c r="F146" i="22"/>
  <c r="O145" i="22"/>
  <c r="N145" i="22"/>
  <c r="U145" i="22"/>
  <c r="J145" i="22"/>
  <c r="I145" i="22"/>
  <c r="G145" i="22"/>
  <c r="F145" i="22"/>
  <c r="O144" i="22"/>
  <c r="N144" i="22"/>
  <c r="V144" i="22"/>
  <c r="J144" i="22"/>
  <c r="I144" i="22"/>
  <c r="G144" i="22"/>
  <c r="F144" i="22"/>
  <c r="O143" i="22"/>
  <c r="N143" i="22"/>
  <c r="J143" i="22"/>
  <c r="I143" i="22"/>
  <c r="G143" i="22"/>
  <c r="F143" i="22"/>
  <c r="O142" i="22"/>
  <c r="N142" i="22"/>
  <c r="S142" i="22"/>
  <c r="J142" i="22"/>
  <c r="I142" i="22"/>
  <c r="G142" i="22"/>
  <c r="F142" i="22"/>
  <c r="O141" i="22"/>
  <c r="N141" i="22"/>
  <c r="U141" i="22"/>
  <c r="J141" i="22"/>
  <c r="I141" i="22"/>
  <c r="G141" i="22"/>
  <c r="F141" i="22"/>
  <c r="O140" i="22"/>
  <c r="N140" i="22"/>
  <c r="T140" i="22"/>
  <c r="J140" i="22"/>
  <c r="I140" i="22"/>
  <c r="G140" i="22"/>
  <c r="F140" i="22"/>
  <c r="O139" i="22"/>
  <c r="K139" i="22"/>
  <c r="J139" i="22"/>
  <c r="I139" i="22"/>
  <c r="H139" i="22"/>
  <c r="G139" i="22"/>
  <c r="F139" i="22"/>
  <c r="O138" i="22"/>
  <c r="N138" i="22"/>
  <c r="J138" i="22"/>
  <c r="I138" i="22"/>
  <c r="G138" i="22"/>
  <c r="F138" i="22"/>
  <c r="O137" i="22"/>
  <c r="N137" i="22"/>
  <c r="V137" i="22"/>
  <c r="J137" i="22"/>
  <c r="I137" i="22"/>
  <c r="G137" i="22"/>
  <c r="F137" i="22"/>
  <c r="O136" i="22"/>
  <c r="N136" i="22"/>
  <c r="T136" i="22"/>
  <c r="J136" i="22"/>
  <c r="I136" i="22"/>
  <c r="G136" i="22"/>
  <c r="F136" i="22"/>
  <c r="O135" i="22"/>
  <c r="N135" i="22"/>
  <c r="U135" i="22"/>
  <c r="J135" i="22"/>
  <c r="I135" i="22"/>
  <c r="G135" i="22"/>
  <c r="F135" i="22"/>
  <c r="O134" i="22"/>
  <c r="N134" i="22"/>
  <c r="T134" i="22"/>
  <c r="J134" i="22"/>
  <c r="I134" i="22"/>
  <c r="G134" i="22"/>
  <c r="F134" i="22"/>
  <c r="O133" i="22"/>
  <c r="K133" i="22"/>
  <c r="J133" i="22"/>
  <c r="I133" i="22"/>
  <c r="H133" i="22"/>
  <c r="G133" i="22"/>
  <c r="F133" i="22"/>
  <c r="E133" i="22"/>
  <c r="O132" i="22"/>
  <c r="N132" i="22"/>
  <c r="J132" i="22"/>
  <c r="I132" i="22"/>
  <c r="G132" i="22"/>
  <c r="F132" i="22"/>
  <c r="O131" i="22"/>
  <c r="N131" i="22"/>
  <c r="T131" i="22"/>
  <c r="J131" i="22"/>
  <c r="I131" i="22"/>
  <c r="G131" i="22"/>
  <c r="F131" i="22"/>
  <c r="O130" i="22"/>
  <c r="N130" i="22"/>
  <c r="T130" i="22"/>
  <c r="J130" i="22"/>
  <c r="I130" i="22"/>
  <c r="G130" i="22"/>
  <c r="F130" i="22"/>
  <c r="O129" i="22"/>
  <c r="N129" i="22"/>
  <c r="T129" i="22"/>
  <c r="J129" i="22"/>
  <c r="I129" i="22"/>
  <c r="G129" i="22"/>
  <c r="F129" i="22"/>
  <c r="O128" i="22"/>
  <c r="N128" i="22"/>
  <c r="T128" i="22"/>
  <c r="J128" i="22"/>
  <c r="I128" i="22"/>
  <c r="G128" i="22"/>
  <c r="F128" i="22"/>
  <c r="O127" i="22"/>
  <c r="N127" i="22"/>
  <c r="T127" i="22"/>
  <c r="J127" i="22"/>
  <c r="I127" i="22"/>
  <c r="G127" i="22"/>
  <c r="F127" i="22"/>
  <c r="O126" i="22"/>
  <c r="N126" i="22"/>
  <c r="T126" i="22"/>
  <c r="J126" i="22"/>
  <c r="I126" i="22"/>
  <c r="G126" i="22"/>
  <c r="F126" i="22"/>
  <c r="O125" i="22"/>
  <c r="N125" i="22"/>
  <c r="T125" i="22"/>
  <c r="J125" i="22"/>
  <c r="I125" i="22"/>
  <c r="G125" i="22"/>
  <c r="F125" i="22"/>
  <c r="O124" i="22"/>
  <c r="N124" i="22"/>
  <c r="J124" i="22"/>
  <c r="I124" i="22"/>
  <c r="G124" i="22"/>
  <c r="F124" i="22"/>
  <c r="O123" i="22"/>
  <c r="N123" i="22"/>
  <c r="T123" i="22"/>
  <c r="J123" i="22"/>
  <c r="I123" i="22"/>
  <c r="G123" i="22"/>
  <c r="F123" i="22"/>
  <c r="O122" i="22"/>
  <c r="N122" i="22"/>
  <c r="T122" i="22"/>
  <c r="J122" i="22"/>
  <c r="I122" i="22"/>
  <c r="G122" i="22"/>
  <c r="F122" i="22"/>
  <c r="O121" i="22"/>
  <c r="N121" i="22"/>
  <c r="T121" i="22"/>
  <c r="J121" i="22"/>
  <c r="I121" i="22"/>
  <c r="G121" i="22"/>
  <c r="F121" i="22"/>
  <c r="O120" i="22"/>
  <c r="N120" i="22"/>
  <c r="T120" i="22"/>
  <c r="J120" i="22"/>
  <c r="I120" i="22"/>
  <c r="G120" i="22"/>
  <c r="F120" i="22"/>
  <c r="O119" i="22"/>
  <c r="N119" i="22"/>
  <c r="T119" i="22"/>
  <c r="J119" i="22"/>
  <c r="I119" i="22"/>
  <c r="G119" i="22"/>
  <c r="F119" i="22"/>
  <c r="O118" i="22"/>
  <c r="N118" i="22"/>
  <c r="T118" i="22"/>
  <c r="J118" i="22"/>
  <c r="I118" i="22"/>
  <c r="G118" i="22"/>
  <c r="F118" i="22"/>
  <c r="O117" i="22"/>
  <c r="N117" i="22"/>
  <c r="T117" i="22"/>
  <c r="J117" i="22"/>
  <c r="I117" i="22"/>
  <c r="G117" i="22"/>
  <c r="F117" i="22"/>
  <c r="O116" i="22"/>
  <c r="K116" i="22"/>
  <c r="J116" i="22"/>
  <c r="I116" i="22"/>
  <c r="H116" i="22"/>
  <c r="G116" i="22"/>
  <c r="F116" i="22"/>
  <c r="E116" i="22"/>
  <c r="O115" i="22"/>
  <c r="N115" i="22"/>
  <c r="J115" i="22"/>
  <c r="I115" i="22"/>
  <c r="G115" i="22"/>
  <c r="F115" i="22"/>
  <c r="O114" i="22"/>
  <c r="N114" i="22"/>
  <c r="J114" i="22"/>
  <c r="I114" i="22"/>
  <c r="G114" i="22"/>
  <c r="F114" i="22"/>
  <c r="O113" i="22"/>
  <c r="N113" i="22"/>
  <c r="V113" i="22"/>
  <c r="J113" i="22"/>
  <c r="I113" i="22"/>
  <c r="G113" i="22"/>
  <c r="F113" i="22"/>
  <c r="O112" i="22"/>
  <c r="N112" i="22"/>
  <c r="J112" i="22"/>
  <c r="I112" i="22"/>
  <c r="G112" i="22"/>
  <c r="F112" i="22"/>
  <c r="O111" i="22"/>
  <c r="N111" i="22"/>
  <c r="J111" i="22"/>
  <c r="I111" i="22"/>
  <c r="G111" i="22"/>
  <c r="F111" i="22"/>
  <c r="O110" i="22"/>
  <c r="N110" i="22"/>
  <c r="U110" i="22"/>
  <c r="J110" i="22"/>
  <c r="I110" i="22"/>
  <c r="G110" i="22"/>
  <c r="F110" i="22"/>
  <c r="O109" i="22"/>
  <c r="N109" i="22"/>
  <c r="U109" i="22"/>
  <c r="J109" i="22"/>
  <c r="I109" i="22"/>
  <c r="G109" i="22"/>
  <c r="F109" i="22"/>
  <c r="O108" i="22"/>
  <c r="N108" i="22"/>
  <c r="R108" i="22"/>
  <c r="J108" i="22"/>
  <c r="I108" i="22"/>
  <c r="G108" i="22"/>
  <c r="F108" i="22"/>
  <c r="O107" i="22"/>
  <c r="K107" i="22"/>
  <c r="J107" i="22"/>
  <c r="I107" i="22"/>
  <c r="H107" i="22"/>
  <c r="G107" i="22"/>
  <c r="F107" i="22"/>
  <c r="E107" i="22"/>
  <c r="O106" i="22"/>
  <c r="N106" i="22"/>
  <c r="J106" i="22"/>
  <c r="I106" i="22"/>
  <c r="G106" i="22"/>
  <c r="F106" i="22"/>
  <c r="O105" i="22"/>
  <c r="N105" i="22"/>
  <c r="T105" i="22"/>
  <c r="J105" i="22"/>
  <c r="I105" i="22"/>
  <c r="G105" i="22"/>
  <c r="F105" i="22"/>
  <c r="O104" i="22"/>
  <c r="N104" i="22"/>
  <c r="T104" i="22"/>
  <c r="J104" i="22"/>
  <c r="I104" i="22"/>
  <c r="G104" i="22"/>
  <c r="F104" i="22"/>
  <c r="O103" i="22"/>
  <c r="N103" i="22"/>
  <c r="J103" i="22"/>
  <c r="I103" i="22"/>
  <c r="G103" i="22"/>
  <c r="F103" i="22"/>
  <c r="O102" i="22"/>
  <c r="K102" i="22"/>
  <c r="J102" i="22"/>
  <c r="I102" i="22"/>
  <c r="H102" i="22"/>
  <c r="G102" i="22"/>
  <c r="F102" i="22"/>
  <c r="E102" i="22"/>
  <c r="O101" i="22"/>
  <c r="N101" i="22"/>
  <c r="S101" i="22"/>
  <c r="S102" i="22"/>
  <c r="J101" i="22"/>
  <c r="I101" i="22"/>
  <c r="G101" i="22"/>
  <c r="F101" i="22"/>
  <c r="O100" i="22"/>
  <c r="K100" i="22"/>
  <c r="J100" i="22"/>
  <c r="I100" i="22"/>
  <c r="H100" i="22"/>
  <c r="G100" i="22"/>
  <c r="F100" i="22"/>
  <c r="E100" i="22"/>
  <c r="O99" i="22"/>
  <c r="N99" i="22"/>
  <c r="S99" i="22"/>
  <c r="J99" i="22"/>
  <c r="I99" i="22"/>
  <c r="G99" i="22"/>
  <c r="F99" i="22"/>
  <c r="O98" i="22"/>
  <c r="N98" i="22"/>
  <c r="S98" i="22"/>
  <c r="J98" i="22"/>
  <c r="I98" i="22"/>
  <c r="G98" i="22"/>
  <c r="F98" i="22"/>
  <c r="O97" i="22"/>
  <c r="N97" i="22"/>
  <c r="J97" i="22"/>
  <c r="I97" i="22"/>
  <c r="G97" i="22"/>
  <c r="F97" i="22"/>
  <c r="O96" i="22"/>
  <c r="N96" i="22"/>
  <c r="J96" i="22"/>
  <c r="I96" i="22"/>
  <c r="G96" i="22"/>
  <c r="F96" i="22"/>
  <c r="O95" i="22"/>
  <c r="N95" i="22"/>
  <c r="S95" i="22"/>
  <c r="J95" i="22"/>
  <c r="I95" i="22"/>
  <c r="G95" i="22"/>
  <c r="F95" i="22"/>
  <c r="O94" i="22"/>
  <c r="N94" i="22"/>
  <c r="S94" i="22"/>
  <c r="J94" i="22"/>
  <c r="I94" i="22"/>
  <c r="G94" i="22"/>
  <c r="F94" i="22"/>
  <c r="O93" i="22"/>
  <c r="N93" i="22"/>
  <c r="J93" i="22"/>
  <c r="I93" i="22"/>
  <c r="G93" i="22"/>
  <c r="F93" i="22"/>
  <c r="O92" i="22"/>
  <c r="K92" i="22"/>
  <c r="J92" i="22"/>
  <c r="I92" i="22"/>
  <c r="H92" i="22"/>
  <c r="G92" i="22"/>
  <c r="F92" i="22"/>
  <c r="E92" i="22"/>
  <c r="O91" i="22"/>
  <c r="N91" i="22"/>
  <c r="U91" i="22"/>
  <c r="J91" i="22"/>
  <c r="I91" i="22"/>
  <c r="G91" i="22"/>
  <c r="F91" i="22"/>
  <c r="O90" i="22"/>
  <c r="N90" i="22"/>
  <c r="T90" i="22"/>
  <c r="J90" i="22"/>
  <c r="I90" i="22"/>
  <c r="G90" i="22"/>
  <c r="F90" i="22"/>
  <c r="O89" i="22"/>
  <c r="N89" i="22"/>
  <c r="S89" i="22"/>
  <c r="J89" i="22"/>
  <c r="I89" i="22"/>
  <c r="G89" i="22"/>
  <c r="F89" i="22"/>
  <c r="O88" i="22"/>
  <c r="N88" i="22"/>
  <c r="J88" i="22"/>
  <c r="I88" i="22"/>
  <c r="G88" i="22"/>
  <c r="F88" i="22"/>
  <c r="O87" i="22"/>
  <c r="N87" i="22"/>
  <c r="T87" i="22"/>
  <c r="J87" i="22"/>
  <c r="I87" i="22"/>
  <c r="G87" i="22"/>
  <c r="F87" i="22"/>
  <c r="O86" i="22"/>
  <c r="N86" i="22"/>
  <c r="R86" i="22"/>
  <c r="J86" i="22"/>
  <c r="I86" i="22"/>
  <c r="G86" i="22"/>
  <c r="F86" i="22"/>
  <c r="O85" i="22"/>
  <c r="N85" i="22"/>
  <c r="S85" i="22"/>
  <c r="J85" i="22"/>
  <c r="I85" i="22"/>
  <c r="G85" i="22"/>
  <c r="F85" i="22"/>
  <c r="O84" i="22"/>
  <c r="N84" i="22"/>
  <c r="V84" i="22"/>
  <c r="J84" i="22"/>
  <c r="I84" i="22"/>
  <c r="G84" i="22"/>
  <c r="F84" i="22"/>
  <c r="O83" i="22"/>
  <c r="N83" i="22"/>
  <c r="J83" i="22"/>
  <c r="I83" i="22"/>
  <c r="G83" i="22"/>
  <c r="F83" i="22"/>
  <c r="O82" i="22"/>
  <c r="N82" i="22"/>
  <c r="T82" i="22"/>
  <c r="J82" i="22"/>
  <c r="I82" i="22"/>
  <c r="G82" i="22"/>
  <c r="F82" i="22"/>
  <c r="O81" i="22"/>
  <c r="N81" i="22"/>
  <c r="R81" i="22"/>
  <c r="J81" i="22"/>
  <c r="I81" i="22"/>
  <c r="G81" i="22"/>
  <c r="F81" i="22"/>
  <c r="O80" i="22"/>
  <c r="K80" i="22"/>
  <c r="J80" i="22"/>
  <c r="I80" i="22"/>
  <c r="H80" i="22"/>
  <c r="G80" i="22"/>
  <c r="F80" i="22"/>
  <c r="E80" i="22"/>
  <c r="O79" i="22"/>
  <c r="N79" i="22"/>
  <c r="T79" i="22"/>
  <c r="J79" i="22"/>
  <c r="I79" i="22"/>
  <c r="G79" i="22"/>
  <c r="F79" i="22"/>
  <c r="O78" i="22"/>
  <c r="N78" i="22"/>
  <c r="T78" i="22"/>
  <c r="J78" i="22"/>
  <c r="I78" i="22"/>
  <c r="G78" i="22"/>
  <c r="F78" i="22"/>
  <c r="O77" i="22"/>
  <c r="N77" i="22"/>
  <c r="T77" i="22"/>
  <c r="J77" i="22"/>
  <c r="I77" i="22"/>
  <c r="G77" i="22"/>
  <c r="F77" i="22"/>
  <c r="O76" i="22"/>
  <c r="N76" i="22"/>
  <c r="T76" i="22"/>
  <c r="J76" i="22"/>
  <c r="I76" i="22"/>
  <c r="G76" i="22"/>
  <c r="F76" i="22"/>
  <c r="O75" i="22"/>
  <c r="N75" i="22"/>
  <c r="T75" i="22"/>
  <c r="J75" i="22"/>
  <c r="I75" i="22"/>
  <c r="G75" i="22"/>
  <c r="F75" i="22"/>
  <c r="O74" i="22"/>
  <c r="N74" i="22"/>
  <c r="T74" i="22"/>
  <c r="J74" i="22"/>
  <c r="I74" i="22"/>
  <c r="G74" i="22"/>
  <c r="F74" i="22"/>
  <c r="O73" i="22"/>
  <c r="N73" i="22"/>
  <c r="T73" i="22"/>
  <c r="J73" i="22"/>
  <c r="I73" i="22"/>
  <c r="G73" i="22"/>
  <c r="F73" i="22"/>
  <c r="O72" i="22"/>
  <c r="N72" i="22"/>
  <c r="T72" i="22"/>
  <c r="J72" i="22"/>
  <c r="I72" i="22"/>
  <c r="G72" i="22"/>
  <c r="F72" i="22"/>
  <c r="O71" i="22"/>
  <c r="N71" i="22"/>
  <c r="T71" i="22"/>
  <c r="J71" i="22"/>
  <c r="I71" i="22"/>
  <c r="G71" i="22"/>
  <c r="F71" i="22"/>
  <c r="O70" i="22"/>
  <c r="N70" i="22"/>
  <c r="T70" i="22"/>
  <c r="J70" i="22"/>
  <c r="I70" i="22"/>
  <c r="G70" i="22"/>
  <c r="F70" i="22"/>
  <c r="O69" i="22"/>
  <c r="N69" i="22"/>
  <c r="T69" i="22"/>
  <c r="J69" i="22"/>
  <c r="I69" i="22"/>
  <c r="G69" i="22"/>
  <c r="F69" i="22"/>
  <c r="O68" i="22"/>
  <c r="N68" i="22"/>
  <c r="T68" i="22"/>
  <c r="J68" i="22"/>
  <c r="I68" i="22"/>
  <c r="G68" i="22"/>
  <c r="F68" i="22"/>
  <c r="O67" i="22"/>
  <c r="N67" i="22"/>
  <c r="T67" i="22"/>
  <c r="J67" i="22"/>
  <c r="I67" i="22"/>
  <c r="G67" i="22"/>
  <c r="F67" i="22"/>
  <c r="O66" i="22"/>
  <c r="N66" i="22"/>
  <c r="T66" i="22"/>
  <c r="J66" i="22"/>
  <c r="I66" i="22"/>
  <c r="G66" i="22"/>
  <c r="F66" i="22"/>
  <c r="O65" i="22"/>
  <c r="N65" i="22"/>
  <c r="T65" i="22"/>
  <c r="J65" i="22"/>
  <c r="I65" i="22"/>
  <c r="G65" i="22"/>
  <c r="F65" i="22"/>
  <c r="O64" i="22"/>
  <c r="N64" i="22"/>
  <c r="T64" i="22"/>
  <c r="J64" i="22"/>
  <c r="I64" i="22"/>
  <c r="G64" i="22"/>
  <c r="F64" i="22"/>
  <c r="O63" i="22"/>
  <c r="N63" i="22"/>
  <c r="T63" i="22"/>
  <c r="J63" i="22"/>
  <c r="I63" i="22"/>
  <c r="G63" i="22"/>
  <c r="F63" i="22"/>
  <c r="O62" i="22"/>
  <c r="N62" i="22"/>
  <c r="T62" i="22"/>
  <c r="J62" i="22"/>
  <c r="I62" i="22"/>
  <c r="G62" i="22"/>
  <c r="F62" i="22"/>
  <c r="O61" i="22"/>
  <c r="N61" i="22"/>
  <c r="T61" i="22"/>
  <c r="J61" i="22"/>
  <c r="I61" i="22"/>
  <c r="G61" i="22"/>
  <c r="F61" i="22"/>
  <c r="O60" i="22"/>
  <c r="N60" i="22"/>
  <c r="T60" i="22"/>
  <c r="J60" i="22"/>
  <c r="I60" i="22"/>
  <c r="G60" i="22"/>
  <c r="F60" i="22"/>
  <c r="O59" i="22"/>
  <c r="N59" i="22"/>
  <c r="J59" i="22"/>
  <c r="I59" i="22"/>
  <c r="G59" i="22"/>
  <c r="F59" i="22"/>
  <c r="O58" i="22"/>
  <c r="N58" i="22"/>
  <c r="T58" i="22"/>
  <c r="J58" i="22"/>
  <c r="I58" i="22"/>
  <c r="G58" i="22"/>
  <c r="F58" i="22"/>
  <c r="O57" i="22"/>
  <c r="N57" i="22"/>
  <c r="T57" i="22"/>
  <c r="J57" i="22"/>
  <c r="I57" i="22"/>
  <c r="G57" i="22"/>
  <c r="F57" i="22"/>
  <c r="O56" i="22"/>
  <c r="N56" i="22"/>
  <c r="J56" i="22"/>
  <c r="I56" i="22"/>
  <c r="G56" i="22"/>
  <c r="F56" i="22"/>
  <c r="O55" i="22"/>
  <c r="N55" i="22"/>
  <c r="J55" i="22"/>
  <c r="I55" i="22"/>
  <c r="G55" i="22"/>
  <c r="F55" i="22"/>
  <c r="O54" i="22"/>
  <c r="N54" i="22"/>
  <c r="T54" i="22"/>
  <c r="J54" i="22"/>
  <c r="I54" i="22"/>
  <c r="G54" i="22"/>
  <c r="F54" i="22"/>
  <c r="O53" i="22"/>
  <c r="N53" i="22"/>
  <c r="T53" i="22"/>
  <c r="J53" i="22"/>
  <c r="I53" i="22"/>
  <c r="G53" i="22"/>
  <c r="F53" i="22"/>
  <c r="O52" i="22"/>
  <c r="N52" i="22"/>
  <c r="J52" i="22"/>
  <c r="I52" i="22"/>
  <c r="G52" i="22"/>
  <c r="F52" i="22"/>
  <c r="O51" i="22"/>
  <c r="N51" i="22"/>
  <c r="J51" i="22"/>
  <c r="I51" i="22"/>
  <c r="G51" i="22"/>
  <c r="F51" i="22"/>
  <c r="O50" i="22"/>
  <c r="N50" i="22"/>
  <c r="T50" i="22"/>
  <c r="J50" i="22"/>
  <c r="I50" i="22"/>
  <c r="G50" i="22"/>
  <c r="F50" i="22"/>
  <c r="O49" i="22"/>
  <c r="N49" i="22"/>
  <c r="T49" i="22"/>
  <c r="J49" i="22"/>
  <c r="I49" i="22"/>
  <c r="G49" i="22"/>
  <c r="F49" i="22"/>
  <c r="O48" i="22"/>
  <c r="N48" i="22"/>
  <c r="J48" i="22"/>
  <c r="I48" i="22"/>
  <c r="G48" i="22"/>
  <c r="F48" i="22"/>
  <c r="O47" i="22"/>
  <c r="N47" i="22"/>
  <c r="J47" i="22"/>
  <c r="I47" i="22"/>
  <c r="G47" i="22"/>
  <c r="F47" i="22"/>
  <c r="O46" i="22"/>
  <c r="N46" i="22"/>
  <c r="T46" i="22"/>
  <c r="J46" i="22"/>
  <c r="I46" i="22"/>
  <c r="G46" i="22"/>
  <c r="F46" i="22"/>
  <c r="O45" i="22"/>
  <c r="N45" i="22"/>
  <c r="T45" i="22"/>
  <c r="J45" i="22"/>
  <c r="I45" i="22"/>
  <c r="G45" i="22"/>
  <c r="F45" i="22"/>
  <c r="O44" i="22"/>
  <c r="N44" i="22"/>
  <c r="J44" i="22"/>
  <c r="I44" i="22"/>
  <c r="G44" i="22"/>
  <c r="F44" i="22"/>
  <c r="O43" i="22"/>
  <c r="N43" i="22"/>
  <c r="J43" i="22"/>
  <c r="I43" i="22"/>
  <c r="G43" i="22"/>
  <c r="F43" i="22"/>
  <c r="O42" i="22"/>
  <c r="N42" i="22"/>
  <c r="T42" i="22"/>
  <c r="J42" i="22"/>
  <c r="I42" i="22"/>
  <c r="G42" i="22"/>
  <c r="F42" i="22"/>
  <c r="O41" i="22"/>
  <c r="K41" i="22"/>
  <c r="J41" i="22"/>
  <c r="I41" i="22"/>
  <c r="H41" i="22"/>
  <c r="G41" i="22"/>
  <c r="F41" i="22"/>
  <c r="E41" i="22"/>
  <c r="O40" i="22"/>
  <c r="N40" i="22"/>
  <c r="R40" i="22"/>
  <c r="R41" i="22"/>
  <c r="J40" i="22"/>
  <c r="I40" i="22"/>
  <c r="G40" i="22"/>
  <c r="F40" i="22"/>
  <c r="O39" i="22"/>
  <c r="K39" i="22"/>
  <c r="J39" i="22"/>
  <c r="I39" i="22"/>
  <c r="H39" i="22"/>
  <c r="G39" i="22"/>
  <c r="F39" i="22"/>
  <c r="E39" i="22"/>
  <c r="O38" i="22"/>
  <c r="N38" i="22"/>
  <c r="J38" i="22"/>
  <c r="I38" i="22"/>
  <c r="G38" i="22"/>
  <c r="F38" i="22"/>
  <c r="O37" i="22"/>
  <c r="N37" i="22"/>
  <c r="J37" i="22"/>
  <c r="I37" i="22"/>
  <c r="G37" i="22"/>
  <c r="F37" i="22"/>
  <c r="O36" i="22"/>
  <c r="N36" i="22"/>
  <c r="J36" i="22"/>
  <c r="I36" i="22"/>
  <c r="G36" i="22"/>
  <c r="F36" i="22"/>
  <c r="O35" i="22"/>
  <c r="N35" i="22"/>
  <c r="J35" i="22"/>
  <c r="I35" i="22"/>
  <c r="G35" i="22"/>
  <c r="F35" i="22"/>
  <c r="O34" i="22"/>
  <c r="K34" i="22"/>
  <c r="J34" i="22"/>
  <c r="I34" i="22"/>
  <c r="H34" i="22"/>
  <c r="G34" i="22"/>
  <c r="F34" i="22"/>
  <c r="E34" i="22"/>
  <c r="O33" i="22"/>
  <c r="N33" i="22"/>
  <c r="J33" i="22"/>
  <c r="I33" i="22"/>
  <c r="G33" i="22"/>
  <c r="F33" i="22"/>
  <c r="O32" i="22"/>
  <c r="N32" i="22"/>
  <c r="R32" i="22"/>
  <c r="J32" i="22"/>
  <c r="I32" i="22"/>
  <c r="G32" i="22"/>
  <c r="F32" i="22"/>
  <c r="O31" i="22"/>
  <c r="N31" i="22"/>
  <c r="U31" i="22"/>
  <c r="J31" i="22"/>
  <c r="I31" i="22"/>
  <c r="G31" i="22"/>
  <c r="F31" i="22"/>
  <c r="O30" i="22"/>
  <c r="N30" i="22"/>
  <c r="T30" i="22"/>
  <c r="J30" i="22"/>
  <c r="I30" i="22"/>
  <c r="G30" i="22"/>
  <c r="F30" i="22"/>
  <c r="O29" i="22"/>
  <c r="N29" i="22"/>
  <c r="V29" i="22"/>
  <c r="J29" i="22"/>
  <c r="I29" i="22"/>
  <c r="G29" i="22"/>
  <c r="F29" i="22"/>
  <c r="O28" i="22"/>
  <c r="N28" i="22"/>
  <c r="S28" i="22"/>
  <c r="J28" i="22"/>
  <c r="I28" i="22"/>
  <c r="G28" i="22"/>
  <c r="F28" i="22"/>
  <c r="O27" i="22"/>
  <c r="N27" i="22"/>
  <c r="J27" i="22"/>
  <c r="I27" i="22"/>
  <c r="G27" i="22"/>
  <c r="F27" i="22"/>
  <c r="O26" i="22"/>
  <c r="N26" i="22"/>
  <c r="J26" i="22"/>
  <c r="I26" i="22"/>
  <c r="G26" i="22"/>
  <c r="F26" i="22"/>
  <c r="O25" i="22"/>
  <c r="N25" i="22"/>
  <c r="J25" i="22"/>
  <c r="I25" i="22"/>
  <c r="G25" i="22"/>
  <c r="F25" i="22"/>
  <c r="O24" i="22"/>
  <c r="N24" i="22"/>
  <c r="R24" i="22"/>
  <c r="J24" i="22"/>
  <c r="I24" i="22"/>
  <c r="G24" i="22"/>
  <c r="F24" i="22"/>
  <c r="O23" i="22"/>
  <c r="N23" i="22"/>
  <c r="U23" i="22"/>
  <c r="J23" i="22"/>
  <c r="I23" i="22"/>
  <c r="G23" i="22"/>
  <c r="F23" i="22"/>
  <c r="O22" i="22"/>
  <c r="N22" i="22"/>
  <c r="R22" i="22"/>
  <c r="J22" i="22"/>
  <c r="I22" i="22"/>
  <c r="G22" i="22"/>
  <c r="F22" i="22"/>
  <c r="O21" i="22"/>
  <c r="K21" i="22"/>
  <c r="J21" i="22"/>
  <c r="I21" i="22"/>
  <c r="H21" i="22"/>
  <c r="G21" i="22"/>
  <c r="F21" i="22"/>
  <c r="E21" i="22"/>
  <c r="O20" i="22"/>
  <c r="N20" i="22"/>
  <c r="S20" i="22"/>
  <c r="J20" i="22"/>
  <c r="I20" i="22"/>
  <c r="G20" i="22"/>
  <c r="F20" i="22"/>
  <c r="O19" i="22"/>
  <c r="N19" i="22"/>
  <c r="S19" i="22"/>
  <c r="J19" i="22"/>
  <c r="I19" i="22"/>
  <c r="G19" i="22"/>
  <c r="F19" i="22"/>
  <c r="O18" i="22"/>
  <c r="N18" i="22"/>
  <c r="J18" i="22"/>
  <c r="I18" i="22"/>
  <c r="G18" i="22"/>
  <c r="F18" i="22"/>
  <c r="O17" i="22"/>
  <c r="N17" i="22"/>
  <c r="J17" i="22"/>
  <c r="I17" i="22"/>
  <c r="G17" i="22"/>
  <c r="F17" i="22"/>
  <c r="O16" i="22"/>
  <c r="N16" i="22"/>
  <c r="S16" i="22"/>
  <c r="J16" i="22"/>
  <c r="I16" i="22"/>
  <c r="G16" i="22"/>
  <c r="F16" i="22"/>
  <c r="O15" i="22"/>
  <c r="N15" i="22"/>
  <c r="S15" i="22"/>
  <c r="J15" i="22"/>
  <c r="I15" i="22"/>
  <c r="G15" i="22"/>
  <c r="F15" i="22"/>
  <c r="O14" i="22"/>
  <c r="N14" i="22"/>
  <c r="J14" i="22"/>
  <c r="I14" i="22"/>
  <c r="G14" i="22"/>
  <c r="F14" i="22"/>
  <c r="O13" i="22"/>
  <c r="N13" i="22"/>
  <c r="S13" i="22"/>
  <c r="J13" i="22"/>
  <c r="I13" i="22"/>
  <c r="G13" i="22"/>
  <c r="F13" i="22"/>
  <c r="O12" i="22"/>
  <c r="N12" i="22"/>
  <c r="S12" i="22"/>
  <c r="J12" i="22"/>
  <c r="I12" i="22"/>
  <c r="G12" i="22"/>
  <c r="F12" i="22"/>
  <c r="C10" i="22"/>
  <c r="P189" i="22"/>
  <c r="M8" i="22"/>
  <c r="M7" i="22"/>
  <c r="J75" i="23"/>
  <c r="G75" i="23"/>
  <c r="J73" i="23"/>
  <c r="G73" i="23"/>
  <c r="J71" i="23"/>
  <c r="G71" i="23"/>
  <c r="G69" i="23"/>
  <c r="M65" i="23"/>
  <c r="F65" i="23"/>
  <c r="E65" i="23"/>
  <c r="K64" i="23"/>
  <c r="E64" i="23"/>
  <c r="O63" i="23"/>
  <c r="K63" i="23"/>
  <c r="J63" i="23"/>
  <c r="I63" i="23"/>
  <c r="H63" i="23"/>
  <c r="G63" i="23"/>
  <c r="F63" i="23"/>
  <c r="E63" i="23"/>
  <c r="O61" i="23"/>
  <c r="K61" i="23"/>
  <c r="J61" i="23"/>
  <c r="I61" i="23"/>
  <c r="H61" i="23"/>
  <c r="G61" i="23"/>
  <c r="F61" i="23"/>
  <c r="E61" i="23"/>
  <c r="O60" i="23"/>
  <c r="N60" i="23"/>
  <c r="J60" i="23"/>
  <c r="I60" i="23"/>
  <c r="G60" i="23"/>
  <c r="F60" i="23"/>
  <c r="O59" i="23"/>
  <c r="K59" i="23"/>
  <c r="J59" i="23"/>
  <c r="I59" i="23"/>
  <c r="H59" i="23"/>
  <c r="G59" i="23"/>
  <c r="F59" i="23"/>
  <c r="E59" i="23"/>
  <c r="O58" i="23"/>
  <c r="N58" i="23"/>
  <c r="T58" i="23"/>
  <c r="T59" i="23"/>
  <c r="J58" i="23"/>
  <c r="I58" i="23"/>
  <c r="G58" i="23"/>
  <c r="F58" i="23"/>
  <c r="O57" i="23"/>
  <c r="K57" i="23"/>
  <c r="J57" i="23"/>
  <c r="I57" i="23"/>
  <c r="H57" i="23"/>
  <c r="G57" i="23"/>
  <c r="F57" i="23"/>
  <c r="E57" i="23"/>
  <c r="O56" i="23"/>
  <c r="N56" i="23"/>
  <c r="T56" i="23"/>
  <c r="T57" i="23"/>
  <c r="J56" i="23"/>
  <c r="I56" i="23"/>
  <c r="G56" i="23"/>
  <c r="F56" i="23"/>
  <c r="O55" i="23"/>
  <c r="K55" i="23"/>
  <c r="J55" i="23"/>
  <c r="I55" i="23"/>
  <c r="H55" i="23"/>
  <c r="G55" i="23"/>
  <c r="F55" i="23"/>
  <c r="E55" i="23"/>
  <c r="O54" i="23"/>
  <c r="N54" i="23"/>
  <c r="J54" i="23"/>
  <c r="I54" i="23"/>
  <c r="G54" i="23"/>
  <c r="F54" i="23"/>
  <c r="O53" i="23"/>
  <c r="K53" i="23"/>
  <c r="J53" i="23"/>
  <c r="I53" i="23"/>
  <c r="H53" i="23"/>
  <c r="G53" i="23"/>
  <c r="F53" i="23"/>
  <c r="E53" i="23"/>
  <c r="O52" i="23"/>
  <c r="N52" i="23"/>
  <c r="S52" i="23"/>
  <c r="S53" i="23"/>
  <c r="J52" i="23"/>
  <c r="I52" i="23"/>
  <c r="G52" i="23"/>
  <c r="F52" i="23"/>
  <c r="O51" i="23"/>
  <c r="K51" i="23"/>
  <c r="J51" i="23"/>
  <c r="I51" i="23"/>
  <c r="H51" i="23"/>
  <c r="G51" i="23"/>
  <c r="F51" i="23"/>
  <c r="E51" i="23"/>
  <c r="O50" i="23"/>
  <c r="N50" i="23"/>
  <c r="T50" i="23"/>
  <c r="T51" i="23"/>
  <c r="J50" i="23"/>
  <c r="I50" i="23"/>
  <c r="G50" i="23"/>
  <c r="F50" i="23"/>
  <c r="O49" i="23"/>
  <c r="K49" i="23"/>
  <c r="J49" i="23"/>
  <c r="I49" i="23"/>
  <c r="H49" i="23"/>
  <c r="G49" i="23"/>
  <c r="F49" i="23"/>
  <c r="E49" i="23"/>
  <c r="O48" i="23"/>
  <c r="N48" i="23"/>
  <c r="V48" i="23"/>
  <c r="V49" i="23"/>
  <c r="J48" i="23"/>
  <c r="I48" i="23"/>
  <c r="G48" i="23"/>
  <c r="F48" i="23"/>
  <c r="O47" i="23"/>
  <c r="K47" i="23"/>
  <c r="J47" i="23"/>
  <c r="I47" i="23"/>
  <c r="H47" i="23"/>
  <c r="G47" i="23"/>
  <c r="F47" i="23"/>
  <c r="E47" i="23"/>
  <c r="O46" i="23"/>
  <c r="N46" i="23"/>
  <c r="S46" i="23"/>
  <c r="S47" i="23"/>
  <c r="J46" i="23"/>
  <c r="I46" i="23"/>
  <c r="G46" i="23"/>
  <c r="F46" i="23"/>
  <c r="O45" i="23"/>
  <c r="K45" i="23"/>
  <c r="J45" i="23"/>
  <c r="I45" i="23"/>
  <c r="H45" i="23"/>
  <c r="G45" i="23"/>
  <c r="F45" i="23"/>
  <c r="E45" i="23"/>
  <c r="O44" i="23"/>
  <c r="N44" i="23"/>
  <c r="V44" i="23"/>
  <c r="V45" i="23"/>
  <c r="J44" i="23"/>
  <c r="I44" i="23"/>
  <c r="G44" i="23"/>
  <c r="F44" i="23"/>
  <c r="O43" i="23"/>
  <c r="K43" i="23"/>
  <c r="J43" i="23"/>
  <c r="I43" i="23"/>
  <c r="H43" i="23"/>
  <c r="G43" i="23"/>
  <c r="F43" i="23"/>
  <c r="E43" i="23"/>
  <c r="O42" i="23"/>
  <c r="N42" i="23"/>
  <c r="T42" i="23"/>
  <c r="T43" i="23"/>
  <c r="J42" i="23"/>
  <c r="I42" i="23"/>
  <c r="G42" i="23"/>
  <c r="F42" i="23"/>
  <c r="O41" i="23"/>
  <c r="K41" i="23"/>
  <c r="J41" i="23"/>
  <c r="I41" i="23"/>
  <c r="H41" i="23"/>
  <c r="G41" i="23"/>
  <c r="F41" i="23"/>
  <c r="E41" i="23"/>
  <c r="O40" i="23"/>
  <c r="N40" i="23"/>
  <c r="J40" i="23"/>
  <c r="I40" i="23"/>
  <c r="G40" i="23"/>
  <c r="F40" i="23"/>
  <c r="O39" i="23"/>
  <c r="K39" i="23"/>
  <c r="J39" i="23"/>
  <c r="I39" i="23"/>
  <c r="H39" i="23"/>
  <c r="G39" i="23"/>
  <c r="F39" i="23"/>
  <c r="E39" i="23"/>
  <c r="O38" i="23"/>
  <c r="N38" i="23"/>
  <c r="J38" i="23"/>
  <c r="I38" i="23"/>
  <c r="G38" i="23"/>
  <c r="F38" i="23"/>
  <c r="O37" i="23"/>
  <c r="K37" i="23"/>
  <c r="J37" i="23"/>
  <c r="I37" i="23"/>
  <c r="H37" i="23"/>
  <c r="G37" i="23"/>
  <c r="F37" i="23"/>
  <c r="E37" i="23"/>
  <c r="O36" i="23"/>
  <c r="N36" i="23"/>
  <c r="U36" i="23"/>
  <c r="U37" i="23"/>
  <c r="J36" i="23"/>
  <c r="I36" i="23"/>
  <c r="G36" i="23"/>
  <c r="F36" i="23"/>
  <c r="O35" i="23"/>
  <c r="K35" i="23"/>
  <c r="J35" i="23"/>
  <c r="I35" i="23"/>
  <c r="H35" i="23"/>
  <c r="G35" i="23"/>
  <c r="F35" i="23"/>
  <c r="E35" i="23"/>
  <c r="O34" i="23"/>
  <c r="N34" i="23"/>
  <c r="J34" i="23"/>
  <c r="I34" i="23"/>
  <c r="G34" i="23"/>
  <c r="F34" i="23"/>
  <c r="O33" i="23"/>
  <c r="K33" i="23"/>
  <c r="J33" i="23"/>
  <c r="I33" i="23"/>
  <c r="H33" i="23"/>
  <c r="G33" i="23"/>
  <c r="F33" i="23"/>
  <c r="E33" i="23"/>
  <c r="O32" i="23"/>
  <c r="N32" i="23"/>
  <c r="V32" i="23"/>
  <c r="V33" i="23"/>
  <c r="J32" i="23"/>
  <c r="I32" i="23"/>
  <c r="G32" i="23"/>
  <c r="F32" i="23"/>
  <c r="O31" i="23"/>
  <c r="K31" i="23"/>
  <c r="J31" i="23"/>
  <c r="I31" i="23"/>
  <c r="H31" i="23"/>
  <c r="G31" i="23"/>
  <c r="F31" i="23"/>
  <c r="E31" i="23"/>
  <c r="O30" i="23"/>
  <c r="N30" i="23"/>
  <c r="T30" i="23"/>
  <c r="T31" i="23"/>
  <c r="J30" i="23"/>
  <c r="I30" i="23"/>
  <c r="G30" i="23"/>
  <c r="F30" i="23"/>
  <c r="O29" i="23"/>
  <c r="K29" i="23"/>
  <c r="J29" i="23"/>
  <c r="I29" i="23"/>
  <c r="H29" i="23"/>
  <c r="G29" i="23"/>
  <c r="F29" i="23"/>
  <c r="E29" i="23"/>
  <c r="O28" i="23"/>
  <c r="N28" i="23"/>
  <c r="U28" i="23"/>
  <c r="U29" i="23"/>
  <c r="J28" i="23"/>
  <c r="I28" i="23"/>
  <c r="G28" i="23"/>
  <c r="F28" i="23"/>
  <c r="O27" i="23"/>
  <c r="K27" i="23"/>
  <c r="J27" i="23"/>
  <c r="I27" i="23"/>
  <c r="H27" i="23"/>
  <c r="G27" i="23"/>
  <c r="F27" i="23"/>
  <c r="E27" i="23"/>
  <c r="O26" i="23"/>
  <c r="N26" i="23"/>
  <c r="T26" i="23"/>
  <c r="T27" i="23"/>
  <c r="J26" i="23"/>
  <c r="I26" i="23"/>
  <c r="G26" i="23"/>
  <c r="F26" i="23"/>
  <c r="O25" i="23"/>
  <c r="K25" i="23"/>
  <c r="J25" i="23"/>
  <c r="I25" i="23"/>
  <c r="H25" i="23"/>
  <c r="G25" i="23"/>
  <c r="F25" i="23"/>
  <c r="E25" i="23"/>
  <c r="O24" i="23"/>
  <c r="N24" i="23"/>
  <c r="J24" i="23"/>
  <c r="I24" i="23"/>
  <c r="G24" i="23"/>
  <c r="F24" i="23"/>
  <c r="O23" i="23"/>
  <c r="K23" i="23"/>
  <c r="J23" i="23"/>
  <c r="I23" i="23"/>
  <c r="H23" i="23"/>
  <c r="G23" i="23"/>
  <c r="F23" i="23"/>
  <c r="E23" i="23"/>
  <c r="O22" i="23"/>
  <c r="N22" i="23"/>
  <c r="J22" i="23"/>
  <c r="I22" i="23"/>
  <c r="G22" i="23"/>
  <c r="F22" i="23"/>
  <c r="O21" i="23"/>
  <c r="K21" i="23"/>
  <c r="J21" i="23"/>
  <c r="I21" i="23"/>
  <c r="H21" i="23"/>
  <c r="G21" i="23"/>
  <c r="F21" i="23"/>
  <c r="E21" i="23"/>
  <c r="O20" i="23"/>
  <c r="N20" i="23"/>
  <c r="U20" i="23"/>
  <c r="U21" i="23"/>
  <c r="J20" i="23"/>
  <c r="I20" i="23"/>
  <c r="G20" i="23"/>
  <c r="F20" i="23"/>
  <c r="O19" i="23"/>
  <c r="K19" i="23"/>
  <c r="J19" i="23"/>
  <c r="I19" i="23"/>
  <c r="H19" i="23"/>
  <c r="G19" i="23"/>
  <c r="F19" i="23"/>
  <c r="E19" i="23"/>
  <c r="O18" i="23"/>
  <c r="N18" i="23"/>
  <c r="T18" i="23"/>
  <c r="T19" i="23"/>
  <c r="J18" i="23"/>
  <c r="I18" i="23"/>
  <c r="G18" i="23"/>
  <c r="F18" i="23"/>
  <c r="O17" i="23"/>
  <c r="K17" i="23"/>
  <c r="J17" i="23"/>
  <c r="I17" i="23"/>
  <c r="H17" i="23"/>
  <c r="G17" i="23"/>
  <c r="F17" i="23"/>
  <c r="E17" i="23"/>
  <c r="O16" i="23"/>
  <c r="N16" i="23"/>
  <c r="J16" i="23"/>
  <c r="I16" i="23"/>
  <c r="G16" i="23"/>
  <c r="F16" i="23"/>
  <c r="O15" i="23"/>
  <c r="K15" i="23"/>
  <c r="J15" i="23"/>
  <c r="I15" i="23"/>
  <c r="H15" i="23"/>
  <c r="G15" i="23"/>
  <c r="F15" i="23"/>
  <c r="E15" i="23"/>
  <c r="O14" i="23"/>
  <c r="N14" i="23"/>
  <c r="J14" i="23"/>
  <c r="I14" i="23"/>
  <c r="G14" i="23"/>
  <c r="F14" i="23"/>
  <c r="O13" i="23"/>
  <c r="K13" i="23"/>
  <c r="J13" i="23"/>
  <c r="I13" i="23"/>
  <c r="H13" i="23"/>
  <c r="G13" i="23"/>
  <c r="F13" i="23"/>
  <c r="E13" i="23"/>
  <c r="O12" i="23"/>
  <c r="N12" i="23"/>
  <c r="T12" i="23"/>
  <c r="T13" i="23"/>
  <c r="J12" i="23"/>
  <c r="I12" i="23"/>
  <c r="G12" i="23"/>
  <c r="F12" i="23"/>
  <c r="C10" i="23"/>
  <c r="M8" i="23"/>
  <c r="M7" i="23"/>
  <c r="J77" i="30"/>
  <c r="G77" i="30"/>
  <c r="J75" i="30"/>
  <c r="G75" i="30"/>
  <c r="J73" i="30"/>
  <c r="G73" i="30"/>
  <c r="G71" i="30"/>
  <c r="F67" i="30"/>
  <c r="E67" i="30"/>
  <c r="K66" i="30"/>
  <c r="E66" i="30"/>
  <c r="O65" i="30"/>
  <c r="K65" i="30"/>
  <c r="J65" i="30"/>
  <c r="I65" i="30"/>
  <c r="H65" i="30"/>
  <c r="G65" i="30"/>
  <c r="F65" i="30"/>
  <c r="E65" i="30"/>
  <c r="O63" i="30"/>
  <c r="K63" i="30"/>
  <c r="J63" i="30"/>
  <c r="I63" i="30"/>
  <c r="H63" i="30"/>
  <c r="G63" i="30"/>
  <c r="F63" i="30"/>
  <c r="E63" i="30"/>
  <c r="O62" i="30"/>
  <c r="N62" i="30"/>
  <c r="S62" i="30"/>
  <c r="S63" i="30"/>
  <c r="J62" i="30"/>
  <c r="I62" i="30"/>
  <c r="G62" i="30"/>
  <c r="F62" i="30"/>
  <c r="O61" i="30"/>
  <c r="K61" i="30"/>
  <c r="J61" i="30"/>
  <c r="I61" i="30"/>
  <c r="H61" i="30"/>
  <c r="G61" i="30"/>
  <c r="F61" i="30"/>
  <c r="E61" i="30"/>
  <c r="O60" i="30"/>
  <c r="N60" i="30"/>
  <c r="S60" i="30"/>
  <c r="S61" i="30"/>
  <c r="J60" i="30"/>
  <c r="I60" i="30"/>
  <c r="G60" i="30"/>
  <c r="F60" i="30"/>
  <c r="E60" i="30"/>
  <c r="O59" i="30"/>
  <c r="K59" i="30"/>
  <c r="J59" i="30"/>
  <c r="I59" i="30"/>
  <c r="H59" i="30"/>
  <c r="G59" i="30"/>
  <c r="F59" i="30"/>
  <c r="E59" i="30"/>
  <c r="O58" i="30"/>
  <c r="N58" i="30"/>
  <c r="J58" i="30"/>
  <c r="I58" i="30"/>
  <c r="G58" i="30"/>
  <c r="F58" i="30"/>
  <c r="E58" i="30"/>
  <c r="O57" i="30"/>
  <c r="K57" i="30"/>
  <c r="J57" i="30"/>
  <c r="I57" i="30"/>
  <c r="H57" i="30"/>
  <c r="G57" i="30"/>
  <c r="F57" i="30"/>
  <c r="E57" i="30"/>
  <c r="O56" i="30"/>
  <c r="N56" i="30"/>
  <c r="V56" i="30"/>
  <c r="V57" i="30"/>
  <c r="J56" i="30"/>
  <c r="I56" i="30"/>
  <c r="G56" i="30"/>
  <c r="F56" i="30"/>
  <c r="E56" i="30"/>
  <c r="O55" i="30"/>
  <c r="K55" i="30"/>
  <c r="J55" i="30"/>
  <c r="I55" i="30"/>
  <c r="H55" i="30"/>
  <c r="G55" i="30"/>
  <c r="F55" i="30"/>
  <c r="E55" i="30"/>
  <c r="O54" i="30"/>
  <c r="N54" i="30"/>
  <c r="R54" i="30"/>
  <c r="R55" i="30"/>
  <c r="J54" i="30"/>
  <c r="I54" i="30"/>
  <c r="G54" i="30"/>
  <c r="F54" i="30"/>
  <c r="E54" i="30"/>
  <c r="O53" i="30"/>
  <c r="K53" i="30"/>
  <c r="J53" i="30"/>
  <c r="I53" i="30"/>
  <c r="H53" i="30"/>
  <c r="G53" i="30"/>
  <c r="F53" i="30"/>
  <c r="E53" i="30"/>
  <c r="O52" i="30"/>
  <c r="N52" i="30"/>
  <c r="U52" i="30"/>
  <c r="U53" i="30"/>
  <c r="J52" i="30"/>
  <c r="I52" i="30"/>
  <c r="G52" i="30"/>
  <c r="F52" i="30"/>
  <c r="E52" i="30"/>
  <c r="O51" i="30"/>
  <c r="K51" i="30"/>
  <c r="J51" i="30"/>
  <c r="I51" i="30"/>
  <c r="H51" i="30"/>
  <c r="G51" i="30"/>
  <c r="F51" i="30"/>
  <c r="E51" i="30"/>
  <c r="O50" i="30"/>
  <c r="N50" i="30"/>
  <c r="J50" i="30"/>
  <c r="I50" i="30"/>
  <c r="G50" i="30"/>
  <c r="F50" i="30"/>
  <c r="E50" i="30"/>
  <c r="O49" i="30"/>
  <c r="K49" i="30"/>
  <c r="J49" i="30"/>
  <c r="I49" i="30"/>
  <c r="H49" i="30"/>
  <c r="G49" i="30"/>
  <c r="F49" i="30"/>
  <c r="E49" i="30"/>
  <c r="O48" i="30"/>
  <c r="N48" i="30"/>
  <c r="S48" i="30"/>
  <c r="S49" i="30"/>
  <c r="J48" i="30"/>
  <c r="I48" i="30"/>
  <c r="G48" i="30"/>
  <c r="F48" i="30"/>
  <c r="E48" i="30"/>
  <c r="O47" i="30"/>
  <c r="K47" i="30"/>
  <c r="J47" i="30"/>
  <c r="I47" i="30"/>
  <c r="H47" i="30"/>
  <c r="G47" i="30"/>
  <c r="F47" i="30"/>
  <c r="E47" i="30"/>
  <c r="O46" i="30"/>
  <c r="N46" i="30"/>
  <c r="J46" i="30"/>
  <c r="I46" i="30"/>
  <c r="G46" i="30"/>
  <c r="F46" i="30"/>
  <c r="E46" i="30"/>
  <c r="O45" i="30"/>
  <c r="K45" i="30"/>
  <c r="J45" i="30"/>
  <c r="I45" i="30"/>
  <c r="H45" i="30"/>
  <c r="G45" i="30"/>
  <c r="F45" i="30"/>
  <c r="E45" i="30"/>
  <c r="O44" i="30"/>
  <c r="N44" i="30"/>
  <c r="J44" i="30"/>
  <c r="I44" i="30"/>
  <c r="G44" i="30"/>
  <c r="F44" i="30"/>
  <c r="E44" i="30"/>
  <c r="O43" i="30"/>
  <c r="K43" i="30"/>
  <c r="J43" i="30"/>
  <c r="I43" i="30"/>
  <c r="H43" i="30"/>
  <c r="G43" i="30"/>
  <c r="F43" i="30"/>
  <c r="E43" i="30"/>
  <c r="O42" i="30"/>
  <c r="N42" i="30"/>
  <c r="T42" i="30"/>
  <c r="T43" i="30"/>
  <c r="J42" i="30"/>
  <c r="I42" i="30"/>
  <c r="G42" i="30"/>
  <c r="F42" i="30"/>
  <c r="E42" i="30"/>
  <c r="O41" i="30"/>
  <c r="K41" i="30"/>
  <c r="J41" i="30"/>
  <c r="I41" i="30"/>
  <c r="H41" i="30"/>
  <c r="G41" i="30"/>
  <c r="F41" i="30"/>
  <c r="E41" i="30"/>
  <c r="O40" i="30"/>
  <c r="N40" i="30"/>
  <c r="R40" i="30"/>
  <c r="R41" i="30"/>
  <c r="J40" i="30"/>
  <c r="I40" i="30"/>
  <c r="G40" i="30"/>
  <c r="F40" i="30"/>
  <c r="E40" i="30"/>
  <c r="O39" i="30"/>
  <c r="K39" i="30"/>
  <c r="J39" i="30"/>
  <c r="I39" i="30"/>
  <c r="H39" i="30"/>
  <c r="G39" i="30"/>
  <c r="F39" i="30"/>
  <c r="E39" i="30"/>
  <c r="O38" i="30"/>
  <c r="N38" i="30"/>
  <c r="S38" i="30"/>
  <c r="S39" i="30"/>
  <c r="J38" i="30"/>
  <c r="I38" i="30"/>
  <c r="G38" i="30"/>
  <c r="F38" i="30"/>
  <c r="E38" i="30"/>
  <c r="O37" i="30"/>
  <c r="K37" i="30"/>
  <c r="J37" i="30"/>
  <c r="I37" i="30"/>
  <c r="H37" i="30"/>
  <c r="G37" i="30"/>
  <c r="F37" i="30"/>
  <c r="E37" i="30"/>
  <c r="O36" i="30"/>
  <c r="N36" i="30"/>
  <c r="J36" i="30"/>
  <c r="I36" i="30"/>
  <c r="G36" i="30"/>
  <c r="F36" i="30"/>
  <c r="E36" i="30"/>
  <c r="O35" i="30"/>
  <c r="K35" i="30"/>
  <c r="J35" i="30"/>
  <c r="I35" i="30"/>
  <c r="H35" i="30"/>
  <c r="G35" i="30"/>
  <c r="F35" i="30"/>
  <c r="E35" i="30"/>
  <c r="O34" i="30"/>
  <c r="N34" i="30"/>
  <c r="T34" i="30"/>
  <c r="T35" i="30"/>
  <c r="J34" i="30"/>
  <c r="I34" i="30"/>
  <c r="G34" i="30"/>
  <c r="F34" i="30"/>
  <c r="E34" i="30"/>
  <c r="O33" i="30"/>
  <c r="K33" i="30"/>
  <c r="J33" i="30"/>
  <c r="I33" i="30"/>
  <c r="H33" i="30"/>
  <c r="G33" i="30"/>
  <c r="F33" i="30"/>
  <c r="E33" i="30"/>
  <c r="O32" i="30"/>
  <c r="N32" i="30"/>
  <c r="V32" i="30"/>
  <c r="V33" i="30"/>
  <c r="J32" i="30"/>
  <c r="I32" i="30"/>
  <c r="G32" i="30"/>
  <c r="F32" i="30"/>
  <c r="E32" i="30"/>
  <c r="O31" i="30"/>
  <c r="K31" i="30"/>
  <c r="J31" i="30"/>
  <c r="I31" i="30"/>
  <c r="H31" i="30"/>
  <c r="G31" i="30"/>
  <c r="F31" i="30"/>
  <c r="E31" i="30"/>
  <c r="O30" i="30"/>
  <c r="N30" i="30"/>
  <c r="R30" i="30"/>
  <c r="R31" i="30"/>
  <c r="J30" i="30"/>
  <c r="I30" i="30"/>
  <c r="G30" i="30"/>
  <c r="F30" i="30"/>
  <c r="O29" i="30"/>
  <c r="K29" i="30"/>
  <c r="J29" i="30"/>
  <c r="I29" i="30"/>
  <c r="H29" i="30"/>
  <c r="G29" i="30"/>
  <c r="F29" i="30"/>
  <c r="E29" i="30"/>
  <c r="O28" i="30"/>
  <c r="N28" i="30"/>
  <c r="T28" i="30"/>
  <c r="T29" i="30"/>
  <c r="J28" i="30"/>
  <c r="I28" i="30"/>
  <c r="G28" i="30"/>
  <c r="F28" i="30"/>
  <c r="E28" i="30"/>
  <c r="O27" i="30"/>
  <c r="K27" i="30"/>
  <c r="J27" i="30"/>
  <c r="I27" i="30"/>
  <c r="H27" i="30"/>
  <c r="G27" i="30"/>
  <c r="F27" i="30"/>
  <c r="E27" i="30"/>
  <c r="O26" i="30"/>
  <c r="N26" i="30"/>
  <c r="R26" i="30"/>
  <c r="R27" i="30"/>
  <c r="J26" i="30"/>
  <c r="I26" i="30"/>
  <c r="G26" i="30"/>
  <c r="F26" i="30"/>
  <c r="O25" i="30"/>
  <c r="K25" i="30"/>
  <c r="J25" i="30"/>
  <c r="I25" i="30"/>
  <c r="H25" i="30"/>
  <c r="G25" i="30"/>
  <c r="F25" i="30"/>
  <c r="E25" i="30"/>
  <c r="O24" i="30"/>
  <c r="N24" i="30"/>
  <c r="S24" i="30"/>
  <c r="S25" i="30"/>
  <c r="J24" i="30"/>
  <c r="I24" i="30"/>
  <c r="G24" i="30"/>
  <c r="F24" i="30"/>
  <c r="E24" i="30"/>
  <c r="O23" i="30"/>
  <c r="K23" i="30"/>
  <c r="J23" i="30"/>
  <c r="I23" i="30"/>
  <c r="H23" i="30"/>
  <c r="G23" i="30"/>
  <c r="F23" i="30"/>
  <c r="E23" i="30"/>
  <c r="O22" i="30"/>
  <c r="N22" i="30"/>
  <c r="J22" i="30"/>
  <c r="I22" i="30"/>
  <c r="G22" i="30"/>
  <c r="F22" i="30"/>
  <c r="O21" i="30"/>
  <c r="K21" i="30"/>
  <c r="J21" i="30"/>
  <c r="I21" i="30"/>
  <c r="H21" i="30"/>
  <c r="G21" i="30"/>
  <c r="F21" i="30"/>
  <c r="E21" i="30"/>
  <c r="O20" i="30"/>
  <c r="N20" i="30"/>
  <c r="T20" i="30"/>
  <c r="T21" i="30"/>
  <c r="J20" i="30"/>
  <c r="I20" i="30"/>
  <c r="G20" i="30"/>
  <c r="F20" i="30"/>
  <c r="E20" i="30"/>
  <c r="O19" i="30"/>
  <c r="K19" i="30"/>
  <c r="J19" i="30"/>
  <c r="I19" i="30"/>
  <c r="H19" i="30"/>
  <c r="G19" i="30"/>
  <c r="F19" i="30"/>
  <c r="E19" i="30"/>
  <c r="O18" i="30"/>
  <c r="N18" i="30"/>
  <c r="S18" i="30"/>
  <c r="S19" i="30"/>
  <c r="J18" i="30"/>
  <c r="I18" i="30"/>
  <c r="G18" i="30"/>
  <c r="F18" i="30"/>
  <c r="O17" i="30"/>
  <c r="K17" i="30"/>
  <c r="J17" i="30"/>
  <c r="I17" i="30"/>
  <c r="H17" i="30"/>
  <c r="G17" i="30"/>
  <c r="F17" i="30"/>
  <c r="E17" i="30"/>
  <c r="O16" i="30"/>
  <c r="N16" i="30"/>
  <c r="S16" i="30"/>
  <c r="S17" i="30"/>
  <c r="J16" i="30"/>
  <c r="I16" i="30"/>
  <c r="G16" i="30"/>
  <c r="F16" i="30"/>
  <c r="O15" i="30"/>
  <c r="K15" i="30"/>
  <c r="J15" i="30"/>
  <c r="I15" i="30"/>
  <c r="H15" i="30"/>
  <c r="G15" i="30"/>
  <c r="F15" i="30"/>
  <c r="E15" i="30"/>
  <c r="O14" i="30"/>
  <c r="J14" i="30"/>
  <c r="I14" i="30"/>
  <c r="O13" i="30"/>
  <c r="J13" i="30"/>
  <c r="I13" i="30"/>
  <c r="O12" i="30"/>
  <c r="J12" i="30"/>
  <c r="I12" i="30"/>
  <c r="C10" i="30"/>
  <c r="P14" i="30"/>
  <c r="M8" i="30"/>
  <c r="M7" i="30"/>
  <c r="J77" i="31"/>
  <c r="G77" i="31"/>
  <c r="J75" i="31"/>
  <c r="G75" i="31"/>
  <c r="J73" i="31"/>
  <c r="G73" i="31"/>
  <c r="G71" i="31"/>
  <c r="F67" i="31"/>
  <c r="E67" i="31"/>
  <c r="K66" i="31"/>
  <c r="E66" i="31"/>
  <c r="O65" i="31"/>
  <c r="K65" i="31"/>
  <c r="J65" i="31"/>
  <c r="I65" i="31"/>
  <c r="H65" i="31"/>
  <c r="G65" i="31"/>
  <c r="F65" i="31"/>
  <c r="E65" i="31"/>
  <c r="O63" i="31"/>
  <c r="K63" i="31"/>
  <c r="J63" i="31"/>
  <c r="I63" i="31"/>
  <c r="H63" i="31"/>
  <c r="G63" i="31"/>
  <c r="F63" i="31"/>
  <c r="E63" i="31"/>
  <c r="O62" i="31"/>
  <c r="N62" i="31"/>
  <c r="T62" i="31"/>
  <c r="T63" i="31"/>
  <c r="J62" i="31"/>
  <c r="G62" i="31"/>
  <c r="F62" i="31"/>
  <c r="O61" i="31"/>
  <c r="K61" i="31"/>
  <c r="J61" i="31"/>
  <c r="I61" i="31"/>
  <c r="H61" i="31"/>
  <c r="G61" i="31"/>
  <c r="F61" i="31"/>
  <c r="E61" i="31"/>
  <c r="O60" i="31"/>
  <c r="N60" i="31"/>
  <c r="J60" i="31"/>
  <c r="I60" i="31"/>
  <c r="G60" i="31"/>
  <c r="F60" i="31"/>
  <c r="E60" i="31"/>
  <c r="O59" i="31"/>
  <c r="K59" i="31"/>
  <c r="J59" i="31"/>
  <c r="I59" i="31"/>
  <c r="H59" i="31"/>
  <c r="G59" i="31"/>
  <c r="F59" i="31"/>
  <c r="E59" i="31"/>
  <c r="O58" i="31"/>
  <c r="N58" i="31"/>
  <c r="S58" i="31"/>
  <c r="S59" i="31"/>
  <c r="J58" i="31"/>
  <c r="I58" i="31"/>
  <c r="G58" i="31"/>
  <c r="F58" i="31"/>
  <c r="E58" i="31"/>
  <c r="O57" i="31"/>
  <c r="K57" i="31"/>
  <c r="J57" i="31"/>
  <c r="I57" i="31"/>
  <c r="H57" i="31"/>
  <c r="G57" i="31"/>
  <c r="F57" i="31"/>
  <c r="E57" i="31"/>
  <c r="O56" i="31"/>
  <c r="N56" i="31"/>
  <c r="V56" i="31"/>
  <c r="V57" i="31"/>
  <c r="J56" i="31"/>
  <c r="I56" i="31"/>
  <c r="G56" i="31"/>
  <c r="F56" i="31"/>
  <c r="E56" i="31"/>
  <c r="O55" i="31"/>
  <c r="K55" i="31"/>
  <c r="J55" i="31"/>
  <c r="I55" i="31"/>
  <c r="H55" i="31"/>
  <c r="G55" i="31"/>
  <c r="F55" i="31"/>
  <c r="E55" i="31"/>
  <c r="O54" i="31"/>
  <c r="N54" i="31"/>
  <c r="U54" i="31"/>
  <c r="U55" i="31"/>
  <c r="J54" i="31"/>
  <c r="I54" i="31"/>
  <c r="G54" i="31"/>
  <c r="F54" i="31"/>
  <c r="E54" i="31"/>
  <c r="O53" i="31"/>
  <c r="K53" i="31"/>
  <c r="J53" i="31"/>
  <c r="I53" i="31"/>
  <c r="H53" i="31"/>
  <c r="G53" i="31"/>
  <c r="F53" i="31"/>
  <c r="E53" i="31"/>
  <c r="O52" i="31"/>
  <c r="N52" i="31"/>
  <c r="J52" i="31"/>
  <c r="I52" i="31"/>
  <c r="G52" i="31"/>
  <c r="F52" i="31"/>
  <c r="E52" i="31"/>
  <c r="O51" i="31"/>
  <c r="K51" i="31"/>
  <c r="J51" i="31"/>
  <c r="I51" i="31"/>
  <c r="H51" i="31"/>
  <c r="G51" i="31"/>
  <c r="F51" i="31"/>
  <c r="E51" i="31"/>
  <c r="O50" i="31"/>
  <c r="N50" i="31"/>
  <c r="T50" i="31"/>
  <c r="T51" i="31"/>
  <c r="J50" i="31"/>
  <c r="I50" i="31"/>
  <c r="G50" i="31"/>
  <c r="F50" i="31"/>
  <c r="E50" i="31"/>
  <c r="O49" i="31"/>
  <c r="K49" i="31"/>
  <c r="J49" i="31"/>
  <c r="I49" i="31"/>
  <c r="H49" i="31"/>
  <c r="G49" i="31"/>
  <c r="F49" i="31"/>
  <c r="E49" i="31"/>
  <c r="O48" i="31"/>
  <c r="N48" i="31"/>
  <c r="V48" i="31"/>
  <c r="V49" i="31"/>
  <c r="J48" i="31"/>
  <c r="I48" i="31"/>
  <c r="G48" i="31"/>
  <c r="F48" i="31"/>
  <c r="E48" i="31"/>
  <c r="O47" i="31"/>
  <c r="K47" i="31"/>
  <c r="J47" i="31"/>
  <c r="I47" i="31"/>
  <c r="H47" i="31"/>
  <c r="G47" i="31"/>
  <c r="F47" i="31"/>
  <c r="E47" i="31"/>
  <c r="O46" i="31"/>
  <c r="N46" i="31"/>
  <c r="V46" i="31"/>
  <c r="V47" i="31"/>
  <c r="J46" i="31"/>
  <c r="I46" i="31"/>
  <c r="G46" i="31"/>
  <c r="F46" i="31"/>
  <c r="E46" i="31"/>
  <c r="O45" i="31"/>
  <c r="K45" i="31"/>
  <c r="J45" i="31"/>
  <c r="I45" i="31"/>
  <c r="H45" i="31"/>
  <c r="G45" i="31"/>
  <c r="F45" i="31"/>
  <c r="E45" i="31"/>
  <c r="O44" i="31"/>
  <c r="N44" i="31"/>
  <c r="U44" i="31"/>
  <c r="U45" i="31"/>
  <c r="J44" i="31"/>
  <c r="I44" i="31"/>
  <c r="G44" i="31"/>
  <c r="F44" i="31"/>
  <c r="E44" i="31"/>
  <c r="O43" i="31"/>
  <c r="K43" i="31"/>
  <c r="J43" i="31"/>
  <c r="I43" i="31"/>
  <c r="H43" i="31"/>
  <c r="G43" i="31"/>
  <c r="F43" i="31"/>
  <c r="E43" i="31"/>
  <c r="O42" i="31"/>
  <c r="N42" i="31"/>
  <c r="J42" i="31"/>
  <c r="I42" i="31"/>
  <c r="G42" i="31"/>
  <c r="F42" i="31"/>
  <c r="E42" i="31"/>
  <c r="O41" i="31"/>
  <c r="K41" i="31"/>
  <c r="J41" i="31"/>
  <c r="I41" i="31"/>
  <c r="H41" i="31"/>
  <c r="G41" i="31"/>
  <c r="F41" i="31"/>
  <c r="E41" i="31"/>
  <c r="O40" i="31"/>
  <c r="N40" i="31"/>
  <c r="S40" i="31"/>
  <c r="S41" i="31"/>
  <c r="J40" i="31"/>
  <c r="I40" i="31"/>
  <c r="G40" i="31"/>
  <c r="F40" i="31"/>
  <c r="E40" i="31"/>
  <c r="O39" i="31"/>
  <c r="K39" i="31"/>
  <c r="J39" i="31"/>
  <c r="I39" i="31"/>
  <c r="H39" i="31"/>
  <c r="G39" i="31"/>
  <c r="F39" i="31"/>
  <c r="E39" i="31"/>
  <c r="O38" i="31"/>
  <c r="N38" i="31"/>
  <c r="U38" i="31"/>
  <c r="U39" i="31"/>
  <c r="J38" i="31"/>
  <c r="I38" i="31"/>
  <c r="G38" i="31"/>
  <c r="F38" i="31"/>
  <c r="E38" i="31"/>
  <c r="O37" i="31"/>
  <c r="K37" i="31"/>
  <c r="J37" i="31"/>
  <c r="I37" i="31"/>
  <c r="H37" i="31"/>
  <c r="G37" i="31"/>
  <c r="F37" i="31"/>
  <c r="E37" i="31"/>
  <c r="O36" i="31"/>
  <c r="N36" i="31"/>
  <c r="T36" i="31"/>
  <c r="T37" i="31"/>
  <c r="J36" i="31"/>
  <c r="I36" i="31"/>
  <c r="G36" i="31"/>
  <c r="F36" i="31"/>
  <c r="E36" i="31"/>
  <c r="O35" i="31"/>
  <c r="K35" i="31"/>
  <c r="J35" i="31"/>
  <c r="I35" i="31"/>
  <c r="H35" i="31"/>
  <c r="G35" i="31"/>
  <c r="F35" i="31"/>
  <c r="E35" i="31"/>
  <c r="O34" i="31"/>
  <c r="N34" i="31"/>
  <c r="J34" i="31"/>
  <c r="I34" i="31"/>
  <c r="G34" i="31"/>
  <c r="F34" i="31"/>
  <c r="E34" i="31"/>
  <c r="O33" i="31"/>
  <c r="K33" i="31"/>
  <c r="J33" i="31"/>
  <c r="I33" i="31"/>
  <c r="H33" i="31"/>
  <c r="G33" i="31"/>
  <c r="F33" i="31"/>
  <c r="E33" i="31"/>
  <c r="O32" i="31"/>
  <c r="N32" i="31"/>
  <c r="J32" i="31"/>
  <c r="I32" i="31"/>
  <c r="G32" i="31"/>
  <c r="F32" i="31"/>
  <c r="E32" i="31"/>
  <c r="O31" i="31"/>
  <c r="K31" i="31"/>
  <c r="J31" i="31"/>
  <c r="I31" i="31"/>
  <c r="H31" i="31"/>
  <c r="G31" i="31"/>
  <c r="F31" i="31"/>
  <c r="E31" i="31"/>
  <c r="O30" i="31"/>
  <c r="N30" i="31"/>
  <c r="U30" i="31"/>
  <c r="U31" i="31"/>
  <c r="J30" i="31"/>
  <c r="I30" i="31"/>
  <c r="G30" i="31"/>
  <c r="F30" i="31"/>
  <c r="E30" i="31"/>
  <c r="O29" i="31"/>
  <c r="K29" i="31"/>
  <c r="J29" i="31"/>
  <c r="I29" i="31"/>
  <c r="H29" i="31"/>
  <c r="G29" i="31"/>
  <c r="F29" i="31"/>
  <c r="E29" i="31"/>
  <c r="O28" i="31"/>
  <c r="N28" i="31"/>
  <c r="T28" i="31"/>
  <c r="T29" i="31"/>
  <c r="J28" i="31"/>
  <c r="I28" i="31"/>
  <c r="G28" i="31"/>
  <c r="F28" i="31"/>
  <c r="E28" i="31"/>
  <c r="O27" i="31"/>
  <c r="K27" i="31"/>
  <c r="J27" i="31"/>
  <c r="I27" i="31"/>
  <c r="H27" i="31"/>
  <c r="G27" i="31"/>
  <c r="F27" i="31"/>
  <c r="E27" i="31"/>
  <c r="O26" i="31"/>
  <c r="N26" i="31"/>
  <c r="T26" i="31"/>
  <c r="T27" i="31"/>
  <c r="J26" i="31"/>
  <c r="I26" i="31"/>
  <c r="G26" i="31"/>
  <c r="F26" i="31"/>
  <c r="E26" i="31"/>
  <c r="O25" i="31"/>
  <c r="K25" i="31"/>
  <c r="J25" i="31"/>
  <c r="I25" i="31"/>
  <c r="H25" i="31"/>
  <c r="G25" i="31"/>
  <c r="F25" i="31"/>
  <c r="E25" i="31"/>
  <c r="O24" i="31"/>
  <c r="N24" i="31"/>
  <c r="J24" i="31"/>
  <c r="I24" i="31"/>
  <c r="E24" i="31"/>
  <c r="O23" i="31"/>
  <c r="J23" i="31"/>
  <c r="I23" i="31"/>
  <c r="O22" i="31"/>
  <c r="J22" i="31"/>
  <c r="I22" i="31"/>
  <c r="O21" i="31"/>
  <c r="J21" i="31"/>
  <c r="I21" i="31"/>
  <c r="O20" i="31"/>
  <c r="J20" i="31"/>
  <c r="I20" i="31"/>
  <c r="O19" i="31"/>
  <c r="J19" i="31"/>
  <c r="I19" i="31"/>
  <c r="O18" i="31"/>
  <c r="N18" i="31"/>
  <c r="K18" i="31"/>
  <c r="J18" i="31"/>
  <c r="I18" i="31"/>
  <c r="O17" i="31"/>
  <c r="N17" i="31"/>
  <c r="S17" i="31"/>
  <c r="J17" i="31"/>
  <c r="I17" i="31"/>
  <c r="O16" i="31"/>
  <c r="N16" i="31"/>
  <c r="J16" i="31"/>
  <c r="I16" i="31"/>
  <c r="O15" i="31"/>
  <c r="N15" i="31"/>
  <c r="T15" i="31"/>
  <c r="J15" i="31"/>
  <c r="I15" i="31"/>
  <c r="O14" i="31"/>
  <c r="N14" i="31"/>
  <c r="J14" i="31"/>
  <c r="I14" i="31"/>
  <c r="O13" i="31"/>
  <c r="N13" i="31"/>
  <c r="S13" i="31"/>
  <c r="J13" i="31"/>
  <c r="I13" i="31"/>
  <c r="O12" i="31"/>
  <c r="N12" i="31"/>
  <c r="V12" i="31"/>
  <c r="J12" i="31"/>
  <c r="I12" i="31"/>
  <c r="C10" i="31"/>
  <c r="P54" i="31"/>
  <c r="P55" i="31"/>
  <c r="M8" i="31"/>
  <c r="M7" i="31"/>
  <c r="J61" i="25"/>
  <c r="G61" i="25"/>
  <c r="J59" i="25"/>
  <c r="G59" i="25"/>
  <c r="J57" i="25"/>
  <c r="G57" i="25"/>
  <c r="G55" i="25"/>
  <c r="F51" i="25"/>
  <c r="E51" i="25"/>
  <c r="K50" i="25"/>
  <c r="E50" i="25"/>
  <c r="O49" i="25"/>
  <c r="K49" i="25"/>
  <c r="J49" i="25"/>
  <c r="I49" i="25"/>
  <c r="H49" i="25"/>
  <c r="G49" i="25"/>
  <c r="F49" i="25"/>
  <c r="E49" i="25"/>
  <c r="O47" i="25"/>
  <c r="K47" i="25"/>
  <c r="J47" i="25"/>
  <c r="I47" i="25"/>
  <c r="H47" i="25"/>
  <c r="G47" i="25"/>
  <c r="F47" i="25"/>
  <c r="E47" i="25"/>
  <c r="O46" i="25"/>
  <c r="N46" i="25"/>
  <c r="U46" i="25"/>
  <c r="U47" i="25"/>
  <c r="J46" i="25"/>
  <c r="I46" i="25"/>
  <c r="G46" i="25"/>
  <c r="F46" i="25"/>
  <c r="O45" i="25"/>
  <c r="K45" i="25"/>
  <c r="J45" i="25"/>
  <c r="I45" i="25"/>
  <c r="H45" i="25"/>
  <c r="G45" i="25"/>
  <c r="F45" i="25"/>
  <c r="E45" i="25"/>
  <c r="O44" i="25"/>
  <c r="N44" i="25"/>
  <c r="J44" i="25"/>
  <c r="I44" i="25"/>
  <c r="G44" i="25"/>
  <c r="F44" i="25"/>
  <c r="E44" i="25"/>
  <c r="O43" i="25"/>
  <c r="K43" i="25"/>
  <c r="J43" i="25"/>
  <c r="I43" i="25"/>
  <c r="H43" i="25"/>
  <c r="G43" i="25"/>
  <c r="F43" i="25"/>
  <c r="E43" i="25"/>
  <c r="O42" i="25"/>
  <c r="N42" i="25"/>
  <c r="S42" i="25"/>
  <c r="S43" i="25"/>
  <c r="J42" i="25"/>
  <c r="I42" i="25"/>
  <c r="G42" i="25"/>
  <c r="F42" i="25"/>
  <c r="E42" i="25"/>
  <c r="O41" i="25"/>
  <c r="K41" i="25"/>
  <c r="J41" i="25"/>
  <c r="I41" i="25"/>
  <c r="H41" i="25"/>
  <c r="G41" i="25"/>
  <c r="F41" i="25"/>
  <c r="E41" i="25"/>
  <c r="O40" i="25"/>
  <c r="N40" i="25"/>
  <c r="R40" i="25"/>
  <c r="R41" i="25"/>
  <c r="J40" i="25"/>
  <c r="I40" i="25"/>
  <c r="G40" i="25"/>
  <c r="F40" i="25"/>
  <c r="E40" i="25"/>
  <c r="O39" i="25"/>
  <c r="K39" i="25"/>
  <c r="J39" i="25"/>
  <c r="I39" i="25"/>
  <c r="H39" i="25"/>
  <c r="G39" i="25"/>
  <c r="F39" i="25"/>
  <c r="E39" i="25"/>
  <c r="O38" i="25"/>
  <c r="N38" i="25"/>
  <c r="R38" i="25"/>
  <c r="R39" i="25"/>
  <c r="J38" i="25"/>
  <c r="I38" i="25"/>
  <c r="G38" i="25"/>
  <c r="F38" i="25"/>
  <c r="E38" i="25"/>
  <c r="O37" i="25"/>
  <c r="K37" i="25"/>
  <c r="J37" i="25"/>
  <c r="I37" i="25"/>
  <c r="H37" i="25"/>
  <c r="G37" i="25"/>
  <c r="F37" i="25"/>
  <c r="E37" i="25"/>
  <c r="O36" i="25"/>
  <c r="N36" i="25"/>
  <c r="T36" i="25"/>
  <c r="T37" i="25"/>
  <c r="J36" i="25"/>
  <c r="I36" i="25"/>
  <c r="G36" i="25"/>
  <c r="F36" i="25"/>
  <c r="E36" i="25"/>
  <c r="O35" i="25"/>
  <c r="K35" i="25"/>
  <c r="J35" i="25"/>
  <c r="I35" i="25"/>
  <c r="H35" i="25"/>
  <c r="G35" i="25"/>
  <c r="F35" i="25"/>
  <c r="E35" i="25"/>
  <c r="O34" i="25"/>
  <c r="N34" i="25"/>
  <c r="J34" i="25"/>
  <c r="I34" i="25"/>
  <c r="G34" i="25"/>
  <c r="F34" i="25"/>
  <c r="E34" i="25"/>
  <c r="O33" i="25"/>
  <c r="K33" i="25"/>
  <c r="J33" i="25"/>
  <c r="I33" i="25"/>
  <c r="H33" i="25"/>
  <c r="G33" i="25"/>
  <c r="F33" i="25"/>
  <c r="E33" i="25"/>
  <c r="O32" i="25"/>
  <c r="N32" i="25"/>
  <c r="J32" i="25"/>
  <c r="I32" i="25"/>
  <c r="G32" i="25"/>
  <c r="F32" i="25"/>
  <c r="E32" i="25"/>
  <c r="O31" i="25"/>
  <c r="K31" i="25"/>
  <c r="J31" i="25"/>
  <c r="I31" i="25"/>
  <c r="H31" i="25"/>
  <c r="G31" i="25"/>
  <c r="F31" i="25"/>
  <c r="E31" i="25"/>
  <c r="O30" i="25"/>
  <c r="N30" i="25"/>
  <c r="V30" i="25"/>
  <c r="V31" i="25"/>
  <c r="J30" i="25"/>
  <c r="I30" i="25"/>
  <c r="G30" i="25"/>
  <c r="F30" i="25"/>
  <c r="E30" i="25"/>
  <c r="O29" i="25"/>
  <c r="K29" i="25"/>
  <c r="J29" i="25"/>
  <c r="I29" i="25"/>
  <c r="H29" i="25"/>
  <c r="G29" i="25"/>
  <c r="F29" i="25"/>
  <c r="E29" i="25"/>
  <c r="O28" i="25"/>
  <c r="N28" i="25"/>
  <c r="J28" i="25"/>
  <c r="I28" i="25"/>
  <c r="G28" i="25"/>
  <c r="F28" i="25"/>
  <c r="E28" i="25"/>
  <c r="O27" i="25"/>
  <c r="K27" i="25"/>
  <c r="J27" i="25"/>
  <c r="I27" i="25"/>
  <c r="H27" i="25"/>
  <c r="G27" i="25"/>
  <c r="F27" i="25"/>
  <c r="E27" i="25"/>
  <c r="O26" i="25"/>
  <c r="N26" i="25"/>
  <c r="S26" i="25"/>
  <c r="S27" i="25"/>
  <c r="J26" i="25"/>
  <c r="I26" i="25"/>
  <c r="G26" i="25"/>
  <c r="F26" i="25"/>
  <c r="E26" i="25"/>
  <c r="O25" i="25"/>
  <c r="K25" i="25"/>
  <c r="J25" i="25"/>
  <c r="I25" i="25"/>
  <c r="H25" i="25"/>
  <c r="G25" i="25"/>
  <c r="F25" i="25"/>
  <c r="E25" i="25"/>
  <c r="O24" i="25"/>
  <c r="N24" i="25"/>
  <c r="R24" i="25"/>
  <c r="R25" i="25"/>
  <c r="J24" i="25"/>
  <c r="I24" i="25"/>
  <c r="G24" i="25"/>
  <c r="F24" i="25"/>
  <c r="E24" i="25"/>
  <c r="O23" i="25"/>
  <c r="K23" i="25"/>
  <c r="J23" i="25"/>
  <c r="I23" i="25"/>
  <c r="H23" i="25"/>
  <c r="G23" i="25"/>
  <c r="F23" i="25"/>
  <c r="E23" i="25"/>
  <c r="O22" i="25"/>
  <c r="N22" i="25"/>
  <c r="S22" i="25"/>
  <c r="S23" i="25"/>
  <c r="J22" i="25"/>
  <c r="I22" i="25"/>
  <c r="G22" i="25"/>
  <c r="F22" i="25"/>
  <c r="E22" i="25"/>
  <c r="O21" i="25"/>
  <c r="K21" i="25"/>
  <c r="J21" i="25"/>
  <c r="I21" i="25"/>
  <c r="H21" i="25"/>
  <c r="G21" i="25"/>
  <c r="F21" i="25"/>
  <c r="E21" i="25"/>
  <c r="O20" i="25"/>
  <c r="N20" i="25"/>
  <c r="T20" i="25"/>
  <c r="T21" i="25"/>
  <c r="J20" i="25"/>
  <c r="I20" i="25"/>
  <c r="G20" i="25"/>
  <c r="F20" i="25"/>
  <c r="E20" i="25"/>
  <c r="O19" i="25"/>
  <c r="K19" i="25"/>
  <c r="J19" i="25"/>
  <c r="I19" i="25"/>
  <c r="H19" i="25"/>
  <c r="G19" i="25"/>
  <c r="F19" i="25"/>
  <c r="E19" i="25"/>
  <c r="O18" i="25"/>
  <c r="N18" i="25"/>
  <c r="J18" i="25"/>
  <c r="I18" i="25"/>
  <c r="G18" i="25"/>
  <c r="F18" i="25"/>
  <c r="E18" i="25"/>
  <c r="O17" i="25"/>
  <c r="K17" i="25"/>
  <c r="J17" i="25"/>
  <c r="I17" i="25"/>
  <c r="H17" i="25"/>
  <c r="G17" i="25"/>
  <c r="F17" i="25"/>
  <c r="E17" i="25"/>
  <c r="O16" i="25"/>
  <c r="N16" i="25"/>
  <c r="S16" i="25"/>
  <c r="S17" i="25"/>
  <c r="J16" i="25"/>
  <c r="I16" i="25"/>
  <c r="G16" i="25"/>
  <c r="F16" i="25"/>
  <c r="E16" i="25"/>
  <c r="O15" i="25"/>
  <c r="K15" i="25"/>
  <c r="J15" i="25"/>
  <c r="I15" i="25"/>
  <c r="H15" i="25"/>
  <c r="G15" i="25"/>
  <c r="F15" i="25"/>
  <c r="E15" i="25"/>
  <c r="O14" i="25"/>
  <c r="N14" i="25"/>
  <c r="U14" i="25"/>
  <c r="U15" i="25"/>
  <c r="J14" i="25"/>
  <c r="I14" i="25"/>
  <c r="G14" i="25"/>
  <c r="F14" i="25"/>
  <c r="E14" i="25"/>
  <c r="O13" i="25"/>
  <c r="K13" i="25"/>
  <c r="J13" i="25"/>
  <c r="I13" i="25"/>
  <c r="H13" i="25"/>
  <c r="G13" i="25"/>
  <c r="F13" i="25"/>
  <c r="E13" i="25"/>
  <c r="O12" i="25"/>
  <c r="N12" i="25"/>
  <c r="U12" i="25"/>
  <c r="J12" i="25"/>
  <c r="I12" i="25"/>
  <c r="G12" i="25"/>
  <c r="F12" i="25"/>
  <c r="E12" i="25"/>
  <c r="C10" i="25"/>
  <c r="P14" i="25"/>
  <c r="P15" i="25"/>
  <c r="M8" i="25"/>
  <c r="M7" i="25"/>
  <c r="J75" i="26"/>
  <c r="G75" i="26"/>
  <c r="J73" i="26"/>
  <c r="G73" i="26"/>
  <c r="J71" i="26"/>
  <c r="G71" i="26"/>
  <c r="G69" i="26"/>
  <c r="F65" i="26"/>
  <c r="E65" i="26"/>
  <c r="K64" i="26"/>
  <c r="E64" i="26"/>
  <c r="O63" i="26"/>
  <c r="K63" i="26"/>
  <c r="J63" i="26"/>
  <c r="I63" i="26"/>
  <c r="H63" i="26"/>
  <c r="G63" i="26"/>
  <c r="F63" i="26"/>
  <c r="E63" i="26"/>
  <c r="O61" i="26"/>
  <c r="K61" i="26"/>
  <c r="J61" i="26"/>
  <c r="I61" i="26"/>
  <c r="H61" i="26"/>
  <c r="G61" i="26"/>
  <c r="F61" i="26"/>
  <c r="E61" i="26"/>
  <c r="O60" i="26"/>
  <c r="N60" i="26"/>
  <c r="V60" i="26"/>
  <c r="V61" i="26"/>
  <c r="J60" i="26"/>
  <c r="I60" i="26"/>
  <c r="G60" i="26"/>
  <c r="F60" i="26"/>
  <c r="O59" i="26"/>
  <c r="K59" i="26"/>
  <c r="J59" i="26"/>
  <c r="I59" i="26"/>
  <c r="H59" i="26"/>
  <c r="G59" i="26"/>
  <c r="F59" i="26"/>
  <c r="E59" i="26"/>
  <c r="O58" i="26"/>
  <c r="N58" i="26"/>
  <c r="T58" i="26"/>
  <c r="J58" i="26"/>
  <c r="I58" i="26"/>
  <c r="G58" i="26"/>
  <c r="F58" i="26"/>
  <c r="O57" i="26"/>
  <c r="J57" i="26"/>
  <c r="I57" i="26"/>
  <c r="G57" i="26"/>
  <c r="F57" i="26"/>
  <c r="O56" i="26"/>
  <c r="N56" i="26"/>
  <c r="J56" i="26"/>
  <c r="I56" i="26"/>
  <c r="G56" i="26"/>
  <c r="F56" i="26"/>
  <c r="O55" i="26"/>
  <c r="N55" i="26"/>
  <c r="J55" i="26"/>
  <c r="I55" i="26"/>
  <c r="G55" i="26"/>
  <c r="F55" i="26"/>
  <c r="O54" i="26"/>
  <c r="N54" i="26"/>
  <c r="T54" i="26"/>
  <c r="J54" i="26"/>
  <c r="I54" i="26"/>
  <c r="G54" i="26"/>
  <c r="F54" i="26"/>
  <c r="O53" i="26"/>
  <c r="N53" i="26"/>
  <c r="T53" i="26"/>
  <c r="J53" i="26"/>
  <c r="I53" i="26"/>
  <c r="G53" i="26"/>
  <c r="F53" i="26"/>
  <c r="O52" i="26"/>
  <c r="N52" i="26"/>
  <c r="J52" i="26"/>
  <c r="I52" i="26"/>
  <c r="G52" i="26"/>
  <c r="F52" i="26"/>
  <c r="O51" i="26"/>
  <c r="N51" i="26"/>
  <c r="J51" i="26"/>
  <c r="I51" i="26"/>
  <c r="G51" i="26"/>
  <c r="F51" i="26"/>
  <c r="O50" i="26"/>
  <c r="N50" i="26"/>
  <c r="T50" i="26"/>
  <c r="J50" i="26"/>
  <c r="I50" i="26"/>
  <c r="G50" i="26"/>
  <c r="F50" i="26"/>
  <c r="O49" i="26"/>
  <c r="K49" i="26"/>
  <c r="J49" i="26"/>
  <c r="I49" i="26"/>
  <c r="H49" i="26"/>
  <c r="G49" i="26"/>
  <c r="F49" i="26"/>
  <c r="E49" i="26"/>
  <c r="O48" i="26"/>
  <c r="N48" i="26"/>
  <c r="U48" i="26"/>
  <c r="U49" i="26"/>
  <c r="J48" i="26"/>
  <c r="I48" i="26"/>
  <c r="G48" i="26"/>
  <c r="F48" i="26"/>
  <c r="E48" i="26"/>
  <c r="O47" i="26"/>
  <c r="K47" i="26"/>
  <c r="J47" i="26"/>
  <c r="I47" i="26"/>
  <c r="H47" i="26"/>
  <c r="G47" i="26"/>
  <c r="F47" i="26"/>
  <c r="E47" i="26"/>
  <c r="O46" i="26"/>
  <c r="N46" i="26"/>
  <c r="S46" i="26"/>
  <c r="S47" i="26"/>
  <c r="J46" i="26"/>
  <c r="I46" i="26"/>
  <c r="G46" i="26"/>
  <c r="F46" i="26"/>
  <c r="E46" i="26"/>
  <c r="O45" i="26"/>
  <c r="K45" i="26"/>
  <c r="J45" i="26"/>
  <c r="I45" i="26"/>
  <c r="H45" i="26"/>
  <c r="G45" i="26"/>
  <c r="F45" i="26"/>
  <c r="E45" i="26"/>
  <c r="O44" i="26"/>
  <c r="N44" i="26"/>
  <c r="S44" i="26"/>
  <c r="S45" i="26"/>
  <c r="J44" i="26"/>
  <c r="I44" i="26"/>
  <c r="G44" i="26"/>
  <c r="F44" i="26"/>
  <c r="E44" i="26"/>
  <c r="O43" i="26"/>
  <c r="K43" i="26"/>
  <c r="J43" i="26"/>
  <c r="I43" i="26"/>
  <c r="H43" i="26"/>
  <c r="G43" i="26"/>
  <c r="F43" i="26"/>
  <c r="E43" i="26"/>
  <c r="O42" i="26"/>
  <c r="N42" i="26"/>
  <c r="V42" i="26"/>
  <c r="V43" i="26"/>
  <c r="J42" i="26"/>
  <c r="I42" i="26"/>
  <c r="G42" i="26"/>
  <c r="F42" i="26"/>
  <c r="E42" i="26"/>
  <c r="O41" i="26"/>
  <c r="K41" i="26"/>
  <c r="J41" i="26"/>
  <c r="I41" i="26"/>
  <c r="H41" i="26"/>
  <c r="G41" i="26"/>
  <c r="F41" i="26"/>
  <c r="E41" i="26"/>
  <c r="O40" i="26"/>
  <c r="N40" i="26"/>
  <c r="R40" i="26"/>
  <c r="R41" i="26"/>
  <c r="J40" i="26"/>
  <c r="I40" i="26"/>
  <c r="G40" i="26"/>
  <c r="F40" i="26"/>
  <c r="E40" i="26"/>
  <c r="O39" i="26"/>
  <c r="K39" i="26"/>
  <c r="J39" i="26"/>
  <c r="I39" i="26"/>
  <c r="H39" i="26"/>
  <c r="G39" i="26"/>
  <c r="F39" i="26"/>
  <c r="E39" i="26"/>
  <c r="O38" i="26"/>
  <c r="N38" i="26"/>
  <c r="S38" i="26"/>
  <c r="S39" i="26"/>
  <c r="J38" i="26"/>
  <c r="I38" i="26"/>
  <c r="G38" i="26"/>
  <c r="F38" i="26"/>
  <c r="E38" i="26"/>
  <c r="O37" i="26"/>
  <c r="K37" i="26"/>
  <c r="J37" i="26"/>
  <c r="I37" i="26"/>
  <c r="H37" i="26"/>
  <c r="G37" i="26"/>
  <c r="F37" i="26"/>
  <c r="E37" i="26"/>
  <c r="O36" i="26"/>
  <c r="N36" i="26"/>
  <c r="T36" i="26"/>
  <c r="T37" i="26"/>
  <c r="J36" i="26"/>
  <c r="I36" i="26"/>
  <c r="G36" i="26"/>
  <c r="F36" i="26"/>
  <c r="E36" i="26"/>
  <c r="O35" i="26"/>
  <c r="K35" i="26"/>
  <c r="J35" i="26"/>
  <c r="I35" i="26"/>
  <c r="H35" i="26"/>
  <c r="G35" i="26"/>
  <c r="F35" i="26"/>
  <c r="E35" i="26"/>
  <c r="O34" i="26"/>
  <c r="N34" i="26"/>
  <c r="V34" i="26"/>
  <c r="V35" i="26"/>
  <c r="J34" i="26"/>
  <c r="I34" i="26"/>
  <c r="G34" i="26"/>
  <c r="F34" i="26"/>
  <c r="E34" i="26"/>
  <c r="O33" i="26"/>
  <c r="K33" i="26"/>
  <c r="J33" i="26"/>
  <c r="I33" i="26"/>
  <c r="H33" i="26"/>
  <c r="G33" i="26"/>
  <c r="F33" i="26"/>
  <c r="E33" i="26"/>
  <c r="O32" i="26"/>
  <c r="N32" i="26"/>
  <c r="V32" i="26"/>
  <c r="V33" i="26"/>
  <c r="J32" i="26"/>
  <c r="I32" i="26"/>
  <c r="G32" i="26"/>
  <c r="F32" i="26"/>
  <c r="E32" i="26"/>
  <c r="O31" i="26"/>
  <c r="K31" i="26"/>
  <c r="J31" i="26"/>
  <c r="I31" i="26"/>
  <c r="H31" i="26"/>
  <c r="G31" i="26"/>
  <c r="F31" i="26"/>
  <c r="E31" i="26"/>
  <c r="O30" i="26"/>
  <c r="N30" i="26"/>
  <c r="J30" i="26"/>
  <c r="I30" i="26"/>
  <c r="G30" i="26"/>
  <c r="F30" i="26"/>
  <c r="E30" i="26"/>
  <c r="O29" i="26"/>
  <c r="K29" i="26"/>
  <c r="J29" i="26"/>
  <c r="I29" i="26"/>
  <c r="H29" i="26"/>
  <c r="G29" i="26"/>
  <c r="F29" i="26"/>
  <c r="E29" i="26"/>
  <c r="O28" i="26"/>
  <c r="N28" i="26"/>
  <c r="J28" i="26"/>
  <c r="I28" i="26"/>
  <c r="G28" i="26"/>
  <c r="F28" i="26"/>
  <c r="E28" i="26"/>
  <c r="O27" i="26"/>
  <c r="K27" i="26"/>
  <c r="J27" i="26"/>
  <c r="I27" i="26"/>
  <c r="H27" i="26"/>
  <c r="G27" i="26"/>
  <c r="F27" i="26"/>
  <c r="E27" i="26"/>
  <c r="O26" i="26"/>
  <c r="N26" i="26"/>
  <c r="R26" i="26"/>
  <c r="R27" i="26"/>
  <c r="J26" i="26"/>
  <c r="I26" i="26"/>
  <c r="G26" i="26"/>
  <c r="F26" i="26"/>
  <c r="E26" i="26"/>
  <c r="O25" i="26"/>
  <c r="K25" i="26"/>
  <c r="J25" i="26"/>
  <c r="I25" i="26"/>
  <c r="H25" i="26"/>
  <c r="G25" i="26"/>
  <c r="F25" i="26"/>
  <c r="E25" i="26"/>
  <c r="O24" i="26"/>
  <c r="N24" i="26"/>
  <c r="J24" i="26"/>
  <c r="I24" i="26"/>
  <c r="G24" i="26"/>
  <c r="F24" i="26"/>
  <c r="E24" i="26"/>
  <c r="O23" i="26"/>
  <c r="K23" i="26"/>
  <c r="J23" i="26"/>
  <c r="I23" i="26"/>
  <c r="H23" i="26"/>
  <c r="G23" i="26"/>
  <c r="F23" i="26"/>
  <c r="E23" i="26"/>
  <c r="O22" i="26"/>
  <c r="N22" i="26"/>
  <c r="J22" i="26"/>
  <c r="I22" i="26"/>
  <c r="G22" i="26"/>
  <c r="F22" i="26"/>
  <c r="E22" i="26"/>
  <c r="O21" i="26"/>
  <c r="K21" i="26"/>
  <c r="J21" i="26"/>
  <c r="I21" i="26"/>
  <c r="H21" i="26"/>
  <c r="G21" i="26"/>
  <c r="F21" i="26"/>
  <c r="E21" i="26"/>
  <c r="O20" i="26"/>
  <c r="N20" i="26"/>
  <c r="S20" i="26"/>
  <c r="S21" i="26"/>
  <c r="J20" i="26"/>
  <c r="I20" i="26"/>
  <c r="G20" i="26"/>
  <c r="F20" i="26"/>
  <c r="E20" i="26"/>
  <c r="O19" i="26"/>
  <c r="K19" i="26"/>
  <c r="J19" i="26"/>
  <c r="I19" i="26"/>
  <c r="H19" i="26"/>
  <c r="G19" i="26"/>
  <c r="F19" i="26"/>
  <c r="E19" i="26"/>
  <c r="O18" i="26"/>
  <c r="N18" i="26"/>
  <c r="S18" i="26"/>
  <c r="S19" i="26"/>
  <c r="J18" i="26"/>
  <c r="I18" i="26"/>
  <c r="G18" i="26"/>
  <c r="F18" i="26"/>
  <c r="E18" i="26"/>
  <c r="O17" i="26"/>
  <c r="K17" i="26"/>
  <c r="J17" i="26"/>
  <c r="I17" i="26"/>
  <c r="H17" i="26"/>
  <c r="G17" i="26"/>
  <c r="F17" i="26"/>
  <c r="E17" i="26"/>
  <c r="O16" i="26"/>
  <c r="N16" i="26"/>
  <c r="R16" i="26"/>
  <c r="R17" i="26"/>
  <c r="J16" i="26"/>
  <c r="I16" i="26"/>
  <c r="G16" i="26"/>
  <c r="F16" i="26"/>
  <c r="E16" i="26"/>
  <c r="O15" i="26"/>
  <c r="K15" i="26"/>
  <c r="J15" i="26"/>
  <c r="I15" i="26"/>
  <c r="H15" i="26"/>
  <c r="G15" i="26"/>
  <c r="F15" i="26"/>
  <c r="E15" i="26"/>
  <c r="O14" i="26"/>
  <c r="N14" i="26"/>
  <c r="S14" i="26"/>
  <c r="S15" i="26"/>
  <c r="J14" i="26"/>
  <c r="I14" i="26"/>
  <c r="G14" i="26"/>
  <c r="F14" i="26"/>
  <c r="E14" i="26"/>
  <c r="O13" i="26"/>
  <c r="K13" i="26"/>
  <c r="J13" i="26"/>
  <c r="I13" i="26"/>
  <c r="H13" i="26"/>
  <c r="G13" i="26"/>
  <c r="F13" i="26"/>
  <c r="E13" i="26"/>
  <c r="O12" i="26"/>
  <c r="N12" i="26"/>
  <c r="T12" i="26"/>
  <c r="J12" i="26"/>
  <c r="I12" i="26"/>
  <c r="E12" i="26"/>
  <c r="C10" i="26"/>
  <c r="P30" i="26"/>
  <c r="P31" i="26"/>
  <c r="M8" i="26"/>
  <c r="M7" i="26"/>
  <c r="J79" i="27"/>
  <c r="G79" i="27"/>
  <c r="J77" i="27"/>
  <c r="G77" i="27"/>
  <c r="J75" i="27"/>
  <c r="G75" i="27"/>
  <c r="G73" i="27"/>
  <c r="F69" i="27"/>
  <c r="E69" i="27"/>
  <c r="K68" i="27"/>
  <c r="E68" i="27"/>
  <c r="O67" i="27"/>
  <c r="K67" i="27"/>
  <c r="J67" i="27"/>
  <c r="I67" i="27"/>
  <c r="H67" i="27"/>
  <c r="G67" i="27"/>
  <c r="F67" i="27"/>
  <c r="E67" i="27"/>
  <c r="O65" i="27"/>
  <c r="K65" i="27"/>
  <c r="J65" i="27"/>
  <c r="I65" i="27"/>
  <c r="H65" i="27"/>
  <c r="G65" i="27"/>
  <c r="F65" i="27"/>
  <c r="E65" i="27"/>
  <c r="O64" i="27"/>
  <c r="N64" i="27"/>
  <c r="J64" i="27"/>
  <c r="I64" i="27"/>
  <c r="G64" i="27"/>
  <c r="F64" i="27"/>
  <c r="E64" i="27"/>
  <c r="O63" i="27"/>
  <c r="K63" i="27"/>
  <c r="J63" i="27"/>
  <c r="I63" i="27"/>
  <c r="H63" i="27"/>
  <c r="G63" i="27"/>
  <c r="F63" i="27"/>
  <c r="E63" i="27"/>
  <c r="O62" i="27"/>
  <c r="N62" i="27"/>
  <c r="V62" i="27"/>
  <c r="V63" i="27"/>
  <c r="J62" i="27"/>
  <c r="I62" i="27"/>
  <c r="G62" i="27"/>
  <c r="F62" i="27"/>
  <c r="E62" i="27"/>
  <c r="O61" i="27"/>
  <c r="K61" i="27"/>
  <c r="J61" i="27"/>
  <c r="I61" i="27"/>
  <c r="H61" i="27"/>
  <c r="G61" i="27"/>
  <c r="F61" i="27"/>
  <c r="E61" i="27"/>
  <c r="O60" i="27"/>
  <c r="N60" i="27"/>
  <c r="T60" i="27"/>
  <c r="T61" i="27"/>
  <c r="J60" i="27"/>
  <c r="I60" i="27"/>
  <c r="G60" i="27"/>
  <c r="F60" i="27"/>
  <c r="E60" i="27"/>
  <c r="O59" i="27"/>
  <c r="K59" i="27"/>
  <c r="J59" i="27"/>
  <c r="I59" i="27"/>
  <c r="H59" i="27"/>
  <c r="G59" i="27"/>
  <c r="F59" i="27"/>
  <c r="E59" i="27"/>
  <c r="O58" i="27"/>
  <c r="N58" i="27"/>
  <c r="U58" i="27"/>
  <c r="U59" i="27"/>
  <c r="J58" i="27"/>
  <c r="I58" i="27"/>
  <c r="G58" i="27"/>
  <c r="F58" i="27"/>
  <c r="E58" i="27"/>
  <c r="O57" i="27"/>
  <c r="K57" i="27"/>
  <c r="J57" i="27"/>
  <c r="I57" i="27"/>
  <c r="H57" i="27"/>
  <c r="G57" i="27"/>
  <c r="F57" i="27"/>
  <c r="E57" i="27"/>
  <c r="O56" i="27"/>
  <c r="N56" i="27"/>
  <c r="J56" i="27"/>
  <c r="I56" i="27"/>
  <c r="G56" i="27"/>
  <c r="F56" i="27"/>
  <c r="E56" i="27"/>
  <c r="O55" i="27"/>
  <c r="K55" i="27"/>
  <c r="J55" i="27"/>
  <c r="I55" i="27"/>
  <c r="H55" i="27"/>
  <c r="G55" i="27"/>
  <c r="F55" i="27"/>
  <c r="E55" i="27"/>
  <c r="O54" i="27"/>
  <c r="N54" i="27"/>
  <c r="S54" i="27"/>
  <c r="S55" i="27"/>
  <c r="J54" i="27"/>
  <c r="I54" i="27"/>
  <c r="G54" i="27"/>
  <c r="F54" i="27"/>
  <c r="E54" i="27"/>
  <c r="O53" i="27"/>
  <c r="K53" i="27"/>
  <c r="J53" i="27"/>
  <c r="I53" i="27"/>
  <c r="H53" i="27"/>
  <c r="G53" i="27"/>
  <c r="F53" i="27"/>
  <c r="E53" i="27"/>
  <c r="O52" i="27"/>
  <c r="N52" i="27"/>
  <c r="V52" i="27"/>
  <c r="V53" i="27"/>
  <c r="J52" i="27"/>
  <c r="I52" i="27"/>
  <c r="G52" i="27"/>
  <c r="F52" i="27"/>
  <c r="E52" i="27"/>
  <c r="O51" i="27"/>
  <c r="K51" i="27"/>
  <c r="J51" i="27"/>
  <c r="I51" i="27"/>
  <c r="H51" i="27"/>
  <c r="G51" i="27"/>
  <c r="F51" i="27"/>
  <c r="E51" i="27"/>
  <c r="O50" i="27"/>
  <c r="N50" i="27"/>
  <c r="S50" i="27"/>
  <c r="S51" i="27"/>
  <c r="J50" i="27"/>
  <c r="I50" i="27"/>
  <c r="G50" i="27"/>
  <c r="F50" i="27"/>
  <c r="E50" i="27"/>
  <c r="O49" i="27"/>
  <c r="K49" i="27"/>
  <c r="J49" i="27"/>
  <c r="I49" i="27"/>
  <c r="H49" i="27"/>
  <c r="G49" i="27"/>
  <c r="F49" i="27"/>
  <c r="E49" i="27"/>
  <c r="O48" i="27"/>
  <c r="N48" i="27"/>
  <c r="J48" i="27"/>
  <c r="I48" i="27"/>
  <c r="G48" i="27"/>
  <c r="F48" i="27"/>
  <c r="E48" i="27"/>
  <c r="O47" i="27"/>
  <c r="K47" i="27"/>
  <c r="J47" i="27"/>
  <c r="I47" i="27"/>
  <c r="H47" i="27"/>
  <c r="G47" i="27"/>
  <c r="F47" i="27"/>
  <c r="E47" i="27"/>
  <c r="O46" i="27"/>
  <c r="N46" i="27"/>
  <c r="J46" i="27"/>
  <c r="I46" i="27"/>
  <c r="G46" i="27"/>
  <c r="F46" i="27"/>
  <c r="E46" i="27"/>
  <c r="O45" i="27"/>
  <c r="K45" i="27"/>
  <c r="J45" i="27"/>
  <c r="I45" i="27"/>
  <c r="H45" i="27"/>
  <c r="G45" i="27"/>
  <c r="F45" i="27"/>
  <c r="E45" i="27"/>
  <c r="O44" i="27"/>
  <c r="N44" i="27"/>
  <c r="J44" i="27"/>
  <c r="I44" i="27"/>
  <c r="G44" i="27"/>
  <c r="F44" i="27"/>
  <c r="E44" i="27"/>
  <c r="O43" i="27"/>
  <c r="K43" i="27"/>
  <c r="J43" i="27"/>
  <c r="I43" i="27"/>
  <c r="H43" i="27"/>
  <c r="G43" i="27"/>
  <c r="F43" i="27"/>
  <c r="E43" i="27"/>
  <c r="O42" i="27"/>
  <c r="N42" i="27"/>
  <c r="S42" i="27"/>
  <c r="S43" i="27"/>
  <c r="J42" i="27"/>
  <c r="I42" i="27"/>
  <c r="G42" i="27"/>
  <c r="F42" i="27"/>
  <c r="E42" i="27"/>
  <c r="O41" i="27"/>
  <c r="K41" i="27"/>
  <c r="J41" i="27"/>
  <c r="I41" i="27"/>
  <c r="H41" i="27"/>
  <c r="G41" i="27"/>
  <c r="F41" i="27"/>
  <c r="E41" i="27"/>
  <c r="O40" i="27"/>
  <c r="N40" i="27"/>
  <c r="T40" i="27"/>
  <c r="T41" i="27"/>
  <c r="J40" i="27"/>
  <c r="I40" i="27"/>
  <c r="G40" i="27"/>
  <c r="F40" i="27"/>
  <c r="E40" i="27"/>
  <c r="O39" i="27"/>
  <c r="K39" i="27"/>
  <c r="J39" i="27"/>
  <c r="I39" i="27"/>
  <c r="H39" i="27"/>
  <c r="G39" i="27"/>
  <c r="F39" i="27"/>
  <c r="E39" i="27"/>
  <c r="O38" i="27"/>
  <c r="N38" i="27"/>
  <c r="S38" i="27"/>
  <c r="S39" i="27"/>
  <c r="J38" i="27"/>
  <c r="I38" i="27"/>
  <c r="G38" i="27"/>
  <c r="F38" i="27"/>
  <c r="E38" i="27"/>
  <c r="O37" i="27"/>
  <c r="K37" i="27"/>
  <c r="J37" i="27"/>
  <c r="I37" i="27"/>
  <c r="H37" i="27"/>
  <c r="G37" i="27"/>
  <c r="F37" i="27"/>
  <c r="E37" i="27"/>
  <c r="O36" i="27"/>
  <c r="N36" i="27"/>
  <c r="J36" i="27"/>
  <c r="I36" i="27"/>
  <c r="G36" i="27"/>
  <c r="F36" i="27"/>
  <c r="E36" i="27"/>
  <c r="O35" i="27"/>
  <c r="K35" i="27"/>
  <c r="J35" i="27"/>
  <c r="I35" i="27"/>
  <c r="H35" i="27"/>
  <c r="G35" i="27"/>
  <c r="F35" i="27"/>
  <c r="E35" i="27"/>
  <c r="O34" i="27"/>
  <c r="N34" i="27"/>
  <c r="S34" i="27"/>
  <c r="S35" i="27"/>
  <c r="J34" i="27"/>
  <c r="I34" i="27"/>
  <c r="G34" i="27"/>
  <c r="F34" i="27"/>
  <c r="E34" i="27"/>
  <c r="O33" i="27"/>
  <c r="K33" i="27"/>
  <c r="J33" i="27"/>
  <c r="I33" i="27"/>
  <c r="H33" i="27"/>
  <c r="G33" i="27"/>
  <c r="F33" i="27"/>
  <c r="E33" i="27"/>
  <c r="O32" i="27"/>
  <c r="N32" i="27"/>
  <c r="J32" i="27"/>
  <c r="I32" i="27"/>
  <c r="G32" i="27"/>
  <c r="F32" i="27"/>
  <c r="E32" i="27"/>
  <c r="O31" i="27"/>
  <c r="K31" i="27"/>
  <c r="J31" i="27"/>
  <c r="I31" i="27"/>
  <c r="H31" i="27"/>
  <c r="G31" i="27"/>
  <c r="F31" i="27"/>
  <c r="E31" i="27"/>
  <c r="O30" i="27"/>
  <c r="N30" i="27"/>
  <c r="J30" i="27"/>
  <c r="I30" i="27"/>
  <c r="G30" i="27"/>
  <c r="F30" i="27"/>
  <c r="E30" i="27"/>
  <c r="O29" i="27"/>
  <c r="K29" i="27"/>
  <c r="J29" i="27"/>
  <c r="I29" i="27"/>
  <c r="H29" i="27"/>
  <c r="G29" i="27"/>
  <c r="F29" i="27"/>
  <c r="E29" i="27"/>
  <c r="O28" i="27"/>
  <c r="N28" i="27"/>
  <c r="V28" i="27"/>
  <c r="V29" i="27"/>
  <c r="J28" i="27"/>
  <c r="I28" i="27"/>
  <c r="G28" i="27"/>
  <c r="F28" i="27"/>
  <c r="E28" i="27"/>
  <c r="O27" i="27"/>
  <c r="K27" i="27"/>
  <c r="J27" i="27"/>
  <c r="I27" i="27"/>
  <c r="H27" i="27"/>
  <c r="G27" i="27"/>
  <c r="F27" i="27"/>
  <c r="E27" i="27"/>
  <c r="O26" i="27"/>
  <c r="N26" i="27"/>
  <c r="S26" i="27"/>
  <c r="S27" i="27"/>
  <c r="J26" i="27"/>
  <c r="I26" i="27"/>
  <c r="G26" i="27"/>
  <c r="F26" i="27"/>
  <c r="E26" i="27"/>
  <c r="O25" i="27"/>
  <c r="K25" i="27"/>
  <c r="J25" i="27"/>
  <c r="I25" i="27"/>
  <c r="H25" i="27"/>
  <c r="G25" i="27"/>
  <c r="F25" i="27"/>
  <c r="E25" i="27"/>
  <c r="O24" i="27"/>
  <c r="N24" i="27"/>
  <c r="T24" i="27"/>
  <c r="T25" i="27"/>
  <c r="J24" i="27"/>
  <c r="I24" i="27"/>
  <c r="G24" i="27"/>
  <c r="F24" i="27"/>
  <c r="E24" i="27"/>
  <c r="O23" i="27"/>
  <c r="K23" i="27"/>
  <c r="J23" i="27"/>
  <c r="I23" i="27"/>
  <c r="H23" i="27"/>
  <c r="G23" i="27"/>
  <c r="F23" i="27"/>
  <c r="E23" i="27"/>
  <c r="O22" i="27"/>
  <c r="N22" i="27"/>
  <c r="S22" i="27"/>
  <c r="S23" i="27"/>
  <c r="J22" i="27"/>
  <c r="I22" i="27"/>
  <c r="G22" i="27"/>
  <c r="F22" i="27"/>
  <c r="E22" i="27"/>
  <c r="O21" i="27"/>
  <c r="K21" i="27"/>
  <c r="J21" i="27"/>
  <c r="I21" i="27"/>
  <c r="H21" i="27"/>
  <c r="G21" i="27"/>
  <c r="F21" i="27"/>
  <c r="E21" i="27"/>
  <c r="O20" i="27"/>
  <c r="N20" i="27"/>
  <c r="U20" i="27"/>
  <c r="U21" i="27"/>
  <c r="J20" i="27"/>
  <c r="I20" i="27"/>
  <c r="G20" i="27"/>
  <c r="F20" i="27"/>
  <c r="E20" i="27"/>
  <c r="O19" i="27"/>
  <c r="K19" i="27"/>
  <c r="J19" i="27"/>
  <c r="I19" i="27"/>
  <c r="H19" i="27"/>
  <c r="G19" i="27"/>
  <c r="F19" i="27"/>
  <c r="E19" i="27"/>
  <c r="O18" i="27"/>
  <c r="N18" i="27"/>
  <c r="J18" i="27"/>
  <c r="I18" i="27"/>
  <c r="G18" i="27"/>
  <c r="F18" i="27"/>
  <c r="E18" i="27"/>
  <c r="O17" i="27"/>
  <c r="K17" i="27"/>
  <c r="J17" i="27"/>
  <c r="I17" i="27"/>
  <c r="H17" i="27"/>
  <c r="G17" i="27"/>
  <c r="F17" i="27"/>
  <c r="E17" i="27"/>
  <c r="O16" i="27"/>
  <c r="N16" i="27"/>
  <c r="S16" i="27"/>
  <c r="S17" i="27"/>
  <c r="J16" i="27"/>
  <c r="I16" i="27"/>
  <c r="G16" i="27"/>
  <c r="F16" i="27"/>
  <c r="E16" i="27"/>
  <c r="O15" i="27"/>
  <c r="K15" i="27"/>
  <c r="J15" i="27"/>
  <c r="I15" i="27"/>
  <c r="H15" i="27"/>
  <c r="G15" i="27"/>
  <c r="F15" i="27"/>
  <c r="E15" i="27"/>
  <c r="O14" i="27"/>
  <c r="N14" i="27"/>
  <c r="S14" i="27"/>
  <c r="S15" i="27"/>
  <c r="J14" i="27"/>
  <c r="I14" i="27"/>
  <c r="G14" i="27"/>
  <c r="F14" i="27"/>
  <c r="E14" i="27"/>
  <c r="O13" i="27"/>
  <c r="K13" i="27"/>
  <c r="J13" i="27"/>
  <c r="I13" i="27"/>
  <c r="H13" i="27"/>
  <c r="G13" i="27"/>
  <c r="F13" i="27"/>
  <c r="E13" i="27"/>
  <c r="O12" i="27"/>
  <c r="N12" i="27"/>
  <c r="S12" i="27"/>
  <c r="S13" i="27"/>
  <c r="J12" i="27"/>
  <c r="I12" i="27"/>
  <c r="E12" i="27"/>
  <c r="C10" i="27"/>
  <c r="P34" i="27"/>
  <c r="P35" i="27"/>
  <c r="M8" i="27"/>
  <c r="M7" i="27"/>
  <c r="J95" i="28"/>
  <c r="G95" i="28"/>
  <c r="J93" i="28"/>
  <c r="G93" i="28"/>
  <c r="J91" i="28"/>
  <c r="G91" i="28"/>
  <c r="G89" i="28"/>
  <c r="F85" i="28"/>
  <c r="E85" i="28"/>
  <c r="K84" i="28"/>
  <c r="E84" i="28"/>
  <c r="O83" i="28"/>
  <c r="K83" i="28"/>
  <c r="J83" i="28"/>
  <c r="I83" i="28"/>
  <c r="H83" i="28"/>
  <c r="G83" i="28"/>
  <c r="F83" i="28"/>
  <c r="E83" i="28"/>
  <c r="O81" i="28"/>
  <c r="K81" i="28"/>
  <c r="J81" i="28"/>
  <c r="I81" i="28"/>
  <c r="H81" i="28"/>
  <c r="G81" i="28"/>
  <c r="F81" i="28"/>
  <c r="E81" i="28"/>
  <c r="O80" i="28"/>
  <c r="N80" i="28"/>
  <c r="S80" i="28"/>
  <c r="S81" i="28"/>
  <c r="J80" i="28"/>
  <c r="I80" i="28"/>
  <c r="G80" i="28"/>
  <c r="F80" i="28"/>
  <c r="O79" i="28"/>
  <c r="K79" i="28"/>
  <c r="J79" i="28"/>
  <c r="I79" i="28"/>
  <c r="H79" i="28"/>
  <c r="G79" i="28"/>
  <c r="F79" i="28"/>
  <c r="E79" i="28"/>
  <c r="O78" i="28"/>
  <c r="N78" i="28"/>
  <c r="J78" i="28"/>
  <c r="I78" i="28"/>
  <c r="G78" i="28"/>
  <c r="F78" i="28"/>
  <c r="O77" i="28"/>
  <c r="K77" i="28"/>
  <c r="J77" i="28"/>
  <c r="I77" i="28"/>
  <c r="H77" i="28"/>
  <c r="G77" i="28"/>
  <c r="F77" i="28"/>
  <c r="E77" i="28"/>
  <c r="O76" i="28"/>
  <c r="N76" i="28"/>
  <c r="S76" i="28"/>
  <c r="S77" i="28"/>
  <c r="J76" i="28"/>
  <c r="I76" i="28"/>
  <c r="G76" i="28"/>
  <c r="F76" i="28"/>
  <c r="E76" i="28"/>
  <c r="O75" i="28"/>
  <c r="K75" i="28"/>
  <c r="J75" i="28"/>
  <c r="I75" i="28"/>
  <c r="H75" i="28"/>
  <c r="G75" i="28"/>
  <c r="F75" i="28"/>
  <c r="E75" i="28"/>
  <c r="O74" i="28"/>
  <c r="N74" i="28"/>
  <c r="S74" i="28"/>
  <c r="S75" i="28"/>
  <c r="J74" i="28"/>
  <c r="I74" i="28"/>
  <c r="G74" i="28"/>
  <c r="F74" i="28"/>
  <c r="E74" i="28"/>
  <c r="O73" i="28"/>
  <c r="K73" i="28"/>
  <c r="J73" i="28"/>
  <c r="I73" i="28"/>
  <c r="H73" i="28"/>
  <c r="G73" i="28"/>
  <c r="F73" i="28"/>
  <c r="E73" i="28"/>
  <c r="O72" i="28"/>
  <c r="J72" i="28"/>
  <c r="I72" i="28"/>
  <c r="G72" i="28"/>
  <c r="F72" i="28"/>
  <c r="E72" i="28"/>
  <c r="O71" i="28"/>
  <c r="K71" i="28"/>
  <c r="J71" i="28"/>
  <c r="I71" i="28"/>
  <c r="H71" i="28"/>
  <c r="G71" i="28"/>
  <c r="F71" i="28"/>
  <c r="E71" i="28"/>
  <c r="O70" i="28"/>
  <c r="N70" i="28"/>
  <c r="J70" i="28"/>
  <c r="I70" i="28"/>
  <c r="G70" i="28"/>
  <c r="F70" i="28"/>
  <c r="E70" i="28"/>
  <c r="O69" i="28"/>
  <c r="K69" i="28"/>
  <c r="J69" i="28"/>
  <c r="I69" i="28"/>
  <c r="H69" i="28"/>
  <c r="G69" i="28"/>
  <c r="F69" i="28"/>
  <c r="E69" i="28"/>
  <c r="O68" i="28"/>
  <c r="N68" i="28"/>
  <c r="J68" i="28"/>
  <c r="I68" i="28"/>
  <c r="G68" i="28"/>
  <c r="F68" i="28"/>
  <c r="E68" i="28"/>
  <c r="O67" i="28"/>
  <c r="K67" i="28"/>
  <c r="J67" i="28"/>
  <c r="I67" i="28"/>
  <c r="H67" i="28"/>
  <c r="G67" i="28"/>
  <c r="F67" i="28"/>
  <c r="E67" i="28"/>
  <c r="O66" i="28"/>
  <c r="N66" i="28"/>
  <c r="S66" i="28"/>
  <c r="S67" i="28"/>
  <c r="J66" i="28"/>
  <c r="I66" i="28"/>
  <c r="G66" i="28"/>
  <c r="F66" i="28"/>
  <c r="E66" i="28"/>
  <c r="O65" i="28"/>
  <c r="K65" i="28"/>
  <c r="J65" i="28"/>
  <c r="I65" i="28"/>
  <c r="H65" i="28"/>
  <c r="G65" i="28"/>
  <c r="F65" i="28"/>
  <c r="E65" i="28"/>
  <c r="O64" i="28"/>
  <c r="N64" i="28"/>
  <c r="T64" i="28"/>
  <c r="T65" i="28"/>
  <c r="J64" i="28"/>
  <c r="I64" i="28"/>
  <c r="G64" i="28"/>
  <c r="F64" i="28"/>
  <c r="E64" i="28"/>
  <c r="O63" i="28"/>
  <c r="K63" i="28"/>
  <c r="J63" i="28"/>
  <c r="I63" i="28"/>
  <c r="H63" i="28"/>
  <c r="G63" i="28"/>
  <c r="F63" i="28"/>
  <c r="E63" i="28"/>
  <c r="O62" i="28"/>
  <c r="N62" i="28"/>
  <c r="J62" i="28"/>
  <c r="I62" i="28"/>
  <c r="G62" i="28"/>
  <c r="F62" i="28"/>
  <c r="E62" i="28"/>
  <c r="O61" i="28"/>
  <c r="K61" i="28"/>
  <c r="J61" i="28"/>
  <c r="I61" i="28"/>
  <c r="H61" i="28"/>
  <c r="G61" i="28"/>
  <c r="F61" i="28"/>
  <c r="E61" i="28"/>
  <c r="O60" i="28"/>
  <c r="N60" i="28"/>
  <c r="S60" i="28"/>
  <c r="S61" i="28"/>
  <c r="J60" i="28"/>
  <c r="I60" i="28"/>
  <c r="G60" i="28"/>
  <c r="F60" i="28"/>
  <c r="E60" i="28"/>
  <c r="O59" i="28"/>
  <c r="K59" i="28"/>
  <c r="J59" i="28"/>
  <c r="I59" i="28"/>
  <c r="H59" i="28"/>
  <c r="G59" i="28"/>
  <c r="F59" i="28"/>
  <c r="E59" i="28"/>
  <c r="O58" i="28"/>
  <c r="N58" i="28"/>
  <c r="S58" i="28"/>
  <c r="S59" i="28"/>
  <c r="J58" i="28"/>
  <c r="I58" i="28"/>
  <c r="G58" i="28"/>
  <c r="F58" i="28"/>
  <c r="E58" i="28"/>
  <c r="O57" i="28"/>
  <c r="K57" i="28"/>
  <c r="J57" i="28"/>
  <c r="I57" i="28"/>
  <c r="H57" i="28"/>
  <c r="G57" i="28"/>
  <c r="F57" i="28"/>
  <c r="E57" i="28"/>
  <c r="O56" i="28"/>
  <c r="N56" i="28"/>
  <c r="T56" i="28"/>
  <c r="T57" i="28"/>
  <c r="J56" i="28"/>
  <c r="I56" i="28"/>
  <c r="G56" i="28"/>
  <c r="F56" i="28"/>
  <c r="E56" i="28"/>
  <c r="O55" i="28"/>
  <c r="K55" i="28"/>
  <c r="J55" i="28"/>
  <c r="I55" i="28"/>
  <c r="H55" i="28"/>
  <c r="G55" i="28"/>
  <c r="F55" i="28"/>
  <c r="E55" i="28"/>
  <c r="O54" i="28"/>
  <c r="N54" i="28"/>
  <c r="V54" i="28"/>
  <c r="V55" i="28"/>
  <c r="J54" i="28"/>
  <c r="I54" i="28"/>
  <c r="G54" i="28"/>
  <c r="F54" i="28"/>
  <c r="E54" i="28"/>
  <c r="O53" i="28"/>
  <c r="K53" i="28"/>
  <c r="J53" i="28"/>
  <c r="I53" i="28"/>
  <c r="H53" i="28"/>
  <c r="G53" i="28"/>
  <c r="F53" i="28"/>
  <c r="E53" i="28"/>
  <c r="O52" i="28"/>
  <c r="N52" i="28"/>
  <c r="S52" i="28"/>
  <c r="S53" i="28"/>
  <c r="J52" i="28"/>
  <c r="I52" i="28"/>
  <c r="G52" i="28"/>
  <c r="F52" i="28"/>
  <c r="E52" i="28"/>
  <c r="O51" i="28"/>
  <c r="K51" i="28"/>
  <c r="J51" i="28"/>
  <c r="I51" i="28"/>
  <c r="H51" i="28"/>
  <c r="G51" i="28"/>
  <c r="F51" i="28"/>
  <c r="E51" i="28"/>
  <c r="O50" i="28"/>
  <c r="N50" i="28"/>
  <c r="S50" i="28"/>
  <c r="S51" i="28"/>
  <c r="J50" i="28"/>
  <c r="I50" i="28"/>
  <c r="G50" i="28"/>
  <c r="F50" i="28"/>
  <c r="E50" i="28"/>
  <c r="O49" i="28"/>
  <c r="K49" i="28"/>
  <c r="J49" i="28"/>
  <c r="I49" i="28"/>
  <c r="H49" i="28"/>
  <c r="G49" i="28"/>
  <c r="F49" i="28"/>
  <c r="E49" i="28"/>
  <c r="O48" i="28"/>
  <c r="N48" i="28"/>
  <c r="J48" i="28"/>
  <c r="I48" i="28"/>
  <c r="G48" i="28"/>
  <c r="F48" i="28"/>
  <c r="E48" i="28"/>
  <c r="O47" i="28"/>
  <c r="K47" i="28"/>
  <c r="J47" i="28"/>
  <c r="I47" i="28"/>
  <c r="H47" i="28"/>
  <c r="G47" i="28"/>
  <c r="F47" i="28"/>
  <c r="E47" i="28"/>
  <c r="O46" i="28"/>
  <c r="N46" i="28"/>
  <c r="R46" i="28"/>
  <c r="R47" i="28"/>
  <c r="J46" i="28"/>
  <c r="I46" i="28"/>
  <c r="G46" i="28"/>
  <c r="F46" i="28"/>
  <c r="E46" i="28"/>
  <c r="O45" i="28"/>
  <c r="K45" i="28"/>
  <c r="J45" i="28"/>
  <c r="I45" i="28"/>
  <c r="H45" i="28"/>
  <c r="G45" i="28"/>
  <c r="F45" i="28"/>
  <c r="E45" i="28"/>
  <c r="O44" i="28"/>
  <c r="N44" i="28"/>
  <c r="S44" i="28"/>
  <c r="S45" i="28"/>
  <c r="J44" i="28"/>
  <c r="I44" i="28"/>
  <c r="G44" i="28"/>
  <c r="F44" i="28"/>
  <c r="E44" i="28"/>
  <c r="O43" i="28"/>
  <c r="K43" i="28"/>
  <c r="J43" i="28"/>
  <c r="I43" i="28"/>
  <c r="H43" i="28"/>
  <c r="G43" i="28"/>
  <c r="F43" i="28"/>
  <c r="E43" i="28"/>
  <c r="O42" i="28"/>
  <c r="N42" i="28"/>
  <c r="S42" i="28"/>
  <c r="S43" i="28"/>
  <c r="J42" i="28"/>
  <c r="I42" i="28"/>
  <c r="G42" i="28"/>
  <c r="F42" i="28"/>
  <c r="E42" i="28"/>
  <c r="O41" i="28"/>
  <c r="K41" i="28"/>
  <c r="J41" i="28"/>
  <c r="I41" i="28"/>
  <c r="H41" i="28"/>
  <c r="G41" i="28"/>
  <c r="F41" i="28"/>
  <c r="E41" i="28"/>
  <c r="O40" i="28"/>
  <c r="N40" i="28"/>
  <c r="T40" i="28"/>
  <c r="T41" i="28"/>
  <c r="J40" i="28"/>
  <c r="I40" i="28"/>
  <c r="G40" i="28"/>
  <c r="F40" i="28"/>
  <c r="E40" i="28"/>
  <c r="O39" i="28"/>
  <c r="K39" i="28"/>
  <c r="J39" i="28"/>
  <c r="I39" i="28"/>
  <c r="H39" i="28"/>
  <c r="G39" i="28"/>
  <c r="F39" i="28"/>
  <c r="E39" i="28"/>
  <c r="O38" i="28"/>
  <c r="N38" i="28"/>
  <c r="R38" i="28"/>
  <c r="R39" i="28"/>
  <c r="J38" i="28"/>
  <c r="I38" i="28"/>
  <c r="G38" i="28"/>
  <c r="F38" i="28"/>
  <c r="E38" i="28"/>
  <c r="O37" i="28"/>
  <c r="K37" i="28"/>
  <c r="J37" i="28"/>
  <c r="I37" i="28"/>
  <c r="H37" i="28"/>
  <c r="G37" i="28"/>
  <c r="F37" i="28"/>
  <c r="E37" i="28"/>
  <c r="O36" i="28"/>
  <c r="N36" i="28"/>
  <c r="S36" i="28"/>
  <c r="S37" i="28"/>
  <c r="J36" i="28"/>
  <c r="I36" i="28"/>
  <c r="G36" i="28"/>
  <c r="F36" i="28"/>
  <c r="E36" i="28"/>
  <c r="O35" i="28"/>
  <c r="K35" i="28"/>
  <c r="J35" i="28"/>
  <c r="I35" i="28"/>
  <c r="H35" i="28"/>
  <c r="G35" i="28"/>
  <c r="F35" i="28"/>
  <c r="E35" i="28"/>
  <c r="O34" i="28"/>
  <c r="N34" i="28"/>
  <c r="S34" i="28"/>
  <c r="S35" i="28"/>
  <c r="J34" i="28"/>
  <c r="I34" i="28"/>
  <c r="G34" i="28"/>
  <c r="F34" i="28"/>
  <c r="E34" i="28"/>
  <c r="O33" i="28"/>
  <c r="K33" i="28"/>
  <c r="J33" i="28"/>
  <c r="I33" i="28"/>
  <c r="H33" i="28"/>
  <c r="G33" i="28"/>
  <c r="F33" i="28"/>
  <c r="E33" i="28"/>
  <c r="O32" i="28"/>
  <c r="N32" i="28"/>
  <c r="S32" i="28"/>
  <c r="S33" i="28"/>
  <c r="J32" i="28"/>
  <c r="I32" i="28"/>
  <c r="G32" i="28"/>
  <c r="F32" i="28"/>
  <c r="E32" i="28"/>
  <c r="O31" i="28"/>
  <c r="K31" i="28"/>
  <c r="J31" i="28"/>
  <c r="I31" i="28"/>
  <c r="H31" i="28"/>
  <c r="G31" i="28"/>
  <c r="F31" i="28"/>
  <c r="E31" i="28"/>
  <c r="O30" i="28"/>
  <c r="N30" i="28"/>
  <c r="R30" i="28"/>
  <c r="R31" i="28"/>
  <c r="J30" i="28"/>
  <c r="I30" i="28"/>
  <c r="G30" i="28"/>
  <c r="F30" i="28"/>
  <c r="E30" i="28"/>
  <c r="O29" i="28"/>
  <c r="K29" i="28"/>
  <c r="J29" i="28"/>
  <c r="I29" i="28"/>
  <c r="H29" i="28"/>
  <c r="G29" i="28"/>
  <c r="F29" i="28"/>
  <c r="E29" i="28"/>
  <c r="O28" i="28"/>
  <c r="N28" i="28"/>
  <c r="J28" i="28"/>
  <c r="I28" i="28"/>
  <c r="G28" i="28"/>
  <c r="F28" i="28"/>
  <c r="E28" i="28"/>
  <c r="O27" i="28"/>
  <c r="K27" i="28"/>
  <c r="J27" i="28"/>
  <c r="I27" i="28"/>
  <c r="H27" i="28"/>
  <c r="G27" i="28"/>
  <c r="F27" i="28"/>
  <c r="E27" i="28"/>
  <c r="O26" i="28"/>
  <c r="N26" i="28"/>
  <c r="J26" i="28"/>
  <c r="I26" i="28"/>
  <c r="G26" i="28"/>
  <c r="F26" i="28"/>
  <c r="E26" i="28"/>
  <c r="O25" i="28"/>
  <c r="K25" i="28"/>
  <c r="J25" i="28"/>
  <c r="I25" i="28"/>
  <c r="H25" i="28"/>
  <c r="G25" i="28"/>
  <c r="F25" i="28"/>
  <c r="E25" i="28"/>
  <c r="O24" i="28"/>
  <c r="N24" i="28"/>
  <c r="T24" i="28"/>
  <c r="T25" i="28"/>
  <c r="J24" i="28"/>
  <c r="I24" i="28"/>
  <c r="G24" i="28"/>
  <c r="F24" i="28"/>
  <c r="E24" i="28"/>
  <c r="O23" i="28"/>
  <c r="K23" i="28"/>
  <c r="J23" i="28"/>
  <c r="I23" i="28"/>
  <c r="H23" i="28"/>
  <c r="G23" i="28"/>
  <c r="F23" i="28"/>
  <c r="E23" i="28"/>
  <c r="O22" i="28"/>
  <c r="N22" i="28"/>
  <c r="S22" i="28"/>
  <c r="S23" i="28"/>
  <c r="J22" i="28"/>
  <c r="I22" i="28"/>
  <c r="G22" i="28"/>
  <c r="F22" i="28"/>
  <c r="E22" i="28"/>
  <c r="O21" i="28"/>
  <c r="K21" i="28"/>
  <c r="J21" i="28"/>
  <c r="I21" i="28"/>
  <c r="H21" i="28"/>
  <c r="G21" i="28"/>
  <c r="F21" i="28"/>
  <c r="E21" i="28"/>
  <c r="O20" i="28"/>
  <c r="N20" i="28"/>
  <c r="S20" i="28"/>
  <c r="S21" i="28"/>
  <c r="J20" i="28"/>
  <c r="I20" i="28"/>
  <c r="G20" i="28"/>
  <c r="F20" i="28"/>
  <c r="E20" i="28"/>
  <c r="O19" i="28"/>
  <c r="K19" i="28"/>
  <c r="J19" i="28"/>
  <c r="I19" i="28"/>
  <c r="H19" i="28"/>
  <c r="G19" i="28"/>
  <c r="F19" i="28"/>
  <c r="E19" i="28"/>
  <c r="O18" i="28"/>
  <c r="N18" i="28"/>
  <c r="S18" i="28"/>
  <c r="S19" i="28"/>
  <c r="J18" i="28"/>
  <c r="I18" i="28"/>
  <c r="G18" i="28"/>
  <c r="F18" i="28"/>
  <c r="E18" i="28"/>
  <c r="O17" i="28"/>
  <c r="K17" i="28"/>
  <c r="J17" i="28"/>
  <c r="I17" i="28"/>
  <c r="H17" i="28"/>
  <c r="G17" i="28"/>
  <c r="F17" i="28"/>
  <c r="E17" i="28"/>
  <c r="O16" i="28"/>
  <c r="N16" i="28"/>
  <c r="J16" i="28"/>
  <c r="I16" i="28"/>
  <c r="G16" i="28"/>
  <c r="F16" i="28"/>
  <c r="E16" i="28"/>
  <c r="O15" i="28"/>
  <c r="K15" i="28"/>
  <c r="J15" i="28"/>
  <c r="I15" i="28"/>
  <c r="H15" i="28"/>
  <c r="G15" i="28"/>
  <c r="F15" i="28"/>
  <c r="E15" i="28"/>
  <c r="O14" i="28"/>
  <c r="N14" i="28"/>
  <c r="R14" i="28"/>
  <c r="R15" i="28"/>
  <c r="J14" i="28"/>
  <c r="I14" i="28"/>
  <c r="G14" i="28"/>
  <c r="F14" i="28"/>
  <c r="E14" i="28"/>
  <c r="O13" i="28"/>
  <c r="K13" i="28"/>
  <c r="J13" i="28"/>
  <c r="I13" i="28"/>
  <c r="H13" i="28"/>
  <c r="G13" i="28"/>
  <c r="F13" i="28"/>
  <c r="E13" i="28"/>
  <c r="O12" i="28"/>
  <c r="N12" i="28"/>
  <c r="S12" i="28"/>
  <c r="S13" i="28"/>
  <c r="J12" i="28"/>
  <c r="I12" i="28"/>
  <c r="E12" i="28"/>
  <c r="M10" i="28"/>
  <c r="I10" i="28"/>
  <c r="C10" i="28"/>
  <c r="P74" i="28"/>
  <c r="P75" i="28"/>
  <c r="M8" i="28"/>
  <c r="M7" i="28"/>
  <c r="U52" i="23"/>
  <c r="U53" i="23"/>
  <c r="T20" i="26"/>
  <c r="T21" i="26"/>
  <c r="R52" i="23"/>
  <c r="R53" i="23"/>
  <c r="T74" i="28"/>
  <c r="T75" i="28"/>
  <c r="R76" i="28"/>
  <c r="R77" i="28"/>
  <c r="V12" i="27"/>
  <c r="V13" i="27"/>
  <c r="R14" i="27"/>
  <c r="R15" i="27"/>
  <c r="R28" i="22"/>
  <c r="U18" i="28"/>
  <c r="U19" i="28"/>
  <c r="P20" i="28"/>
  <c r="P21" i="28"/>
  <c r="S38" i="28"/>
  <c r="S39" i="28"/>
  <c r="S14" i="28"/>
  <c r="S15" i="28"/>
  <c r="T30" i="30"/>
  <c r="T31" i="30"/>
  <c r="S32" i="30"/>
  <c r="S33" i="30"/>
  <c r="S34" i="30"/>
  <c r="S35" i="30"/>
  <c r="R89" i="22"/>
  <c r="S128" i="22"/>
  <c r="S183" i="22"/>
  <c r="T14" i="26"/>
  <c r="T15" i="26"/>
  <c r="T16" i="26"/>
  <c r="T17" i="26"/>
  <c r="R18" i="26"/>
  <c r="R19" i="26"/>
  <c r="R17" i="31"/>
  <c r="P36" i="30"/>
  <c r="P37" i="30"/>
  <c r="U54" i="30"/>
  <c r="U55" i="30"/>
  <c r="R101" i="22"/>
  <c r="R102" i="22"/>
  <c r="S119" i="22"/>
  <c r="U140" i="22"/>
  <c r="S172" i="22"/>
  <c r="S173" i="22"/>
  <c r="S26" i="28"/>
  <c r="S27" i="28"/>
  <c r="T26" i="28"/>
  <c r="T27" i="28"/>
  <c r="S24" i="23"/>
  <c r="S25" i="23"/>
  <c r="T24" i="23"/>
  <c r="T25" i="23"/>
  <c r="V27" i="22"/>
  <c r="T27" i="22"/>
  <c r="V115" i="22"/>
  <c r="R115" i="22"/>
  <c r="V60" i="27"/>
  <c r="V61" i="27"/>
  <c r="S26" i="26"/>
  <c r="S27" i="26"/>
  <c r="S24" i="31"/>
  <c r="U24" i="31"/>
  <c r="R46" i="31"/>
  <c r="R47" i="31"/>
  <c r="S17" i="22"/>
  <c r="T17" i="22"/>
  <c r="T20" i="22"/>
  <c r="V40" i="22"/>
  <c r="V41" i="22"/>
  <c r="U83" i="22"/>
  <c r="R83" i="22"/>
  <c r="R22" i="25"/>
  <c r="R23" i="25"/>
  <c r="S40" i="25"/>
  <c r="S41" i="25"/>
  <c r="U20" i="30"/>
  <c r="U21" i="30"/>
  <c r="S60" i="23"/>
  <c r="S61" i="23"/>
  <c r="R60" i="23"/>
  <c r="R61" i="23"/>
  <c r="P24" i="22"/>
  <c r="P88" i="22"/>
  <c r="S114" i="22"/>
  <c r="U114" i="22"/>
  <c r="P177" i="22"/>
  <c r="P36" i="28"/>
  <c r="P37" i="28"/>
  <c r="U50" i="28"/>
  <c r="U51" i="28"/>
  <c r="P52" i="28"/>
  <c r="P53" i="28"/>
  <c r="T58" i="28"/>
  <c r="T59" i="28"/>
  <c r="R60" i="28"/>
  <c r="R61" i="28"/>
  <c r="S64" i="28"/>
  <c r="S65" i="28"/>
  <c r="T66" i="28"/>
  <c r="T67" i="28"/>
  <c r="T28" i="27"/>
  <c r="T29" i="27"/>
  <c r="S40" i="27"/>
  <c r="S41" i="27"/>
  <c r="T42" i="27"/>
  <c r="T43" i="27"/>
  <c r="T48" i="26"/>
  <c r="T49" i="26"/>
  <c r="R30" i="31"/>
  <c r="R31" i="31"/>
  <c r="S62" i="31"/>
  <c r="S63" i="31"/>
  <c r="R16" i="30"/>
  <c r="R17" i="30"/>
  <c r="R38" i="30"/>
  <c r="R39" i="30"/>
  <c r="R20" i="23"/>
  <c r="R21" i="23"/>
  <c r="U48" i="23"/>
  <c r="U49" i="23"/>
  <c r="S50" i="23"/>
  <c r="S51" i="23"/>
  <c r="S18" i="22"/>
  <c r="T18" i="22"/>
  <c r="P29" i="22"/>
  <c r="P33" i="22"/>
  <c r="R85" i="22"/>
  <c r="P86" i="22"/>
  <c r="P110" i="22"/>
  <c r="P111" i="22"/>
  <c r="R114" i="22"/>
  <c r="V136" i="22"/>
  <c r="P170" i="22"/>
  <c r="V36" i="28"/>
  <c r="V37" i="28"/>
  <c r="T42" i="28"/>
  <c r="T43" i="28"/>
  <c r="S46" i="28"/>
  <c r="S47" i="28"/>
  <c r="V52" i="28"/>
  <c r="V53" i="28"/>
  <c r="U60" i="28"/>
  <c r="U61" i="28"/>
  <c r="P68" i="28"/>
  <c r="P69" i="28"/>
  <c r="V20" i="27"/>
  <c r="V21" i="27"/>
  <c r="S24" i="27"/>
  <c r="S25" i="27"/>
  <c r="T50" i="27"/>
  <c r="T51" i="27"/>
  <c r="T52" i="27"/>
  <c r="T53" i="27"/>
  <c r="V38" i="25"/>
  <c r="V39" i="25"/>
  <c r="U13" i="31"/>
  <c r="R24" i="31"/>
  <c r="T38" i="30"/>
  <c r="T39" i="30"/>
  <c r="T60" i="30"/>
  <c r="T61" i="30"/>
  <c r="R24" i="23"/>
  <c r="R25" i="23"/>
  <c r="U56" i="23"/>
  <c r="U57" i="23"/>
  <c r="T22" i="22"/>
  <c r="P25" i="22"/>
  <c r="R29" i="22"/>
  <c r="P32" i="22"/>
  <c r="P84" i="22"/>
  <c r="U85" i="22"/>
  <c r="V86" i="22"/>
  <c r="P89" i="22"/>
  <c r="V101" i="22"/>
  <c r="V102" i="22"/>
  <c r="T113" i="22"/>
  <c r="S120" i="22"/>
  <c r="S131" i="22"/>
  <c r="U137" i="22"/>
  <c r="R137" i="22"/>
  <c r="P172" i="22"/>
  <c r="P173" i="22"/>
  <c r="P181" i="22"/>
  <c r="P82" i="22"/>
  <c r="P81" i="22"/>
  <c r="P31" i="22"/>
  <c r="P23" i="22"/>
  <c r="P134" i="22"/>
  <c r="P184" i="22"/>
  <c r="V20" i="28"/>
  <c r="V21" i="28"/>
  <c r="P28" i="28"/>
  <c r="P29" i="28"/>
  <c r="T76" i="28"/>
  <c r="T77" i="28"/>
  <c r="T22" i="25"/>
  <c r="T23" i="25"/>
  <c r="T17" i="31"/>
  <c r="T60" i="23"/>
  <c r="T61" i="23"/>
  <c r="P101" i="22"/>
  <c r="P102" i="22"/>
  <c r="P161" i="22"/>
  <c r="P165" i="22"/>
  <c r="V89" i="22"/>
  <c r="S14" i="22"/>
  <c r="T14" i="22"/>
  <c r="U24" i="22"/>
  <c r="U177" i="22"/>
  <c r="U179" i="22"/>
  <c r="S177" i="22"/>
  <c r="S28" i="28"/>
  <c r="S29" i="28"/>
  <c r="V28" i="28"/>
  <c r="V29" i="28"/>
  <c r="S18" i="27"/>
  <c r="S19" i="27"/>
  <c r="T18" i="27"/>
  <c r="T19" i="27"/>
  <c r="V30" i="27"/>
  <c r="V31" i="27"/>
  <c r="R30" i="27"/>
  <c r="R31" i="27"/>
  <c r="T56" i="27"/>
  <c r="T57" i="27"/>
  <c r="S56" i="27"/>
  <c r="S57" i="27"/>
  <c r="T38" i="26"/>
  <c r="T39" i="26"/>
  <c r="V40" i="26"/>
  <c r="V41" i="26"/>
  <c r="V22" i="25"/>
  <c r="V23" i="25"/>
  <c r="S24" i="25"/>
  <c r="S25" i="25"/>
  <c r="T26" i="25"/>
  <c r="T27" i="25"/>
  <c r="T42" i="25"/>
  <c r="T43" i="25"/>
  <c r="R12" i="31"/>
  <c r="P18" i="31"/>
  <c r="T24" i="30"/>
  <c r="T25" i="30"/>
  <c r="S26" i="30"/>
  <c r="S27" i="30"/>
  <c r="S28" i="30"/>
  <c r="S29" i="30"/>
  <c r="T32" i="23"/>
  <c r="T33" i="23"/>
  <c r="T46" i="23"/>
  <c r="T47" i="23"/>
  <c r="V28" i="22"/>
  <c r="T108" i="22"/>
  <c r="S123" i="22"/>
  <c r="T132" i="22"/>
  <c r="T133" i="22"/>
  <c r="S132" i="22"/>
  <c r="T149" i="22"/>
  <c r="U149" i="22"/>
  <c r="P50" i="27"/>
  <c r="P51" i="27"/>
  <c r="P12" i="27"/>
  <c r="P13" i="27"/>
  <c r="R32" i="26"/>
  <c r="R33" i="26"/>
  <c r="R14" i="25"/>
  <c r="R15" i="25"/>
  <c r="S30" i="25"/>
  <c r="S31" i="25"/>
  <c r="T30" i="25"/>
  <c r="T31" i="25"/>
  <c r="S36" i="25"/>
  <c r="S37" i="25"/>
  <c r="R13" i="31"/>
  <c r="N21" i="31"/>
  <c r="U21" i="31"/>
  <c r="N22" i="31"/>
  <c r="V22" i="31"/>
  <c r="N23" i="31"/>
  <c r="T23" i="31"/>
  <c r="R40" i="31"/>
  <c r="R41" i="31"/>
  <c r="P52" i="31"/>
  <c r="P53" i="31"/>
  <c r="P30" i="30"/>
  <c r="P31" i="30"/>
  <c r="P60" i="30"/>
  <c r="P61" i="30"/>
  <c r="P24" i="30"/>
  <c r="P25" i="30"/>
  <c r="T18" i="30"/>
  <c r="T19" i="30"/>
  <c r="S40" i="30"/>
  <c r="S41" i="30"/>
  <c r="V24" i="23"/>
  <c r="V25" i="23"/>
  <c r="R44" i="23"/>
  <c r="R45" i="23"/>
  <c r="S48" i="23"/>
  <c r="S49" i="23"/>
  <c r="R48" i="23"/>
  <c r="R49" i="23"/>
  <c r="V52" i="23"/>
  <c r="V53" i="23"/>
  <c r="T13" i="22"/>
  <c r="T84" i="22"/>
  <c r="R91" i="22"/>
  <c r="T124" i="22"/>
  <c r="S124" i="22"/>
  <c r="S127" i="22"/>
  <c r="T176" i="22"/>
  <c r="S14" i="23"/>
  <c r="S15" i="23"/>
  <c r="T14" i="23"/>
  <c r="T15" i="23"/>
  <c r="S24" i="22"/>
  <c r="V24" i="22"/>
  <c r="T145" i="22"/>
  <c r="R145" i="22"/>
  <c r="S68" i="28"/>
  <c r="S69" i="28"/>
  <c r="V68" i="28"/>
  <c r="V69" i="28"/>
  <c r="R70" i="28"/>
  <c r="R71" i="28"/>
  <c r="S70" i="28"/>
  <c r="S71" i="28"/>
  <c r="S20" i="27"/>
  <c r="S21" i="27"/>
  <c r="R20" i="27"/>
  <c r="R21" i="27"/>
  <c r="V46" i="27"/>
  <c r="V47" i="27"/>
  <c r="R46" i="27"/>
  <c r="R47" i="27"/>
  <c r="S58" i="27"/>
  <c r="S59" i="27"/>
  <c r="T58" i="27"/>
  <c r="T59" i="27"/>
  <c r="S38" i="25"/>
  <c r="S39" i="25"/>
  <c r="T38" i="25"/>
  <c r="T39" i="25"/>
  <c r="P22" i="31"/>
  <c r="P60" i="31"/>
  <c r="P61" i="31"/>
  <c r="P15" i="31"/>
  <c r="V13" i="31"/>
  <c r="S54" i="31"/>
  <c r="S55" i="31"/>
  <c r="R54" i="31"/>
  <c r="R55" i="31"/>
  <c r="V54" i="31"/>
  <c r="V55" i="31"/>
  <c r="U28" i="22"/>
  <c r="S32" i="22"/>
  <c r="V32" i="22"/>
  <c r="U32" i="22"/>
  <c r="S81" i="22"/>
  <c r="V81" i="22"/>
  <c r="U81" i="22"/>
  <c r="S110" i="22"/>
  <c r="R110" i="22"/>
  <c r="V110" i="22"/>
  <c r="V76" i="28"/>
  <c r="V77" i="28"/>
  <c r="V17" i="31"/>
  <c r="V38" i="30"/>
  <c r="V39" i="30"/>
  <c r="V60" i="23"/>
  <c r="V61" i="23"/>
  <c r="P27" i="22"/>
  <c r="V85" i="22"/>
  <c r="U89" i="22"/>
  <c r="P90" i="22"/>
  <c r="U101" i="22"/>
  <c r="U102" i="22"/>
  <c r="P109" i="22"/>
  <c r="V114" i="22"/>
  <c r="N156" i="22"/>
  <c r="R156" i="22"/>
  <c r="P157" i="22"/>
  <c r="U12" i="28"/>
  <c r="U13" i="28"/>
  <c r="U44" i="28"/>
  <c r="U45" i="28"/>
  <c r="T80" i="28"/>
  <c r="T81" i="28"/>
  <c r="U26" i="27"/>
  <c r="U27" i="27"/>
  <c r="S36" i="27"/>
  <c r="S37" i="27"/>
  <c r="R36" i="27"/>
  <c r="R37" i="27"/>
  <c r="U36" i="27"/>
  <c r="U37" i="27"/>
  <c r="S44" i="27"/>
  <c r="S45" i="27"/>
  <c r="R44" i="27"/>
  <c r="R45" i="27"/>
  <c r="U44" i="27"/>
  <c r="U45" i="27"/>
  <c r="S22" i="26"/>
  <c r="S23" i="26"/>
  <c r="U22" i="26"/>
  <c r="U23" i="26"/>
  <c r="S24" i="26"/>
  <c r="S25" i="26"/>
  <c r="R24" i="26"/>
  <c r="R25" i="26"/>
  <c r="V24" i="26"/>
  <c r="V25" i="26"/>
  <c r="U46" i="26"/>
  <c r="U47" i="26"/>
  <c r="N57" i="26"/>
  <c r="T57" i="26"/>
  <c r="U14" i="31"/>
  <c r="V14" i="31"/>
  <c r="T18" i="31"/>
  <c r="R18" i="31"/>
  <c r="V18" i="31"/>
  <c r="S60" i="31"/>
  <c r="S61" i="31"/>
  <c r="T60" i="31"/>
  <c r="T61" i="31"/>
  <c r="S36" i="30"/>
  <c r="S37" i="30"/>
  <c r="T36" i="30"/>
  <c r="T37" i="30"/>
  <c r="U36" i="30"/>
  <c r="U37" i="30"/>
  <c r="S44" i="30"/>
  <c r="S45" i="30"/>
  <c r="U44" i="30"/>
  <c r="U45" i="30"/>
  <c r="S46" i="30"/>
  <c r="S47" i="30"/>
  <c r="R46" i="30"/>
  <c r="R47" i="30"/>
  <c r="U46" i="30"/>
  <c r="U47" i="30"/>
  <c r="P20" i="23"/>
  <c r="P21" i="23"/>
  <c r="P16" i="23"/>
  <c r="P17" i="23"/>
  <c r="P32" i="23"/>
  <c r="P33" i="23"/>
  <c r="S16" i="23"/>
  <c r="S17" i="23"/>
  <c r="V16" i="23"/>
  <c r="V17" i="23"/>
  <c r="T16" i="23"/>
  <c r="T17" i="23"/>
  <c r="T34" i="23"/>
  <c r="T35" i="23"/>
  <c r="S34" i="23"/>
  <c r="S35" i="23"/>
  <c r="P36" i="23"/>
  <c r="P37" i="23"/>
  <c r="S40" i="23"/>
  <c r="S41" i="23"/>
  <c r="V40" i="23"/>
  <c r="V41" i="23"/>
  <c r="T40" i="23"/>
  <c r="T41" i="23"/>
  <c r="P48" i="23"/>
  <c r="P49" i="23"/>
  <c r="S25" i="22"/>
  <c r="U25" i="22"/>
  <c r="R25" i="22"/>
  <c r="V25" i="22"/>
  <c r="S26" i="22"/>
  <c r="V26" i="22"/>
  <c r="T26" i="22"/>
  <c r="S33" i="22"/>
  <c r="U33" i="22"/>
  <c r="V33" i="22"/>
  <c r="R33" i="22"/>
  <c r="R34" i="22"/>
  <c r="S88" i="22"/>
  <c r="R88" i="22"/>
  <c r="V88" i="22"/>
  <c r="T88" i="22"/>
  <c r="S111" i="22"/>
  <c r="U111" i="22"/>
  <c r="R111" i="22"/>
  <c r="V111" i="22"/>
  <c r="S112" i="22"/>
  <c r="V112" i="22"/>
  <c r="T112" i="22"/>
  <c r="T170" i="22"/>
  <c r="U170" i="22"/>
  <c r="T180" i="22"/>
  <c r="V180" i="22"/>
  <c r="V12" i="28"/>
  <c r="V13" i="28"/>
  <c r="R20" i="28"/>
  <c r="R21" i="28"/>
  <c r="P26" i="28"/>
  <c r="P27" i="28"/>
  <c r="R28" i="28"/>
  <c r="R29" i="28"/>
  <c r="R36" i="28"/>
  <c r="R37" i="28"/>
  <c r="U42" i="28"/>
  <c r="U43" i="28"/>
  <c r="V44" i="28"/>
  <c r="V45" i="28"/>
  <c r="R52" i="28"/>
  <c r="R53" i="28"/>
  <c r="P58" i="28"/>
  <c r="P59" i="28"/>
  <c r="T60" i="28"/>
  <c r="T61" i="28"/>
  <c r="P66" i="28"/>
  <c r="P67" i="28"/>
  <c r="R68" i="28"/>
  <c r="R69" i="28"/>
  <c r="U74" i="28"/>
  <c r="U75" i="28"/>
  <c r="U80" i="28"/>
  <c r="U81" i="28"/>
  <c r="R12" i="27"/>
  <c r="R13" i="27"/>
  <c r="P14" i="27"/>
  <c r="P15" i="27"/>
  <c r="U18" i="27"/>
  <c r="U19" i="27"/>
  <c r="P20" i="27"/>
  <c r="P21" i="27"/>
  <c r="P28" i="27"/>
  <c r="P29" i="27"/>
  <c r="T34" i="27"/>
  <c r="T35" i="27"/>
  <c r="V36" i="27"/>
  <c r="V37" i="27"/>
  <c r="U42" i="27"/>
  <c r="U43" i="27"/>
  <c r="V44" i="27"/>
  <c r="V45" i="27"/>
  <c r="S52" i="27"/>
  <c r="S53" i="27"/>
  <c r="R52" i="27"/>
  <c r="R53" i="27"/>
  <c r="U52" i="27"/>
  <c r="U53" i="27"/>
  <c r="S60" i="27"/>
  <c r="S61" i="27"/>
  <c r="R60" i="27"/>
  <c r="R61" i="27"/>
  <c r="U60" i="27"/>
  <c r="U61" i="27"/>
  <c r="S30" i="26"/>
  <c r="S31" i="26"/>
  <c r="T30" i="26"/>
  <c r="T31" i="26"/>
  <c r="S32" i="26"/>
  <c r="S33" i="26"/>
  <c r="U32" i="26"/>
  <c r="U33" i="26"/>
  <c r="T32" i="26"/>
  <c r="T33" i="26"/>
  <c r="P40" i="26"/>
  <c r="P41" i="26"/>
  <c r="S15" i="31"/>
  <c r="U15" i="31"/>
  <c r="R15" i="31"/>
  <c r="V15" i="31"/>
  <c r="S134" i="22"/>
  <c r="U134" i="22"/>
  <c r="V134" i="22"/>
  <c r="R134" i="22"/>
  <c r="S135" i="22"/>
  <c r="V135" i="22"/>
  <c r="T135" i="22"/>
  <c r="T138" i="22"/>
  <c r="S138" i="22"/>
  <c r="S187" i="22"/>
  <c r="S188" i="22"/>
  <c r="V187" i="22"/>
  <c r="V188" i="22"/>
  <c r="T187" i="22"/>
  <c r="T188" i="22"/>
  <c r="R12" i="28"/>
  <c r="R13" i="28"/>
  <c r="T20" i="28"/>
  <c r="T21" i="28"/>
  <c r="T28" i="28"/>
  <c r="T29" i="28"/>
  <c r="S30" i="28"/>
  <c r="S31" i="28"/>
  <c r="T32" i="28"/>
  <c r="T33" i="28"/>
  <c r="T34" i="28"/>
  <c r="T35" i="28"/>
  <c r="T36" i="28"/>
  <c r="T37" i="28"/>
  <c r="S40" i="28"/>
  <c r="S41" i="28"/>
  <c r="R44" i="28"/>
  <c r="R45" i="28"/>
  <c r="T52" i="28"/>
  <c r="T53" i="28"/>
  <c r="T68" i="28"/>
  <c r="T69" i="28"/>
  <c r="P80" i="28"/>
  <c r="P81" i="28"/>
  <c r="V80" i="28"/>
  <c r="V81" i="28"/>
  <c r="P66" i="27"/>
  <c r="P62" i="27"/>
  <c r="P63" i="27"/>
  <c r="P58" i="27"/>
  <c r="P59" i="27"/>
  <c r="P46" i="27"/>
  <c r="P47" i="27"/>
  <c r="P42" i="27"/>
  <c r="P43" i="27"/>
  <c r="P30" i="27"/>
  <c r="P31" i="27"/>
  <c r="T12" i="27"/>
  <c r="T13" i="27"/>
  <c r="P26" i="27"/>
  <c r="P27" i="27"/>
  <c r="U34" i="27"/>
  <c r="U35" i="27"/>
  <c r="P36" i="27"/>
  <c r="P37" i="27"/>
  <c r="P38" i="27"/>
  <c r="P39" i="27"/>
  <c r="P44" i="27"/>
  <c r="P45" i="27"/>
  <c r="R62" i="27"/>
  <c r="R63" i="27"/>
  <c r="S12" i="26"/>
  <c r="S13" i="26"/>
  <c r="T22" i="26"/>
  <c r="T23" i="26"/>
  <c r="T24" i="26"/>
  <c r="T25" i="26"/>
  <c r="S42" i="26"/>
  <c r="S43" i="26"/>
  <c r="T44" i="26"/>
  <c r="T45" i="26"/>
  <c r="P46" i="26"/>
  <c r="P47" i="26"/>
  <c r="S48" i="26"/>
  <c r="S49" i="26"/>
  <c r="R48" i="26"/>
  <c r="R49" i="26"/>
  <c r="V48" i="26"/>
  <c r="V49" i="26"/>
  <c r="S20" i="25"/>
  <c r="S21" i="25"/>
  <c r="S46" i="25"/>
  <c r="S47" i="25"/>
  <c r="R14" i="31"/>
  <c r="S26" i="31"/>
  <c r="S27" i="31"/>
  <c r="S56" i="31"/>
  <c r="S57" i="31"/>
  <c r="T58" i="31"/>
  <c r="T59" i="31"/>
  <c r="S42" i="30"/>
  <c r="S43" i="30"/>
  <c r="T44" i="30"/>
  <c r="T45" i="30"/>
  <c r="T46" i="30"/>
  <c r="T47" i="30"/>
  <c r="R62" i="30"/>
  <c r="R63" i="30"/>
  <c r="R16" i="23"/>
  <c r="R17" i="23"/>
  <c r="S36" i="23"/>
  <c r="S37" i="23"/>
  <c r="R36" i="23"/>
  <c r="R37" i="23"/>
  <c r="V36" i="23"/>
  <c r="V37" i="23"/>
  <c r="T36" i="23"/>
  <c r="T37" i="23"/>
  <c r="R40" i="23"/>
  <c r="R41" i="23"/>
  <c r="S44" i="23"/>
  <c r="S45" i="23"/>
  <c r="T44" i="23"/>
  <c r="T45" i="23"/>
  <c r="U44" i="23"/>
  <c r="U45" i="23"/>
  <c r="P52" i="23"/>
  <c r="P53" i="23"/>
  <c r="T16" i="22"/>
  <c r="S23" i="22"/>
  <c r="R23" i="22"/>
  <c r="T23" i="22"/>
  <c r="V23" i="22"/>
  <c r="R26" i="22"/>
  <c r="S31" i="22"/>
  <c r="R31" i="22"/>
  <c r="V31" i="22"/>
  <c r="T31" i="22"/>
  <c r="S82" i="22"/>
  <c r="U82" i="22"/>
  <c r="R82" i="22"/>
  <c r="V82" i="22"/>
  <c r="S83" i="22"/>
  <c r="V83" i="22"/>
  <c r="T83" i="22"/>
  <c r="S90" i="22"/>
  <c r="U90" i="22"/>
  <c r="V90" i="22"/>
  <c r="R90" i="22"/>
  <c r="S91" i="22"/>
  <c r="V91" i="22"/>
  <c r="T91" i="22"/>
  <c r="S109" i="22"/>
  <c r="R109" i="22"/>
  <c r="T109" i="22"/>
  <c r="V109" i="22"/>
  <c r="R112" i="22"/>
  <c r="S118" i="22"/>
  <c r="S122" i="22"/>
  <c r="S126" i="22"/>
  <c r="S130" i="22"/>
  <c r="R142" i="22"/>
  <c r="U153" i="22"/>
  <c r="S161" i="22"/>
  <c r="U161" i="22"/>
  <c r="S165" i="22"/>
  <c r="U165" i="22"/>
  <c r="U180" i="22"/>
  <c r="U182" i="22"/>
  <c r="S184" i="22"/>
  <c r="U184" i="22"/>
  <c r="U185" i="22"/>
  <c r="R185" i="22"/>
  <c r="V185" i="22"/>
  <c r="T12" i="28"/>
  <c r="T13" i="28"/>
  <c r="T18" i="28"/>
  <c r="T19" i="28"/>
  <c r="U20" i="28"/>
  <c r="U21" i="28"/>
  <c r="U26" i="28"/>
  <c r="U27" i="28"/>
  <c r="U28" i="28"/>
  <c r="U29" i="28"/>
  <c r="U34" i="28"/>
  <c r="U35" i="28"/>
  <c r="U36" i="28"/>
  <c r="U37" i="28"/>
  <c r="P42" i="28"/>
  <c r="P43" i="28"/>
  <c r="T44" i="28"/>
  <c r="T45" i="28"/>
  <c r="T50" i="28"/>
  <c r="T51" i="28"/>
  <c r="U52" i="28"/>
  <c r="U53" i="28"/>
  <c r="U58" i="28"/>
  <c r="U59" i="28"/>
  <c r="P60" i="28"/>
  <c r="P61" i="28"/>
  <c r="V60" i="28"/>
  <c r="V61" i="28"/>
  <c r="U66" i="28"/>
  <c r="U67" i="28"/>
  <c r="U68" i="28"/>
  <c r="U69" i="28"/>
  <c r="U76" i="28"/>
  <c r="U77" i="28"/>
  <c r="R80" i="28"/>
  <c r="R81" i="28"/>
  <c r="U12" i="27"/>
  <c r="U13" i="27"/>
  <c r="P18" i="27"/>
  <c r="P19" i="27"/>
  <c r="T20" i="27"/>
  <c r="T21" i="27"/>
  <c r="P22" i="27"/>
  <c r="P23" i="27"/>
  <c r="T26" i="27"/>
  <c r="T27" i="27"/>
  <c r="S28" i="27"/>
  <c r="S29" i="27"/>
  <c r="R28" i="27"/>
  <c r="R29" i="27"/>
  <c r="U28" i="27"/>
  <c r="U29" i="27"/>
  <c r="T36" i="27"/>
  <c r="T37" i="27"/>
  <c r="T44" i="27"/>
  <c r="T45" i="27"/>
  <c r="U50" i="27"/>
  <c r="U51" i="27"/>
  <c r="P52" i="27"/>
  <c r="P53" i="27"/>
  <c r="P54" i="27"/>
  <c r="P55" i="27"/>
  <c r="P60" i="27"/>
  <c r="P61" i="27"/>
  <c r="P14" i="26"/>
  <c r="P15" i="26"/>
  <c r="S16" i="26"/>
  <c r="S17" i="26"/>
  <c r="V16" i="26"/>
  <c r="V17" i="26"/>
  <c r="U16" i="26"/>
  <c r="U17" i="26"/>
  <c r="U24" i="26"/>
  <c r="U25" i="26"/>
  <c r="U30" i="26"/>
  <c r="U31" i="26"/>
  <c r="P32" i="26"/>
  <c r="P33" i="26"/>
  <c r="P38" i="26"/>
  <c r="P39" i="26"/>
  <c r="S40" i="26"/>
  <c r="S41" i="26"/>
  <c r="U40" i="26"/>
  <c r="U41" i="26"/>
  <c r="T40" i="26"/>
  <c r="T41" i="26"/>
  <c r="T46" i="26"/>
  <c r="T47" i="26"/>
  <c r="S12" i="25"/>
  <c r="S13" i="25"/>
  <c r="T12" i="25"/>
  <c r="T13" i="25"/>
  <c r="S14" i="25"/>
  <c r="S15" i="25"/>
  <c r="V14" i="25"/>
  <c r="V15" i="25"/>
  <c r="T14" i="25"/>
  <c r="T15" i="25"/>
  <c r="R16" i="25"/>
  <c r="R17" i="25"/>
  <c r="U12" i="31"/>
  <c r="S12" i="31"/>
  <c r="U18" i="31"/>
  <c r="S30" i="31"/>
  <c r="S31" i="31"/>
  <c r="T30" i="31"/>
  <c r="T31" i="31"/>
  <c r="V30" i="31"/>
  <c r="V31" i="31"/>
  <c r="S52" i="31"/>
  <c r="S53" i="31"/>
  <c r="T52" i="31"/>
  <c r="T53" i="31"/>
  <c r="U52" i="31"/>
  <c r="U53" i="31"/>
  <c r="U60" i="31"/>
  <c r="U61" i="31"/>
  <c r="V46" i="30"/>
  <c r="V47" i="30"/>
  <c r="S52" i="30"/>
  <c r="S53" i="30"/>
  <c r="T52" i="30"/>
  <c r="T53" i="30"/>
  <c r="S54" i="30"/>
  <c r="S55" i="30"/>
  <c r="V54" i="30"/>
  <c r="V55" i="30"/>
  <c r="T54" i="30"/>
  <c r="T55" i="30"/>
  <c r="U16" i="23"/>
  <c r="U17" i="23"/>
  <c r="S20" i="23"/>
  <c r="S21" i="23"/>
  <c r="V20" i="23"/>
  <c r="V21" i="23"/>
  <c r="T20" i="23"/>
  <c r="T21" i="23"/>
  <c r="S30" i="23"/>
  <c r="S31" i="23"/>
  <c r="U40" i="23"/>
  <c r="U41" i="23"/>
  <c r="T12" i="22"/>
  <c r="T25" i="22"/>
  <c r="U26" i="22"/>
  <c r="T33" i="22"/>
  <c r="U88" i="22"/>
  <c r="T111" i="22"/>
  <c r="U112" i="22"/>
  <c r="S117" i="22"/>
  <c r="S121" i="22"/>
  <c r="S125" i="22"/>
  <c r="S129" i="22"/>
  <c r="R135" i="22"/>
  <c r="V170" i="22"/>
  <c r="T178" i="22"/>
  <c r="T181" i="22"/>
  <c r="V181" i="22"/>
  <c r="R181" i="22"/>
  <c r="R187" i="22"/>
  <c r="R188" i="22"/>
  <c r="U30" i="25"/>
  <c r="U31" i="25"/>
  <c r="P13" i="31"/>
  <c r="P19" i="31"/>
  <c r="P20" i="31"/>
  <c r="T24" i="31"/>
  <c r="S38" i="31"/>
  <c r="S39" i="31"/>
  <c r="R38" i="31"/>
  <c r="R39" i="31"/>
  <c r="V38" i="31"/>
  <c r="V39" i="31"/>
  <c r="P46" i="31"/>
  <c r="P47" i="31"/>
  <c r="U18" i="30"/>
  <c r="U19" i="30"/>
  <c r="S12" i="23"/>
  <c r="S13" i="23"/>
  <c r="V12" i="23"/>
  <c r="V13" i="23"/>
  <c r="U12" i="23"/>
  <c r="U13" i="23"/>
  <c r="S28" i="23"/>
  <c r="S29" i="23"/>
  <c r="R28" i="23"/>
  <c r="R29" i="23"/>
  <c r="V28" i="23"/>
  <c r="V29" i="23"/>
  <c r="S32" i="23"/>
  <c r="S33" i="23"/>
  <c r="R32" i="23"/>
  <c r="R33" i="23"/>
  <c r="U32" i="23"/>
  <c r="U33" i="23"/>
  <c r="S30" i="22"/>
  <c r="V30" i="22"/>
  <c r="U30" i="22"/>
  <c r="S40" i="22"/>
  <c r="S41" i="22"/>
  <c r="U40" i="22"/>
  <c r="U41" i="22"/>
  <c r="T40" i="22"/>
  <c r="T41" i="22"/>
  <c r="S87" i="22"/>
  <c r="V87" i="22"/>
  <c r="U87" i="22"/>
  <c r="P113" i="22"/>
  <c r="P115" i="22"/>
  <c r="S136" i="22"/>
  <c r="R136" i="22"/>
  <c r="U136" i="22"/>
  <c r="P137" i="22"/>
  <c r="T141" i="22"/>
  <c r="R141" i="22"/>
  <c r="V141" i="22"/>
  <c r="U143" i="22"/>
  <c r="S143" i="22"/>
  <c r="P144" i="22"/>
  <c r="T148" i="22"/>
  <c r="U148" i="22"/>
  <c r="V149" i="22"/>
  <c r="S155" i="22"/>
  <c r="U155" i="22"/>
  <c r="P159" i="22"/>
  <c r="T167" i="22"/>
  <c r="R167" i="22"/>
  <c r="V167" i="22"/>
  <c r="U14" i="26"/>
  <c r="U15" i="26"/>
  <c r="U38" i="26"/>
  <c r="U39" i="26"/>
  <c r="U22" i="25"/>
  <c r="U23" i="25"/>
  <c r="R30" i="25"/>
  <c r="R31" i="25"/>
  <c r="U38" i="25"/>
  <c r="U39" i="25"/>
  <c r="T13" i="31"/>
  <c r="U17" i="31"/>
  <c r="P24" i="31"/>
  <c r="S36" i="31"/>
  <c r="S37" i="31"/>
  <c r="T38" i="31"/>
  <c r="T39" i="31"/>
  <c r="S44" i="31"/>
  <c r="S45" i="31"/>
  <c r="T44" i="31"/>
  <c r="T45" i="31"/>
  <c r="S46" i="31"/>
  <c r="S47" i="31"/>
  <c r="U46" i="31"/>
  <c r="U47" i="31"/>
  <c r="T46" i="31"/>
  <c r="T47" i="31"/>
  <c r="P18" i="30"/>
  <c r="P19" i="30"/>
  <c r="S20" i="30"/>
  <c r="S21" i="30"/>
  <c r="R20" i="30"/>
  <c r="R21" i="30"/>
  <c r="V20" i="30"/>
  <c r="V21" i="30"/>
  <c r="S30" i="30"/>
  <c r="S31" i="30"/>
  <c r="V30" i="30"/>
  <c r="V31" i="30"/>
  <c r="U30" i="30"/>
  <c r="U31" i="30"/>
  <c r="R48" i="30"/>
  <c r="R49" i="30"/>
  <c r="U60" i="30"/>
  <c r="U61" i="30"/>
  <c r="R12" i="23"/>
  <c r="R13" i="23"/>
  <c r="S18" i="23"/>
  <c r="S19" i="23"/>
  <c r="T28" i="23"/>
  <c r="T29" i="23"/>
  <c r="S56" i="23"/>
  <c r="S57" i="23"/>
  <c r="R56" i="23"/>
  <c r="R57" i="23"/>
  <c r="V56" i="23"/>
  <c r="V57" i="23"/>
  <c r="P178" i="22"/>
  <c r="P180" i="22"/>
  <c r="P153" i="22"/>
  <c r="P149" i="22"/>
  <c r="P145" i="22"/>
  <c r="P135" i="22"/>
  <c r="P112" i="22"/>
  <c r="P108" i="22"/>
  <c r="P91" i="22"/>
  <c r="P87" i="22"/>
  <c r="P83" i="22"/>
  <c r="P30" i="22"/>
  <c r="P26" i="22"/>
  <c r="P22" i="22"/>
  <c r="T15" i="22"/>
  <c r="T19" i="22"/>
  <c r="S22" i="22"/>
  <c r="V22" i="22"/>
  <c r="U22" i="22"/>
  <c r="S27" i="22"/>
  <c r="R27" i="22"/>
  <c r="U27" i="22"/>
  <c r="P28" i="22"/>
  <c r="S29" i="22"/>
  <c r="U29" i="22"/>
  <c r="T29" i="22"/>
  <c r="R30" i="22"/>
  <c r="P40" i="22"/>
  <c r="P41" i="22"/>
  <c r="S84" i="22"/>
  <c r="R84" i="22"/>
  <c r="U84" i="22"/>
  <c r="P85" i="22"/>
  <c r="S86" i="22"/>
  <c r="U86" i="22"/>
  <c r="T86" i="22"/>
  <c r="R87" i="22"/>
  <c r="S108" i="22"/>
  <c r="V108" i="22"/>
  <c r="U108" i="22"/>
  <c r="S113" i="22"/>
  <c r="R113" i="22"/>
  <c r="U113" i="22"/>
  <c r="P114" i="22"/>
  <c r="S115" i="22"/>
  <c r="U115" i="22"/>
  <c r="T115" i="22"/>
  <c r="P136" i="22"/>
  <c r="P140" i="22"/>
  <c r="P141" i="22"/>
  <c r="T144" i="22"/>
  <c r="U144" i="22"/>
  <c r="V145" i="22"/>
  <c r="P148" i="22"/>
  <c r="R149" i="22"/>
  <c r="T154" i="22"/>
  <c r="S154" i="22"/>
  <c r="P155" i="22"/>
  <c r="S159" i="22"/>
  <c r="U159" i="22"/>
  <c r="P163" i="22"/>
  <c r="P167" i="22"/>
  <c r="T54" i="31"/>
  <c r="T55" i="31"/>
  <c r="U24" i="30"/>
  <c r="U25" i="30"/>
  <c r="U38" i="30"/>
  <c r="U39" i="30"/>
  <c r="U24" i="23"/>
  <c r="U25" i="23"/>
  <c r="T48" i="23"/>
  <c r="T49" i="23"/>
  <c r="T52" i="23"/>
  <c r="T53" i="23"/>
  <c r="U60" i="23"/>
  <c r="U61" i="23"/>
  <c r="T24" i="22"/>
  <c r="T28" i="22"/>
  <c r="T32" i="22"/>
  <c r="T81" i="22"/>
  <c r="T85" i="22"/>
  <c r="T89" i="22"/>
  <c r="T101" i="22"/>
  <c r="T102" i="22"/>
  <c r="T110" i="22"/>
  <c r="T114" i="22"/>
  <c r="T137" i="22"/>
  <c r="V140" i="22"/>
  <c r="V16" i="28"/>
  <c r="V17" i="28"/>
  <c r="R16" i="28"/>
  <c r="R17" i="28"/>
  <c r="U16" i="28"/>
  <c r="U17" i="28"/>
  <c r="V22" i="28"/>
  <c r="V23" i="28"/>
  <c r="V48" i="28"/>
  <c r="V49" i="28"/>
  <c r="R48" i="28"/>
  <c r="R49" i="28"/>
  <c r="U48" i="28"/>
  <c r="U49" i="28"/>
  <c r="T48" i="28"/>
  <c r="T49" i="28"/>
  <c r="U62" i="28"/>
  <c r="U63" i="28"/>
  <c r="T62" i="28"/>
  <c r="T63" i="28"/>
  <c r="R62" i="28"/>
  <c r="R63" i="28"/>
  <c r="V78" i="28"/>
  <c r="V79" i="28"/>
  <c r="R78" i="28"/>
  <c r="R79" i="28"/>
  <c r="U78" i="28"/>
  <c r="U79" i="28"/>
  <c r="V32" i="27"/>
  <c r="V33" i="27"/>
  <c r="R32" i="27"/>
  <c r="R33" i="27"/>
  <c r="U32" i="27"/>
  <c r="U33" i="27"/>
  <c r="S32" i="27"/>
  <c r="S33" i="27"/>
  <c r="T32" i="27"/>
  <c r="T33" i="27"/>
  <c r="V52" i="26"/>
  <c r="R52" i="26"/>
  <c r="U52" i="26"/>
  <c r="S52" i="26"/>
  <c r="V56" i="26"/>
  <c r="R56" i="26"/>
  <c r="U56" i="26"/>
  <c r="S56" i="26"/>
  <c r="V28" i="25"/>
  <c r="V29" i="25"/>
  <c r="R28" i="25"/>
  <c r="R29" i="25"/>
  <c r="U28" i="25"/>
  <c r="U29" i="25"/>
  <c r="S28" i="25"/>
  <c r="S29" i="25"/>
  <c r="T32" i="25"/>
  <c r="T33" i="25"/>
  <c r="V32" i="25"/>
  <c r="V33" i="25"/>
  <c r="U32" i="25"/>
  <c r="U33" i="25"/>
  <c r="R32" i="25"/>
  <c r="R33" i="25"/>
  <c r="V44" i="22"/>
  <c r="R44" i="22"/>
  <c r="U44" i="22"/>
  <c r="S44" i="22"/>
  <c r="T44" i="22"/>
  <c r="V52" i="22"/>
  <c r="R52" i="22"/>
  <c r="U52" i="22"/>
  <c r="S52" i="22"/>
  <c r="T52" i="22"/>
  <c r="V55" i="22"/>
  <c r="R55" i="22"/>
  <c r="U55" i="22"/>
  <c r="S55" i="22"/>
  <c r="T55" i="22"/>
  <c r="V162" i="22"/>
  <c r="R162" i="22"/>
  <c r="U162" i="22"/>
  <c r="S162" i="22"/>
  <c r="T162" i="22"/>
  <c r="V24" i="28"/>
  <c r="V25" i="28"/>
  <c r="R24" i="28"/>
  <c r="R25" i="28"/>
  <c r="U24" i="28"/>
  <c r="U25" i="28"/>
  <c r="V30" i="28"/>
  <c r="V31" i="28"/>
  <c r="V70" i="28"/>
  <c r="V71" i="28"/>
  <c r="V51" i="26"/>
  <c r="R51" i="26"/>
  <c r="U51" i="26"/>
  <c r="S51" i="26"/>
  <c r="V55" i="26"/>
  <c r="R55" i="26"/>
  <c r="U55" i="26"/>
  <c r="S55" i="26"/>
  <c r="U18" i="25"/>
  <c r="U19" i="25"/>
  <c r="R18" i="25"/>
  <c r="R19" i="25"/>
  <c r="V18" i="25"/>
  <c r="V19" i="25"/>
  <c r="S18" i="25"/>
  <c r="S19" i="25"/>
  <c r="T18" i="25"/>
  <c r="T19" i="25"/>
  <c r="T32" i="31"/>
  <c r="T33" i="31"/>
  <c r="V32" i="31"/>
  <c r="V33" i="31"/>
  <c r="U32" i="31"/>
  <c r="U33" i="31"/>
  <c r="R32" i="31"/>
  <c r="R33" i="31"/>
  <c r="V22" i="23"/>
  <c r="V23" i="23"/>
  <c r="R22" i="23"/>
  <c r="R23" i="23"/>
  <c r="U22" i="23"/>
  <c r="U23" i="23"/>
  <c r="T22" i="23"/>
  <c r="S22" i="23"/>
  <c r="S23" i="23"/>
  <c r="V35" i="22"/>
  <c r="R35" i="22"/>
  <c r="U35" i="22"/>
  <c r="T35" i="22"/>
  <c r="S35" i="22"/>
  <c r="V97" i="22"/>
  <c r="R97" i="22"/>
  <c r="U97" i="22"/>
  <c r="T97" i="22"/>
  <c r="S97" i="22"/>
  <c r="P70" i="28"/>
  <c r="P71" i="28"/>
  <c r="P62" i="28"/>
  <c r="P63" i="28"/>
  <c r="P54" i="28"/>
  <c r="P55" i="28"/>
  <c r="P46" i="28"/>
  <c r="P47" i="28"/>
  <c r="P38" i="28"/>
  <c r="P39" i="28"/>
  <c r="P30" i="28"/>
  <c r="P31" i="28"/>
  <c r="P22" i="28"/>
  <c r="P23" i="28"/>
  <c r="P14" i="28"/>
  <c r="P15" i="28"/>
  <c r="P78" i="28"/>
  <c r="P79" i="28"/>
  <c r="P72" i="28"/>
  <c r="P64" i="28"/>
  <c r="P65" i="28"/>
  <c r="P56" i="28"/>
  <c r="P57" i="28"/>
  <c r="P48" i="28"/>
  <c r="P49" i="28"/>
  <c r="P40" i="28"/>
  <c r="P41" i="28"/>
  <c r="P32" i="28"/>
  <c r="P33" i="28"/>
  <c r="P24" i="28"/>
  <c r="P25" i="28"/>
  <c r="P16" i="28"/>
  <c r="P17" i="28"/>
  <c r="P82" i="28"/>
  <c r="P76" i="28"/>
  <c r="P77" i="28"/>
  <c r="N72" i="28"/>
  <c r="P50" i="28"/>
  <c r="P51" i="28"/>
  <c r="P44" i="28"/>
  <c r="P45" i="28"/>
  <c r="P12" i="28"/>
  <c r="U14" i="28"/>
  <c r="U15" i="28"/>
  <c r="T14" i="28"/>
  <c r="T15" i="28"/>
  <c r="V14" i="28"/>
  <c r="V15" i="28"/>
  <c r="T16" i="28"/>
  <c r="T17" i="28"/>
  <c r="P18" i="28"/>
  <c r="P19" i="28"/>
  <c r="S24" i="28"/>
  <c r="S25" i="28"/>
  <c r="P34" i="28"/>
  <c r="P35" i="28"/>
  <c r="U38" i="28"/>
  <c r="U39" i="28"/>
  <c r="T38" i="28"/>
  <c r="T39" i="28"/>
  <c r="V38" i="28"/>
  <c r="V39" i="28"/>
  <c r="V56" i="28"/>
  <c r="V57" i="28"/>
  <c r="R56" i="28"/>
  <c r="R57" i="28"/>
  <c r="U56" i="28"/>
  <c r="U57" i="28"/>
  <c r="S56" i="28"/>
  <c r="S57" i="28"/>
  <c r="V62" i="28"/>
  <c r="V63" i="28"/>
  <c r="V64" i="28"/>
  <c r="V65" i="28"/>
  <c r="R64" i="28"/>
  <c r="R65" i="28"/>
  <c r="U64" i="28"/>
  <c r="U65" i="28"/>
  <c r="T78" i="28"/>
  <c r="T79" i="28"/>
  <c r="U22" i="27"/>
  <c r="U23" i="27"/>
  <c r="T22" i="27"/>
  <c r="T23" i="27"/>
  <c r="R22" i="27"/>
  <c r="R23" i="27"/>
  <c r="V22" i="27"/>
  <c r="V23" i="27"/>
  <c r="V24" i="27"/>
  <c r="V25" i="27"/>
  <c r="R24" i="27"/>
  <c r="R25" i="27"/>
  <c r="U24" i="27"/>
  <c r="U25" i="27"/>
  <c r="U54" i="27"/>
  <c r="U55" i="27"/>
  <c r="T54" i="27"/>
  <c r="T55" i="27"/>
  <c r="R54" i="27"/>
  <c r="R55" i="27"/>
  <c r="V54" i="27"/>
  <c r="V55" i="27"/>
  <c r="T51" i="26"/>
  <c r="V53" i="26"/>
  <c r="R53" i="26"/>
  <c r="U53" i="26"/>
  <c r="S53" i="26"/>
  <c r="T55" i="26"/>
  <c r="S32" i="31"/>
  <c r="S33" i="31"/>
  <c r="V54" i="23"/>
  <c r="V55" i="23"/>
  <c r="R54" i="23"/>
  <c r="R55" i="23"/>
  <c r="U54" i="23"/>
  <c r="U55" i="23"/>
  <c r="T54" i="23"/>
  <c r="T55" i="23"/>
  <c r="S54" i="23"/>
  <c r="S55" i="23"/>
  <c r="U22" i="28"/>
  <c r="U23" i="28"/>
  <c r="T22" i="28"/>
  <c r="T23" i="28"/>
  <c r="U54" i="28"/>
  <c r="U55" i="28"/>
  <c r="T54" i="28"/>
  <c r="T55" i="28"/>
  <c r="S54" i="28"/>
  <c r="S55" i="28"/>
  <c r="T13" i="26"/>
  <c r="V28" i="26"/>
  <c r="V29" i="26"/>
  <c r="R28" i="26"/>
  <c r="R29" i="26"/>
  <c r="U28" i="26"/>
  <c r="U29" i="26"/>
  <c r="S28" i="26"/>
  <c r="S29" i="26"/>
  <c r="T28" i="26"/>
  <c r="T29" i="26"/>
  <c r="V44" i="25"/>
  <c r="V45" i="25"/>
  <c r="R44" i="25"/>
  <c r="R45" i="25"/>
  <c r="U44" i="25"/>
  <c r="U45" i="25"/>
  <c r="S44" i="25"/>
  <c r="S45" i="25"/>
  <c r="V22" i="30"/>
  <c r="V23" i="30"/>
  <c r="R22" i="30"/>
  <c r="R23" i="30"/>
  <c r="U22" i="30"/>
  <c r="U23" i="30"/>
  <c r="S22" i="30"/>
  <c r="S23" i="30"/>
  <c r="T22" i="30"/>
  <c r="T23" i="30"/>
  <c r="V58" i="30"/>
  <c r="V59" i="30"/>
  <c r="R58" i="30"/>
  <c r="R59" i="30"/>
  <c r="U58" i="30"/>
  <c r="U59" i="30"/>
  <c r="S58" i="30"/>
  <c r="S59" i="30"/>
  <c r="T58" i="30"/>
  <c r="T59" i="30"/>
  <c r="V47" i="22"/>
  <c r="R47" i="22"/>
  <c r="U47" i="22"/>
  <c r="S47" i="22"/>
  <c r="T47" i="22"/>
  <c r="U30" i="28"/>
  <c r="U31" i="28"/>
  <c r="T30" i="28"/>
  <c r="T31" i="28"/>
  <c r="V32" i="28"/>
  <c r="V33" i="28"/>
  <c r="R32" i="28"/>
  <c r="R33" i="28"/>
  <c r="U32" i="28"/>
  <c r="U33" i="28"/>
  <c r="U70" i="28"/>
  <c r="U71" i="28"/>
  <c r="T70" i="28"/>
  <c r="T71" i="28"/>
  <c r="U14" i="27"/>
  <c r="U15" i="27"/>
  <c r="T14" i="27"/>
  <c r="T15" i="27"/>
  <c r="V14" i="27"/>
  <c r="V15" i="27"/>
  <c r="V48" i="27"/>
  <c r="V49" i="27"/>
  <c r="R48" i="27"/>
  <c r="R49" i="27"/>
  <c r="U48" i="27"/>
  <c r="U49" i="27"/>
  <c r="S48" i="27"/>
  <c r="S49" i="27"/>
  <c r="T48" i="27"/>
  <c r="T49" i="27"/>
  <c r="U34" i="26"/>
  <c r="U35" i="26"/>
  <c r="T34" i="26"/>
  <c r="T35" i="26"/>
  <c r="R34" i="26"/>
  <c r="R35" i="26"/>
  <c r="S34" i="26"/>
  <c r="S35" i="26"/>
  <c r="U34" i="25"/>
  <c r="U35" i="25"/>
  <c r="R34" i="25"/>
  <c r="R35" i="25"/>
  <c r="V34" i="25"/>
  <c r="V35" i="25"/>
  <c r="S34" i="25"/>
  <c r="S35" i="25"/>
  <c r="T34" i="25"/>
  <c r="T35" i="25"/>
  <c r="U16" i="31"/>
  <c r="S16" i="31"/>
  <c r="R16" i="31"/>
  <c r="T16" i="31"/>
  <c r="V16" i="31"/>
  <c r="V28" i="31"/>
  <c r="V29" i="31"/>
  <c r="R28" i="31"/>
  <c r="R29" i="31"/>
  <c r="U28" i="31"/>
  <c r="U29" i="31"/>
  <c r="S28" i="31"/>
  <c r="S29" i="31"/>
  <c r="V37" i="22"/>
  <c r="R37" i="22"/>
  <c r="U37" i="22"/>
  <c r="T37" i="22"/>
  <c r="S37" i="22"/>
  <c r="V103" i="22"/>
  <c r="R103" i="22"/>
  <c r="U103" i="22"/>
  <c r="S103" i="22"/>
  <c r="T103" i="22"/>
  <c r="S16" i="28"/>
  <c r="S17" i="28"/>
  <c r="R22" i="28"/>
  <c r="R23" i="28"/>
  <c r="S48" i="28"/>
  <c r="S49" i="28"/>
  <c r="R54" i="28"/>
  <c r="R55" i="28"/>
  <c r="S62" i="28"/>
  <c r="S63" i="28"/>
  <c r="S78" i="28"/>
  <c r="S79" i="28"/>
  <c r="V16" i="27"/>
  <c r="V17" i="27"/>
  <c r="R16" i="27"/>
  <c r="R17" i="27"/>
  <c r="U16" i="27"/>
  <c r="U17" i="27"/>
  <c r="T16" i="27"/>
  <c r="T17" i="27"/>
  <c r="U38" i="27"/>
  <c r="U39" i="27"/>
  <c r="T38" i="27"/>
  <c r="T39" i="27"/>
  <c r="R38" i="27"/>
  <c r="R39" i="27"/>
  <c r="V38" i="27"/>
  <c r="V39" i="27"/>
  <c r="V64" i="27"/>
  <c r="V65" i="27"/>
  <c r="R64" i="27"/>
  <c r="R65" i="27"/>
  <c r="U64" i="27"/>
  <c r="U65" i="27"/>
  <c r="S64" i="27"/>
  <c r="S65" i="27"/>
  <c r="T64" i="27"/>
  <c r="T65" i="27"/>
  <c r="V36" i="26"/>
  <c r="V37" i="26"/>
  <c r="R36" i="26"/>
  <c r="R37" i="26"/>
  <c r="U36" i="26"/>
  <c r="U37" i="26"/>
  <c r="S36" i="26"/>
  <c r="S37" i="26"/>
  <c r="U42" i="26"/>
  <c r="U43" i="26"/>
  <c r="T42" i="26"/>
  <c r="T43" i="26"/>
  <c r="R42" i="26"/>
  <c r="R43" i="26"/>
  <c r="V50" i="26"/>
  <c r="R50" i="26"/>
  <c r="U50" i="26"/>
  <c r="S50" i="26"/>
  <c r="T52" i="26"/>
  <c r="V54" i="26"/>
  <c r="R54" i="26"/>
  <c r="U54" i="26"/>
  <c r="S54" i="26"/>
  <c r="T56" i="26"/>
  <c r="R58" i="26"/>
  <c r="U58" i="26"/>
  <c r="S58" i="26"/>
  <c r="U60" i="26"/>
  <c r="U61" i="26"/>
  <c r="T60" i="26"/>
  <c r="T61" i="26"/>
  <c r="R60" i="26"/>
  <c r="R61" i="26"/>
  <c r="S60" i="26"/>
  <c r="S61" i="26"/>
  <c r="U13" i="25"/>
  <c r="T28" i="25"/>
  <c r="T29" i="25"/>
  <c r="S32" i="25"/>
  <c r="S33" i="25"/>
  <c r="T44" i="25"/>
  <c r="T45" i="25"/>
  <c r="U34" i="31"/>
  <c r="U35" i="31"/>
  <c r="R34" i="31"/>
  <c r="R35" i="31"/>
  <c r="V34" i="31"/>
  <c r="V35" i="31"/>
  <c r="S34" i="31"/>
  <c r="S35" i="31"/>
  <c r="T34" i="31"/>
  <c r="T35" i="31"/>
  <c r="V42" i="31"/>
  <c r="V43" i="31"/>
  <c r="R42" i="31"/>
  <c r="R43" i="31"/>
  <c r="U42" i="31"/>
  <c r="U43" i="31"/>
  <c r="T42" i="31"/>
  <c r="T43" i="31"/>
  <c r="S42" i="31"/>
  <c r="S43" i="31"/>
  <c r="V38" i="23"/>
  <c r="V39" i="23"/>
  <c r="R38" i="23"/>
  <c r="R39" i="23"/>
  <c r="U38" i="23"/>
  <c r="U39" i="23"/>
  <c r="T38" i="23"/>
  <c r="T39" i="23"/>
  <c r="S38" i="23"/>
  <c r="S39" i="23"/>
  <c r="V43" i="22"/>
  <c r="R43" i="22"/>
  <c r="U43" i="22"/>
  <c r="S43" i="22"/>
  <c r="T43" i="22"/>
  <c r="V48" i="22"/>
  <c r="R48" i="22"/>
  <c r="U48" i="22"/>
  <c r="S48" i="22"/>
  <c r="T48" i="22"/>
  <c r="V51" i="22"/>
  <c r="R51" i="22"/>
  <c r="U51" i="22"/>
  <c r="S51" i="22"/>
  <c r="T51" i="22"/>
  <c r="V56" i="22"/>
  <c r="R56" i="22"/>
  <c r="U56" i="22"/>
  <c r="S56" i="22"/>
  <c r="T56" i="22"/>
  <c r="V59" i="22"/>
  <c r="R59" i="22"/>
  <c r="U59" i="22"/>
  <c r="S59" i="22"/>
  <c r="T59" i="22"/>
  <c r="T169" i="22"/>
  <c r="R169" i="22"/>
  <c r="V169" i="22"/>
  <c r="S169" i="22"/>
  <c r="U169" i="22"/>
  <c r="V40" i="28"/>
  <c r="V41" i="28"/>
  <c r="R40" i="28"/>
  <c r="R41" i="28"/>
  <c r="U40" i="28"/>
  <c r="U41" i="28"/>
  <c r="U46" i="28"/>
  <c r="U47" i="28"/>
  <c r="T46" i="28"/>
  <c r="T47" i="28"/>
  <c r="V46" i="28"/>
  <c r="V47" i="28"/>
  <c r="V20" i="26"/>
  <c r="V21" i="26"/>
  <c r="R20" i="26"/>
  <c r="R21" i="26"/>
  <c r="U20" i="26"/>
  <c r="U21" i="26"/>
  <c r="P24" i="26"/>
  <c r="P25" i="26"/>
  <c r="U26" i="26"/>
  <c r="U27" i="26"/>
  <c r="T26" i="26"/>
  <c r="T27" i="26"/>
  <c r="V26" i="26"/>
  <c r="V27" i="26"/>
  <c r="U16" i="25"/>
  <c r="U17" i="25"/>
  <c r="T16" i="25"/>
  <c r="T17" i="25"/>
  <c r="V16" i="25"/>
  <c r="V17" i="25"/>
  <c r="V20" i="25"/>
  <c r="V21" i="25"/>
  <c r="R20" i="25"/>
  <c r="R21" i="25"/>
  <c r="U20" i="25"/>
  <c r="U21" i="25"/>
  <c r="T24" i="25"/>
  <c r="T25" i="25"/>
  <c r="V24" i="25"/>
  <c r="V25" i="25"/>
  <c r="U24" i="25"/>
  <c r="U25" i="25"/>
  <c r="V36" i="25"/>
  <c r="V37" i="25"/>
  <c r="R36" i="25"/>
  <c r="R37" i="25"/>
  <c r="U36" i="25"/>
  <c r="U37" i="25"/>
  <c r="T40" i="25"/>
  <c r="T41" i="25"/>
  <c r="V40" i="25"/>
  <c r="V41" i="25"/>
  <c r="U40" i="25"/>
  <c r="U41" i="25"/>
  <c r="T46" i="25"/>
  <c r="T47" i="25"/>
  <c r="R46" i="25"/>
  <c r="R47" i="25"/>
  <c r="V46" i="25"/>
  <c r="V47" i="25"/>
  <c r="V36" i="31"/>
  <c r="V37" i="31"/>
  <c r="R36" i="31"/>
  <c r="R37" i="31"/>
  <c r="U36" i="31"/>
  <c r="U37" i="31"/>
  <c r="V50" i="31"/>
  <c r="V51" i="31"/>
  <c r="R50" i="31"/>
  <c r="R51" i="31"/>
  <c r="U50" i="31"/>
  <c r="U51" i="31"/>
  <c r="S50" i="31"/>
  <c r="S51" i="31"/>
  <c r="P64" i="30"/>
  <c r="P62" i="30"/>
  <c r="P63" i="30"/>
  <c r="P56" i="30"/>
  <c r="P57" i="30"/>
  <c r="P48" i="30"/>
  <c r="P49" i="30"/>
  <c r="P40" i="30"/>
  <c r="P41" i="30"/>
  <c r="P32" i="30"/>
  <c r="P33" i="30"/>
  <c r="P26" i="30"/>
  <c r="P27" i="30"/>
  <c r="P16" i="30"/>
  <c r="P17" i="30"/>
  <c r="N14" i="30"/>
  <c r="P13" i="30"/>
  <c r="N12" i="30"/>
  <c r="P58" i="30"/>
  <c r="P59" i="30"/>
  <c r="P50" i="30"/>
  <c r="P51" i="30"/>
  <c r="P42" i="30"/>
  <c r="P43" i="30"/>
  <c r="P34" i="30"/>
  <c r="P35" i="30"/>
  <c r="P28" i="30"/>
  <c r="P29" i="30"/>
  <c r="P22" i="30"/>
  <c r="P23" i="30"/>
  <c r="P52" i="30"/>
  <c r="P53" i="30"/>
  <c r="P46" i="30"/>
  <c r="P47" i="30"/>
  <c r="P44" i="30"/>
  <c r="P45" i="30"/>
  <c r="P38" i="30"/>
  <c r="P39" i="30"/>
  <c r="P20" i="30"/>
  <c r="P21" i="30"/>
  <c r="P12" i="30"/>
  <c r="N13" i="30"/>
  <c r="U32" i="30"/>
  <c r="U33" i="30"/>
  <c r="T32" i="30"/>
  <c r="T33" i="30"/>
  <c r="R32" i="30"/>
  <c r="R33" i="30"/>
  <c r="P54" i="30"/>
  <c r="P55" i="30"/>
  <c r="U56" i="30"/>
  <c r="U57" i="30"/>
  <c r="T56" i="30"/>
  <c r="T57" i="30"/>
  <c r="S56" i="30"/>
  <c r="S57" i="30"/>
  <c r="R56" i="30"/>
  <c r="R57" i="30"/>
  <c r="P58" i="23"/>
  <c r="P59" i="23"/>
  <c r="P54" i="23"/>
  <c r="P55" i="23"/>
  <c r="P50" i="23"/>
  <c r="P51" i="23"/>
  <c r="P46" i="23"/>
  <c r="P47" i="23"/>
  <c r="P42" i="23"/>
  <c r="P43" i="23"/>
  <c r="P38" i="23"/>
  <c r="P39" i="23"/>
  <c r="P34" i="23"/>
  <c r="P35" i="23"/>
  <c r="P30" i="23"/>
  <c r="P31" i="23"/>
  <c r="P26" i="23"/>
  <c r="P27" i="23"/>
  <c r="P22" i="23"/>
  <c r="P23" i="23"/>
  <c r="P18" i="23"/>
  <c r="P19" i="23"/>
  <c r="P14" i="23"/>
  <c r="P60" i="23"/>
  <c r="P61" i="23"/>
  <c r="P44" i="23"/>
  <c r="P45" i="23"/>
  <c r="P28" i="23"/>
  <c r="P29" i="23"/>
  <c r="P12" i="23"/>
  <c r="P13" i="23"/>
  <c r="P62" i="23"/>
  <c r="P56" i="23"/>
  <c r="P57" i="23"/>
  <c r="P40" i="23"/>
  <c r="P41" i="23"/>
  <c r="P24" i="23"/>
  <c r="P25" i="23"/>
  <c r="V26" i="23"/>
  <c r="V27" i="23"/>
  <c r="R26" i="23"/>
  <c r="R27" i="23"/>
  <c r="U26" i="23"/>
  <c r="U27" i="23"/>
  <c r="S26" i="23"/>
  <c r="S27" i="23"/>
  <c r="V42" i="23"/>
  <c r="V43" i="23"/>
  <c r="R42" i="23"/>
  <c r="R43" i="23"/>
  <c r="U42" i="23"/>
  <c r="U43" i="23"/>
  <c r="S42" i="23"/>
  <c r="S43" i="23"/>
  <c r="V58" i="23"/>
  <c r="V59" i="23"/>
  <c r="R58" i="23"/>
  <c r="R59" i="23"/>
  <c r="U58" i="23"/>
  <c r="U59" i="23"/>
  <c r="S58" i="23"/>
  <c r="S59" i="23"/>
  <c r="V45" i="22"/>
  <c r="R45" i="22"/>
  <c r="U45" i="22"/>
  <c r="S45" i="22"/>
  <c r="V49" i="22"/>
  <c r="R49" i="22"/>
  <c r="U49" i="22"/>
  <c r="S49" i="22"/>
  <c r="V53" i="22"/>
  <c r="R53" i="22"/>
  <c r="U53" i="22"/>
  <c r="S53" i="22"/>
  <c r="V57" i="22"/>
  <c r="R57" i="22"/>
  <c r="U57" i="22"/>
  <c r="S57" i="22"/>
  <c r="V93" i="22"/>
  <c r="R93" i="22"/>
  <c r="U93" i="22"/>
  <c r="T93" i="22"/>
  <c r="S93" i="22"/>
  <c r="U30" i="27"/>
  <c r="U31" i="27"/>
  <c r="T30" i="27"/>
  <c r="T31" i="27"/>
  <c r="S30" i="27"/>
  <c r="S31" i="27"/>
  <c r="V40" i="27"/>
  <c r="V41" i="27"/>
  <c r="R40" i="27"/>
  <c r="R41" i="27"/>
  <c r="U40" i="27"/>
  <c r="U41" i="27"/>
  <c r="U46" i="27"/>
  <c r="U47" i="27"/>
  <c r="T46" i="27"/>
  <c r="T47" i="27"/>
  <c r="S46" i="27"/>
  <c r="S47" i="27"/>
  <c r="V56" i="27"/>
  <c r="V57" i="27"/>
  <c r="R56" i="27"/>
  <c r="R57" i="27"/>
  <c r="U56" i="27"/>
  <c r="U57" i="27"/>
  <c r="U62" i="27"/>
  <c r="U63" i="27"/>
  <c r="T62" i="27"/>
  <c r="T63" i="27"/>
  <c r="S62" i="27"/>
  <c r="S63" i="27"/>
  <c r="P62" i="26"/>
  <c r="P60" i="26"/>
  <c r="P61" i="26"/>
  <c r="P42" i="26"/>
  <c r="P43" i="26"/>
  <c r="P34" i="26"/>
  <c r="P35" i="26"/>
  <c r="P26" i="26"/>
  <c r="P27" i="26"/>
  <c r="P18" i="26"/>
  <c r="P19" i="26"/>
  <c r="P58" i="26"/>
  <c r="P57" i="26"/>
  <c r="P56" i="26"/>
  <c r="P55" i="26"/>
  <c r="P54" i="26"/>
  <c r="P53" i="26"/>
  <c r="P52" i="26"/>
  <c r="P51" i="26"/>
  <c r="P50" i="26"/>
  <c r="P44" i="26"/>
  <c r="P45" i="26"/>
  <c r="P36" i="26"/>
  <c r="P37" i="26"/>
  <c r="P28" i="26"/>
  <c r="P29" i="26"/>
  <c r="P20" i="26"/>
  <c r="P21" i="26"/>
  <c r="P12" i="26"/>
  <c r="V12" i="26"/>
  <c r="R12" i="26"/>
  <c r="U12" i="26"/>
  <c r="P16" i="26"/>
  <c r="P17" i="26"/>
  <c r="U18" i="26"/>
  <c r="U19" i="26"/>
  <c r="T18" i="26"/>
  <c r="T19" i="26"/>
  <c r="V18" i="26"/>
  <c r="V19" i="26"/>
  <c r="P22" i="26"/>
  <c r="P23" i="26"/>
  <c r="V44" i="26"/>
  <c r="V45" i="26"/>
  <c r="R44" i="26"/>
  <c r="R45" i="26"/>
  <c r="U44" i="26"/>
  <c r="U45" i="26"/>
  <c r="P48" i="26"/>
  <c r="P49" i="26"/>
  <c r="P42" i="25"/>
  <c r="P43" i="25"/>
  <c r="P34" i="25"/>
  <c r="P35" i="25"/>
  <c r="P26" i="25"/>
  <c r="P27" i="25"/>
  <c r="P48" i="25"/>
  <c r="P44" i="25"/>
  <c r="P45" i="25"/>
  <c r="P40" i="25"/>
  <c r="P41" i="25"/>
  <c r="P38" i="25"/>
  <c r="P39" i="25"/>
  <c r="P36" i="25"/>
  <c r="P37" i="25"/>
  <c r="P32" i="25"/>
  <c r="P33" i="25"/>
  <c r="P30" i="25"/>
  <c r="P31" i="25"/>
  <c r="P28" i="25"/>
  <c r="P29" i="25"/>
  <c r="P24" i="25"/>
  <c r="P25" i="25"/>
  <c r="P22" i="25"/>
  <c r="P23" i="25"/>
  <c r="P20" i="25"/>
  <c r="P21" i="25"/>
  <c r="P16" i="25"/>
  <c r="P17" i="25"/>
  <c r="P46" i="25"/>
  <c r="P47" i="25"/>
  <c r="P18" i="25"/>
  <c r="P19" i="25"/>
  <c r="P12" i="25"/>
  <c r="U26" i="25"/>
  <c r="U27" i="25"/>
  <c r="R26" i="25"/>
  <c r="R27" i="25"/>
  <c r="V26" i="25"/>
  <c r="V27" i="25"/>
  <c r="U42" i="25"/>
  <c r="U43" i="25"/>
  <c r="R42" i="25"/>
  <c r="R43" i="25"/>
  <c r="V42" i="25"/>
  <c r="V43" i="25"/>
  <c r="U26" i="31"/>
  <c r="U27" i="31"/>
  <c r="R26" i="31"/>
  <c r="R27" i="31"/>
  <c r="V26" i="31"/>
  <c r="V27" i="31"/>
  <c r="U48" i="31"/>
  <c r="U49" i="31"/>
  <c r="T48" i="31"/>
  <c r="T49" i="31"/>
  <c r="S48" i="31"/>
  <c r="S49" i="31"/>
  <c r="R48" i="31"/>
  <c r="R49" i="31"/>
  <c r="U56" i="31"/>
  <c r="U57" i="31"/>
  <c r="T56" i="31"/>
  <c r="T57" i="31"/>
  <c r="R56" i="31"/>
  <c r="R57" i="31"/>
  <c r="V50" i="30"/>
  <c r="V51" i="30"/>
  <c r="R50" i="30"/>
  <c r="R51" i="30"/>
  <c r="U50" i="30"/>
  <c r="U51" i="30"/>
  <c r="T50" i="30"/>
  <c r="T51" i="30"/>
  <c r="S50" i="30"/>
  <c r="S51" i="30"/>
  <c r="V36" i="22"/>
  <c r="R36" i="22"/>
  <c r="U36" i="22"/>
  <c r="T36" i="22"/>
  <c r="S36" i="22"/>
  <c r="V38" i="22"/>
  <c r="V39" i="22"/>
  <c r="R38" i="22"/>
  <c r="R39" i="22"/>
  <c r="U38" i="22"/>
  <c r="U39" i="22"/>
  <c r="T38" i="22"/>
  <c r="T39" i="22"/>
  <c r="S38" i="22"/>
  <c r="S39" i="22"/>
  <c r="V42" i="22"/>
  <c r="R42" i="22"/>
  <c r="U42" i="22"/>
  <c r="S42" i="22"/>
  <c r="V46" i="22"/>
  <c r="R46" i="22"/>
  <c r="U46" i="22"/>
  <c r="S46" i="22"/>
  <c r="V50" i="22"/>
  <c r="R50" i="22"/>
  <c r="U50" i="22"/>
  <c r="S50" i="22"/>
  <c r="V54" i="22"/>
  <c r="R54" i="22"/>
  <c r="U54" i="22"/>
  <c r="S54" i="22"/>
  <c r="V58" i="22"/>
  <c r="R58" i="22"/>
  <c r="U58" i="22"/>
  <c r="S58" i="22"/>
  <c r="V60" i="22"/>
  <c r="R60" i="22"/>
  <c r="U60" i="22"/>
  <c r="V61" i="22"/>
  <c r="R61" i="22"/>
  <c r="U61" i="22"/>
  <c r="V63" i="22"/>
  <c r="R63" i="22"/>
  <c r="U63" i="22"/>
  <c r="V64" i="22"/>
  <c r="R64" i="22"/>
  <c r="U64" i="22"/>
  <c r="V67" i="22"/>
  <c r="R67" i="22"/>
  <c r="U67" i="22"/>
  <c r="V69" i="22"/>
  <c r="R69" i="22"/>
  <c r="U69" i="22"/>
  <c r="V72" i="22"/>
  <c r="R72" i="22"/>
  <c r="U72" i="22"/>
  <c r="V74" i="22"/>
  <c r="R74" i="22"/>
  <c r="U74" i="22"/>
  <c r="V76" i="22"/>
  <c r="R76" i="22"/>
  <c r="U76" i="22"/>
  <c r="V79" i="22"/>
  <c r="R79" i="22"/>
  <c r="U79" i="22"/>
  <c r="V106" i="22"/>
  <c r="R106" i="22"/>
  <c r="U106" i="22"/>
  <c r="S106" i="22"/>
  <c r="T147" i="22"/>
  <c r="R147" i="22"/>
  <c r="V147" i="22"/>
  <c r="S147" i="22"/>
  <c r="V160" i="22"/>
  <c r="R160" i="22"/>
  <c r="U160" i="22"/>
  <c r="S160" i="22"/>
  <c r="V164" i="22"/>
  <c r="R164" i="22"/>
  <c r="U164" i="22"/>
  <c r="T164" i="22"/>
  <c r="T168" i="22"/>
  <c r="V168" i="22"/>
  <c r="U168" i="22"/>
  <c r="R168" i="22"/>
  <c r="R18" i="28"/>
  <c r="R19" i="28"/>
  <c r="V18" i="28"/>
  <c r="V19" i="28"/>
  <c r="R26" i="28"/>
  <c r="R27" i="28"/>
  <c r="V26" i="28"/>
  <c r="V27" i="28"/>
  <c r="R34" i="28"/>
  <c r="R35" i="28"/>
  <c r="V34" i="28"/>
  <c r="V35" i="28"/>
  <c r="R42" i="28"/>
  <c r="R43" i="28"/>
  <c r="V42" i="28"/>
  <c r="V43" i="28"/>
  <c r="R50" i="28"/>
  <c r="R51" i="28"/>
  <c r="V50" i="28"/>
  <c r="V51" i="28"/>
  <c r="R58" i="28"/>
  <c r="R59" i="28"/>
  <c r="V58" i="28"/>
  <c r="V59" i="28"/>
  <c r="R66" i="28"/>
  <c r="R67" i="28"/>
  <c r="V66" i="28"/>
  <c r="V67" i="28"/>
  <c r="R74" i="28"/>
  <c r="R75" i="28"/>
  <c r="V74" i="28"/>
  <c r="V75" i="28"/>
  <c r="P16" i="27"/>
  <c r="P17" i="27"/>
  <c r="R18" i="27"/>
  <c r="R19" i="27"/>
  <c r="V18" i="27"/>
  <c r="V19" i="27"/>
  <c r="P24" i="27"/>
  <c r="P25" i="27"/>
  <c r="R26" i="27"/>
  <c r="R27" i="27"/>
  <c r="V26" i="27"/>
  <c r="V27" i="27"/>
  <c r="P32" i="27"/>
  <c r="P33" i="27"/>
  <c r="R34" i="27"/>
  <c r="R35" i="27"/>
  <c r="V34" i="27"/>
  <c r="V35" i="27"/>
  <c r="P40" i="27"/>
  <c r="P41" i="27"/>
  <c r="R42" i="27"/>
  <c r="R43" i="27"/>
  <c r="V42" i="27"/>
  <c r="V43" i="27"/>
  <c r="P48" i="27"/>
  <c r="P49" i="27"/>
  <c r="R50" i="27"/>
  <c r="R51" i="27"/>
  <c r="V50" i="27"/>
  <c r="V51" i="27"/>
  <c r="P56" i="27"/>
  <c r="P57" i="27"/>
  <c r="R58" i="27"/>
  <c r="R59" i="27"/>
  <c r="V58" i="27"/>
  <c r="V59" i="27"/>
  <c r="P64" i="27"/>
  <c r="P65" i="27"/>
  <c r="R14" i="26"/>
  <c r="R15" i="26"/>
  <c r="V14" i="26"/>
  <c r="V15" i="26"/>
  <c r="R22" i="26"/>
  <c r="R23" i="26"/>
  <c r="V22" i="26"/>
  <c r="V23" i="26"/>
  <c r="R30" i="26"/>
  <c r="R31" i="26"/>
  <c r="V30" i="26"/>
  <c r="V31" i="26"/>
  <c r="R38" i="26"/>
  <c r="R39" i="26"/>
  <c r="V38" i="26"/>
  <c r="V39" i="26"/>
  <c r="R46" i="26"/>
  <c r="R47" i="26"/>
  <c r="V46" i="26"/>
  <c r="V47" i="26"/>
  <c r="R12" i="25"/>
  <c r="V12" i="25"/>
  <c r="T12" i="31"/>
  <c r="S14" i="31"/>
  <c r="P17" i="31"/>
  <c r="S18" i="31"/>
  <c r="P21" i="31"/>
  <c r="V58" i="31"/>
  <c r="V59" i="31"/>
  <c r="R58" i="31"/>
  <c r="R59" i="31"/>
  <c r="U58" i="31"/>
  <c r="U59" i="31"/>
  <c r="V62" i="31"/>
  <c r="V63" i="31"/>
  <c r="R62" i="31"/>
  <c r="R63" i="31"/>
  <c r="U62" i="31"/>
  <c r="U63" i="31"/>
  <c r="U26" i="30"/>
  <c r="U27" i="30"/>
  <c r="T26" i="30"/>
  <c r="T27" i="30"/>
  <c r="V26" i="30"/>
  <c r="V27" i="30"/>
  <c r="V34" i="30"/>
  <c r="V35" i="30"/>
  <c r="R34" i="30"/>
  <c r="R35" i="30"/>
  <c r="U34" i="30"/>
  <c r="U35" i="30"/>
  <c r="U40" i="30"/>
  <c r="U41" i="30"/>
  <c r="T40" i="30"/>
  <c r="T41" i="30"/>
  <c r="V40" i="30"/>
  <c r="V41" i="30"/>
  <c r="U62" i="30"/>
  <c r="U63" i="30"/>
  <c r="T62" i="30"/>
  <c r="T63" i="30"/>
  <c r="V62" i="30"/>
  <c r="V63" i="30"/>
  <c r="V14" i="23"/>
  <c r="R14" i="23"/>
  <c r="U14" i="23"/>
  <c r="V30" i="23"/>
  <c r="V31" i="23"/>
  <c r="R30" i="23"/>
  <c r="R31" i="23"/>
  <c r="U30" i="23"/>
  <c r="U31" i="23"/>
  <c r="V46" i="23"/>
  <c r="V47" i="23"/>
  <c r="R46" i="23"/>
  <c r="R47" i="23"/>
  <c r="U46" i="23"/>
  <c r="U47" i="23"/>
  <c r="V12" i="22"/>
  <c r="R12" i="22"/>
  <c r="U12" i="22"/>
  <c r="V13" i="22"/>
  <c r="R13" i="22"/>
  <c r="U13" i="22"/>
  <c r="V14" i="22"/>
  <c r="R14" i="22"/>
  <c r="U14" i="22"/>
  <c r="V15" i="22"/>
  <c r="R15" i="22"/>
  <c r="U15" i="22"/>
  <c r="V16" i="22"/>
  <c r="R16" i="22"/>
  <c r="U16" i="22"/>
  <c r="V17" i="22"/>
  <c r="R17" i="22"/>
  <c r="U17" i="22"/>
  <c r="V18" i="22"/>
  <c r="R18" i="22"/>
  <c r="U18" i="22"/>
  <c r="V19" i="22"/>
  <c r="R19" i="22"/>
  <c r="U19" i="22"/>
  <c r="V20" i="22"/>
  <c r="R20" i="22"/>
  <c r="U20" i="22"/>
  <c r="V95" i="22"/>
  <c r="R95" i="22"/>
  <c r="U95" i="22"/>
  <c r="T95" i="22"/>
  <c r="V99" i="22"/>
  <c r="R99" i="22"/>
  <c r="U99" i="22"/>
  <c r="T99" i="22"/>
  <c r="V105" i="22"/>
  <c r="R105" i="22"/>
  <c r="U105" i="22"/>
  <c r="S105" i="22"/>
  <c r="T146" i="22"/>
  <c r="V146" i="22"/>
  <c r="U146" i="22"/>
  <c r="R146" i="22"/>
  <c r="T151" i="22"/>
  <c r="R151" i="22"/>
  <c r="V151" i="22"/>
  <c r="U151" i="22"/>
  <c r="V158" i="22"/>
  <c r="R158" i="22"/>
  <c r="U158" i="22"/>
  <c r="S158" i="22"/>
  <c r="V62" i="22"/>
  <c r="R62" i="22"/>
  <c r="U62" i="22"/>
  <c r="V65" i="22"/>
  <c r="R65" i="22"/>
  <c r="U65" i="22"/>
  <c r="V66" i="22"/>
  <c r="R66" i="22"/>
  <c r="U66" i="22"/>
  <c r="V68" i="22"/>
  <c r="R68" i="22"/>
  <c r="U68" i="22"/>
  <c r="V70" i="22"/>
  <c r="R70" i="22"/>
  <c r="U70" i="22"/>
  <c r="V71" i="22"/>
  <c r="R71" i="22"/>
  <c r="U71" i="22"/>
  <c r="V73" i="22"/>
  <c r="R73" i="22"/>
  <c r="U73" i="22"/>
  <c r="V75" i="22"/>
  <c r="R75" i="22"/>
  <c r="U75" i="22"/>
  <c r="V77" i="22"/>
  <c r="R77" i="22"/>
  <c r="U77" i="22"/>
  <c r="V78" i="22"/>
  <c r="R78" i="22"/>
  <c r="U78" i="22"/>
  <c r="V96" i="22"/>
  <c r="R96" i="22"/>
  <c r="U96" i="22"/>
  <c r="T96" i="22"/>
  <c r="P56" i="31"/>
  <c r="P57" i="31"/>
  <c r="P48" i="31"/>
  <c r="P49" i="31"/>
  <c r="P40" i="31"/>
  <c r="P41" i="31"/>
  <c r="P64" i="31"/>
  <c r="P62" i="31"/>
  <c r="P63" i="31"/>
  <c r="P58" i="31"/>
  <c r="P59" i="31"/>
  <c r="P50" i="31"/>
  <c r="P51" i="31"/>
  <c r="P42" i="31"/>
  <c r="P43" i="31"/>
  <c r="P34" i="31"/>
  <c r="P35" i="31"/>
  <c r="P26" i="31"/>
  <c r="P27" i="31"/>
  <c r="P16" i="31"/>
  <c r="P14" i="31"/>
  <c r="P12" i="31"/>
  <c r="T14" i="31"/>
  <c r="N19" i="31"/>
  <c r="N20" i="31"/>
  <c r="P23" i="31"/>
  <c r="P28" i="31"/>
  <c r="P29" i="31"/>
  <c r="P30" i="31"/>
  <c r="P31" i="31"/>
  <c r="P32" i="31"/>
  <c r="P33" i="31"/>
  <c r="P36" i="31"/>
  <c r="P37" i="31"/>
  <c r="P38" i="31"/>
  <c r="P39" i="31"/>
  <c r="U40" i="31"/>
  <c r="U41" i="31"/>
  <c r="T40" i="31"/>
  <c r="T41" i="31"/>
  <c r="V40" i="31"/>
  <c r="V41" i="31"/>
  <c r="P44" i="31"/>
  <c r="P45" i="31"/>
  <c r="U16" i="30"/>
  <c r="U17" i="30"/>
  <c r="T16" i="30"/>
  <c r="T17" i="30"/>
  <c r="V16" i="30"/>
  <c r="V17" i="30"/>
  <c r="V28" i="30"/>
  <c r="V29" i="30"/>
  <c r="R28" i="30"/>
  <c r="R29" i="30"/>
  <c r="U28" i="30"/>
  <c r="U29" i="30"/>
  <c r="V42" i="30"/>
  <c r="V43" i="30"/>
  <c r="R42" i="30"/>
  <c r="R43" i="30"/>
  <c r="U42" i="30"/>
  <c r="U43" i="30"/>
  <c r="U48" i="30"/>
  <c r="U49" i="30"/>
  <c r="T48" i="30"/>
  <c r="T49" i="30"/>
  <c r="V48" i="30"/>
  <c r="V49" i="30"/>
  <c r="V18" i="23"/>
  <c r="V19" i="23"/>
  <c r="R18" i="23"/>
  <c r="R19" i="23"/>
  <c r="U18" i="23"/>
  <c r="U19" i="23"/>
  <c r="V34" i="23"/>
  <c r="V35" i="23"/>
  <c r="R34" i="23"/>
  <c r="R35" i="23"/>
  <c r="U34" i="23"/>
  <c r="U35" i="23"/>
  <c r="V50" i="23"/>
  <c r="V51" i="23"/>
  <c r="R50" i="23"/>
  <c r="R51" i="23"/>
  <c r="U50" i="23"/>
  <c r="U51" i="23"/>
  <c r="S60" i="22"/>
  <c r="S61" i="22"/>
  <c r="S62" i="22"/>
  <c r="S63" i="22"/>
  <c r="S64" i="22"/>
  <c r="S65" i="22"/>
  <c r="S66" i="22"/>
  <c r="S67" i="22"/>
  <c r="S68" i="22"/>
  <c r="S69" i="22"/>
  <c r="S70" i="22"/>
  <c r="S71" i="22"/>
  <c r="S72" i="22"/>
  <c r="S73" i="22"/>
  <c r="S74" i="22"/>
  <c r="S75" i="22"/>
  <c r="S76" i="22"/>
  <c r="S77" i="22"/>
  <c r="S78" i="22"/>
  <c r="S79" i="22"/>
  <c r="V94" i="22"/>
  <c r="R94" i="22"/>
  <c r="U94" i="22"/>
  <c r="T94" i="22"/>
  <c r="S96" i="22"/>
  <c r="V98" i="22"/>
  <c r="R98" i="22"/>
  <c r="U98" i="22"/>
  <c r="T98" i="22"/>
  <c r="V104" i="22"/>
  <c r="R104" i="22"/>
  <c r="U104" i="22"/>
  <c r="S104" i="22"/>
  <c r="T106" i="22"/>
  <c r="U138" i="22"/>
  <c r="R138" i="22"/>
  <c r="V138" i="22"/>
  <c r="T142" i="22"/>
  <c r="V142" i="22"/>
  <c r="U142" i="22"/>
  <c r="T143" i="22"/>
  <c r="R143" i="22"/>
  <c r="V143" i="22"/>
  <c r="U147" i="22"/>
  <c r="T150" i="22"/>
  <c r="V150" i="22"/>
  <c r="U150" i="22"/>
  <c r="S150" i="22"/>
  <c r="V154" i="22"/>
  <c r="R154" i="22"/>
  <c r="U154" i="22"/>
  <c r="T160" i="22"/>
  <c r="S164" i="22"/>
  <c r="S168" i="22"/>
  <c r="T174" i="22"/>
  <c r="T175" i="22"/>
  <c r="V174" i="22"/>
  <c r="V175" i="22"/>
  <c r="U174" i="22"/>
  <c r="U175" i="22"/>
  <c r="R174" i="22"/>
  <c r="R175" i="22"/>
  <c r="S174" i="22"/>
  <c r="S175" i="22"/>
  <c r="V117" i="22"/>
  <c r="R117" i="22"/>
  <c r="U117" i="22"/>
  <c r="V118" i="22"/>
  <c r="R118" i="22"/>
  <c r="U118" i="22"/>
  <c r="V119" i="22"/>
  <c r="R119" i="22"/>
  <c r="U119" i="22"/>
  <c r="V120" i="22"/>
  <c r="R120" i="22"/>
  <c r="U120" i="22"/>
  <c r="V121" i="22"/>
  <c r="R121" i="22"/>
  <c r="U121" i="22"/>
  <c r="V122" i="22"/>
  <c r="R122" i="22"/>
  <c r="U122" i="22"/>
  <c r="V123" i="22"/>
  <c r="R123" i="22"/>
  <c r="U123" i="22"/>
  <c r="V124" i="22"/>
  <c r="R124" i="22"/>
  <c r="U124" i="22"/>
  <c r="V125" i="22"/>
  <c r="R125" i="22"/>
  <c r="U125" i="22"/>
  <c r="V126" i="22"/>
  <c r="R126" i="22"/>
  <c r="U126" i="22"/>
  <c r="V127" i="22"/>
  <c r="R127" i="22"/>
  <c r="U127" i="22"/>
  <c r="V128" i="22"/>
  <c r="R128" i="22"/>
  <c r="U128" i="22"/>
  <c r="V129" i="22"/>
  <c r="R129" i="22"/>
  <c r="U129" i="22"/>
  <c r="V130" i="22"/>
  <c r="R130" i="22"/>
  <c r="U130" i="22"/>
  <c r="V131" i="22"/>
  <c r="R131" i="22"/>
  <c r="U131" i="22"/>
  <c r="V132" i="22"/>
  <c r="R132" i="22"/>
  <c r="U132" i="22"/>
  <c r="V178" i="22"/>
  <c r="R178" i="22"/>
  <c r="S178" i="22"/>
  <c r="V176" i="22"/>
  <c r="R176" i="22"/>
  <c r="S176" i="22"/>
  <c r="V183" i="22"/>
  <c r="R183" i="22"/>
  <c r="U183" i="22"/>
  <c r="R44" i="31"/>
  <c r="R45" i="31"/>
  <c r="V44" i="31"/>
  <c r="V45" i="31"/>
  <c r="R52" i="31"/>
  <c r="R53" i="31"/>
  <c r="V52" i="31"/>
  <c r="V53" i="31"/>
  <c r="R60" i="31"/>
  <c r="R61" i="31"/>
  <c r="V60" i="31"/>
  <c r="V61" i="31"/>
  <c r="R18" i="30"/>
  <c r="R19" i="30"/>
  <c r="V18" i="30"/>
  <c r="V19" i="30"/>
  <c r="R24" i="30"/>
  <c r="R25" i="30"/>
  <c r="V24" i="30"/>
  <c r="V25" i="30"/>
  <c r="R36" i="30"/>
  <c r="R37" i="30"/>
  <c r="V36" i="30"/>
  <c r="V37" i="30"/>
  <c r="R44" i="30"/>
  <c r="R45" i="30"/>
  <c r="V44" i="30"/>
  <c r="V45" i="30"/>
  <c r="R52" i="30"/>
  <c r="R53" i="30"/>
  <c r="V52" i="30"/>
  <c r="V53" i="30"/>
  <c r="R60" i="30"/>
  <c r="R61" i="30"/>
  <c r="V60" i="30"/>
  <c r="V61" i="30"/>
  <c r="P12" i="22"/>
  <c r="P13" i="22"/>
  <c r="P14" i="22"/>
  <c r="P15" i="22"/>
  <c r="P16" i="22"/>
  <c r="P17" i="22"/>
  <c r="P18" i="22"/>
  <c r="P19" i="22"/>
  <c r="P20" i="22"/>
  <c r="P35" i="22"/>
  <c r="P36" i="22"/>
  <c r="P37" i="22"/>
  <c r="P38" i="22"/>
  <c r="P39" i="22"/>
  <c r="P42" i="22"/>
  <c r="P43" i="22"/>
  <c r="P44" i="22"/>
  <c r="P45" i="22"/>
  <c r="P46" i="22"/>
  <c r="P47" i="22"/>
  <c r="P48" i="22"/>
  <c r="P49" i="22"/>
  <c r="P50" i="22"/>
  <c r="P51" i="22"/>
  <c r="P52" i="22"/>
  <c r="P53" i="22"/>
  <c r="P54" i="22"/>
  <c r="P55" i="22"/>
  <c r="P56" i="22"/>
  <c r="P57" i="22"/>
  <c r="P58" i="22"/>
  <c r="P59" i="22"/>
  <c r="P60" i="22"/>
  <c r="P61" i="22"/>
  <c r="P62" i="22"/>
  <c r="P63" i="22"/>
  <c r="P64" i="22"/>
  <c r="P65" i="22"/>
  <c r="P66" i="22"/>
  <c r="P67" i="22"/>
  <c r="P68" i="22"/>
  <c r="P69" i="22"/>
  <c r="P70" i="22"/>
  <c r="P71" i="22"/>
  <c r="P72" i="22"/>
  <c r="P73" i="22"/>
  <c r="P74" i="22"/>
  <c r="P75" i="22"/>
  <c r="P76" i="22"/>
  <c r="P77" i="22"/>
  <c r="P78" i="22"/>
  <c r="P79" i="22"/>
  <c r="P93" i="22"/>
  <c r="P94" i="22"/>
  <c r="P95" i="22"/>
  <c r="P96" i="22"/>
  <c r="P97" i="22"/>
  <c r="P98" i="22"/>
  <c r="P99" i="22"/>
  <c r="P103" i="22"/>
  <c r="P104" i="22"/>
  <c r="P105" i="22"/>
  <c r="P106" i="22"/>
  <c r="P117" i="22"/>
  <c r="P118" i="22"/>
  <c r="P119" i="22"/>
  <c r="P120" i="22"/>
  <c r="P121" i="22"/>
  <c r="P122" i="22"/>
  <c r="P123" i="22"/>
  <c r="P124" i="22"/>
  <c r="P125" i="22"/>
  <c r="P126" i="22"/>
  <c r="P127" i="22"/>
  <c r="P128" i="22"/>
  <c r="P129" i="22"/>
  <c r="P130" i="22"/>
  <c r="P131" i="22"/>
  <c r="P132" i="22"/>
  <c r="S137" i="22"/>
  <c r="R140" i="22"/>
  <c r="S141" i="22"/>
  <c r="P143" i="22"/>
  <c r="R144" i="22"/>
  <c r="S145" i="22"/>
  <c r="P147" i="22"/>
  <c r="R148" i="22"/>
  <c r="S149" i="22"/>
  <c r="P151" i="22"/>
  <c r="S167" i="22"/>
  <c r="P169" i="22"/>
  <c r="R170" i="22"/>
  <c r="V172" i="22"/>
  <c r="V173" i="22"/>
  <c r="R172" i="22"/>
  <c r="R173" i="22"/>
  <c r="T172" i="22"/>
  <c r="T173" i="22"/>
  <c r="P176" i="22"/>
  <c r="V177" i="22"/>
  <c r="R177" i="22"/>
  <c r="T177" i="22"/>
  <c r="R180" i="22"/>
  <c r="S181" i="22"/>
  <c r="T185" i="22"/>
  <c r="P185" i="22"/>
  <c r="P138" i="22"/>
  <c r="S140" i="22"/>
  <c r="P142" i="22"/>
  <c r="S144" i="22"/>
  <c r="P146" i="22"/>
  <c r="S148" i="22"/>
  <c r="P150" i="22"/>
  <c r="V153" i="22"/>
  <c r="R153" i="22"/>
  <c r="T153" i="22"/>
  <c r="P154" i="22"/>
  <c r="V155" i="22"/>
  <c r="R155" i="22"/>
  <c r="T155" i="22"/>
  <c r="P156" i="22"/>
  <c r="N157" i="22"/>
  <c r="P158" i="22"/>
  <c r="V159" i="22"/>
  <c r="R159" i="22"/>
  <c r="T159" i="22"/>
  <c r="P160" i="22"/>
  <c r="V161" i="22"/>
  <c r="R161" i="22"/>
  <c r="T161" i="22"/>
  <c r="P162" i="22"/>
  <c r="N163" i="22"/>
  <c r="P164" i="22"/>
  <c r="V165" i="22"/>
  <c r="R165" i="22"/>
  <c r="T165" i="22"/>
  <c r="P168" i="22"/>
  <c r="S170" i="22"/>
  <c r="P174" i="22"/>
  <c r="P175" i="22"/>
  <c r="S180" i="22"/>
  <c r="P183" i="22"/>
  <c r="V184" i="22"/>
  <c r="R184" i="22"/>
  <c r="T184" i="22"/>
  <c r="P187" i="22"/>
  <c r="P188" i="22"/>
  <c r="T92" i="22"/>
  <c r="V156" i="22"/>
  <c r="S57" i="26"/>
  <c r="S59" i="26"/>
  <c r="S63" i="26"/>
  <c r="U23" i="31"/>
  <c r="U92" i="22"/>
  <c r="V34" i="22"/>
  <c r="S186" i="22"/>
  <c r="P34" i="22"/>
  <c r="R92" i="22"/>
  <c r="V171" i="22"/>
  <c r="R21" i="31"/>
  <c r="R57" i="26"/>
  <c r="R59" i="26"/>
  <c r="S22" i="31"/>
  <c r="P116" i="22"/>
  <c r="V23" i="31"/>
  <c r="S23" i="31"/>
  <c r="S92" i="22"/>
  <c r="T186" i="22"/>
  <c r="U156" i="22"/>
  <c r="R182" i="22"/>
  <c r="U139" i="22"/>
  <c r="R23" i="31"/>
  <c r="V21" i="31"/>
  <c r="V57" i="26"/>
  <c r="V59" i="26"/>
  <c r="S34" i="22"/>
  <c r="S21" i="22"/>
  <c r="S21" i="31"/>
  <c r="U57" i="26"/>
  <c r="U59" i="26"/>
  <c r="V92" i="22"/>
  <c r="T21" i="31"/>
  <c r="T182" i="22"/>
  <c r="P92" i="22"/>
  <c r="R116" i="22"/>
  <c r="S116" i="22"/>
  <c r="P179" i="22"/>
  <c r="T139" i="22"/>
  <c r="V116" i="22"/>
  <c r="S133" i="22"/>
  <c r="U34" i="22"/>
  <c r="P186" i="22"/>
  <c r="P171" i="22"/>
  <c r="R22" i="31"/>
  <c r="P182" i="22"/>
  <c r="T116" i="22"/>
  <c r="T179" i="22"/>
  <c r="U22" i="31"/>
  <c r="T22" i="31"/>
  <c r="V139" i="22"/>
  <c r="R179" i="22"/>
  <c r="R139" i="22"/>
  <c r="S49" i="25"/>
  <c r="T21" i="22"/>
  <c r="R152" i="22"/>
  <c r="T156" i="22"/>
  <c r="S156" i="22"/>
  <c r="R186" i="22"/>
  <c r="T80" i="22"/>
  <c r="U49" i="25"/>
  <c r="V152" i="22"/>
  <c r="T152" i="22"/>
  <c r="T49" i="25"/>
  <c r="T59" i="26"/>
  <c r="T63" i="26"/>
  <c r="T34" i="22"/>
  <c r="U116" i="22"/>
  <c r="V182" i="22"/>
  <c r="P152" i="22"/>
  <c r="P139" i="22"/>
  <c r="R171" i="22"/>
  <c r="S139" i="22"/>
  <c r="U186" i="22"/>
  <c r="U152" i="22"/>
  <c r="S63" i="23"/>
  <c r="P67" i="27"/>
  <c r="G81" i="27"/>
  <c r="J81" i="27"/>
  <c r="R133" i="22"/>
  <c r="R21" i="22"/>
  <c r="U15" i="23"/>
  <c r="U63" i="23"/>
  <c r="P13" i="26"/>
  <c r="S14" i="30"/>
  <c r="V14" i="30"/>
  <c r="R14" i="30"/>
  <c r="U14" i="30"/>
  <c r="T14" i="30"/>
  <c r="V67" i="27"/>
  <c r="P73" i="28"/>
  <c r="U67" i="27"/>
  <c r="P166" i="22"/>
  <c r="P133" i="22"/>
  <c r="P107" i="22"/>
  <c r="V179" i="22"/>
  <c r="P25" i="31"/>
  <c r="P65" i="31"/>
  <c r="G79" i="31"/>
  <c r="J79" i="31"/>
  <c r="V21" i="22"/>
  <c r="R15" i="23"/>
  <c r="R63" i="23"/>
  <c r="T171" i="22"/>
  <c r="U13" i="26"/>
  <c r="P59" i="26"/>
  <c r="P15" i="23"/>
  <c r="P63" i="23"/>
  <c r="G77" i="23"/>
  <c r="J77" i="23"/>
  <c r="S171" i="22"/>
  <c r="P21" i="22"/>
  <c r="S179" i="22"/>
  <c r="U133" i="22"/>
  <c r="U21" i="22"/>
  <c r="V13" i="25"/>
  <c r="V49" i="25"/>
  <c r="U171" i="22"/>
  <c r="U80" i="22"/>
  <c r="V13" i="26"/>
  <c r="T100" i="22"/>
  <c r="T107" i="22"/>
  <c r="V107" i="22"/>
  <c r="T67" i="27"/>
  <c r="P13" i="28"/>
  <c r="V157" i="22"/>
  <c r="R157" i="22"/>
  <c r="T157" i="22"/>
  <c r="S157" i="22"/>
  <c r="U157" i="22"/>
  <c r="P100" i="22"/>
  <c r="R13" i="25"/>
  <c r="R49" i="25"/>
  <c r="R80" i="22"/>
  <c r="U100" i="22"/>
  <c r="S107" i="22"/>
  <c r="T23" i="23"/>
  <c r="T63" i="23"/>
  <c r="V133" i="22"/>
  <c r="T20" i="31"/>
  <c r="S20" i="31"/>
  <c r="R20" i="31"/>
  <c r="U20" i="31"/>
  <c r="V20" i="31"/>
  <c r="V80" i="22"/>
  <c r="R100" i="22"/>
  <c r="U13" i="30"/>
  <c r="T13" i="30"/>
  <c r="R13" i="30"/>
  <c r="V13" i="30"/>
  <c r="S13" i="30"/>
  <c r="U107" i="22"/>
  <c r="S182" i="22"/>
  <c r="V163" i="22"/>
  <c r="R163" i="22"/>
  <c r="T163" i="22"/>
  <c r="S163" i="22"/>
  <c r="U163" i="22"/>
  <c r="S152" i="22"/>
  <c r="P80" i="22"/>
  <c r="V186" i="22"/>
  <c r="V19" i="31"/>
  <c r="R19" i="31"/>
  <c r="T19" i="31"/>
  <c r="S19" i="31"/>
  <c r="U19" i="31"/>
  <c r="V15" i="23"/>
  <c r="V63" i="23"/>
  <c r="S80" i="22"/>
  <c r="P13" i="25"/>
  <c r="P49" i="25"/>
  <c r="G63" i="25"/>
  <c r="J63" i="25"/>
  <c r="R13" i="26"/>
  <c r="S100" i="22"/>
  <c r="V100" i="22"/>
  <c r="P15" i="30"/>
  <c r="P65" i="30"/>
  <c r="G79" i="30"/>
  <c r="J79" i="30"/>
  <c r="S12" i="30"/>
  <c r="V12" i="30"/>
  <c r="R12" i="30"/>
  <c r="U12" i="30"/>
  <c r="T12" i="30"/>
  <c r="R67" i="27"/>
  <c r="R107" i="22"/>
  <c r="S67" i="27"/>
  <c r="V72" i="28"/>
  <c r="V73" i="28"/>
  <c r="R72" i="28"/>
  <c r="R73" i="28"/>
  <c r="U72" i="28"/>
  <c r="U73" i="28"/>
  <c r="S72" i="28"/>
  <c r="S73" i="28"/>
  <c r="T72" i="28"/>
  <c r="T73" i="28"/>
  <c r="P83" i="28"/>
  <c r="G97" i="28"/>
  <c r="J97" i="28"/>
  <c r="V25" i="31"/>
  <c r="V65" i="31"/>
  <c r="U63" i="26"/>
  <c r="R63" i="26"/>
  <c r="U25" i="31"/>
  <c r="U65" i="31"/>
  <c r="T166" i="22"/>
  <c r="T190" i="22"/>
  <c r="P190" i="22"/>
  <c r="G204" i="22"/>
  <c r="J204" i="22"/>
  <c r="P63" i="26"/>
  <c r="G77" i="26"/>
  <c r="J77" i="26"/>
  <c r="T25" i="31"/>
  <c r="T65" i="31"/>
  <c r="U83" i="28"/>
  <c r="R166" i="22"/>
  <c r="R190" i="22"/>
  <c r="V63" i="26"/>
  <c r="S83" i="28"/>
  <c r="U166" i="22"/>
  <c r="U190" i="22"/>
  <c r="V166" i="22"/>
  <c r="V190" i="22"/>
  <c r="S166" i="22"/>
  <c r="S190" i="22"/>
  <c r="U15" i="30"/>
  <c r="U65" i="30"/>
  <c r="R15" i="30"/>
  <c r="R65" i="30"/>
  <c r="V15" i="30"/>
  <c r="V65" i="30"/>
  <c r="S25" i="31"/>
  <c r="S65" i="31"/>
  <c r="V83" i="28"/>
  <c r="T83" i="28"/>
  <c r="T15" i="30"/>
  <c r="T65" i="30"/>
  <c r="S15" i="30"/>
  <c r="S65" i="30"/>
  <c r="R25" i="31"/>
  <c r="R65" i="31"/>
  <c r="R83" i="28"/>
</calcChain>
</file>

<file path=xl/comments1.xml><?xml version="1.0" encoding="utf-8"?>
<comments xmlns="http://schemas.openxmlformats.org/spreadsheetml/2006/main">
  <authors>
    <author>k.lamnouar</author>
  </authors>
  <commentList>
    <comment ref="G97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TRATER</t>
        </r>
      </text>
    </comment>
  </commentList>
</comments>
</file>

<file path=xl/comments2.xml><?xml version="1.0" encoding="utf-8"?>
<comments xmlns="http://schemas.openxmlformats.org/spreadsheetml/2006/main">
  <authors>
    <author>k.lamnouar</author>
  </authors>
  <commentList>
    <comment ref="G77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URI</t>
        </r>
      </text>
    </comment>
  </commentList>
</comments>
</file>

<file path=xl/comments3.xml><?xml version="1.0" encoding="utf-8"?>
<comments xmlns="http://schemas.openxmlformats.org/spreadsheetml/2006/main">
  <authors>
    <author>k.lamnouar</author>
  </authors>
  <commentList>
    <comment ref="G79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ACHCHARIKA AL MOTTAHIDA</t>
        </r>
      </text>
    </comment>
  </commentList>
</comments>
</file>

<file path=xl/comments4.xml><?xml version="1.0" encoding="utf-8"?>
<comments xmlns="http://schemas.openxmlformats.org/spreadsheetml/2006/main">
  <authors>
    <author>k.lamnouar</author>
  </authors>
  <commentList>
    <comment ref="G79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ACHCHARIKA AL MOTTAHIDA</t>
        </r>
      </text>
    </comment>
  </commentList>
</comments>
</file>

<file path=xl/comments5.xml><?xml version="1.0" encoding="utf-8"?>
<comments xmlns="http://schemas.openxmlformats.org/spreadsheetml/2006/main">
  <authors>
    <author>k.lamnouar</author>
  </authors>
  <commentList>
    <comment ref="K185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407DH ESP LE 30/10/2015</t>
        </r>
      </text>
    </comment>
  </commentList>
</comments>
</file>

<file path=xl/sharedStrings.xml><?xml version="1.0" encoding="utf-8"?>
<sst xmlns="http://schemas.openxmlformats.org/spreadsheetml/2006/main" count="1115" uniqueCount="230">
  <si>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</si>
  <si>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</si>
  <si>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</si>
  <si>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</si>
  <si>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</si>
  <si>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</si>
  <si>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</si>
  <si>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MONNAIE  :</t>
  </si>
  <si>
    <t>MAD</t>
  </si>
  <si>
    <t>TVA  :</t>
  </si>
  <si>
    <t>Maître d'Œuvre :</t>
  </si>
  <si>
    <t>RETENUES</t>
  </si>
  <si>
    <t>CAUTIONS</t>
  </si>
  <si>
    <t>Signature OS :</t>
  </si>
  <si>
    <t>AD</t>
  </si>
  <si>
    <t>Date contractuelle livraison :</t>
  </si>
  <si>
    <t>RG</t>
  </si>
  <si>
    <t xml:space="preserve">  -  TOTAL C.A. H.T.</t>
  </si>
  <si>
    <t>Date prévisionnelle FDC :</t>
  </si>
  <si>
    <t>BF</t>
  </si>
  <si>
    <t xml:space="preserve">  -  TOTAL C.A. TTC</t>
  </si>
  <si>
    <t>m.a.j</t>
  </si>
  <si>
    <t>SOLDE A PAYER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</si>
  <si>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</si>
  <si>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</si>
  <si>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</si>
  <si>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</si>
  <si>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</si>
  <si>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</si>
  <si>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</si>
  <si>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</si>
  <si>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</si>
  <si>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</si>
  <si>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</si>
  <si>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</si>
  <si>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</si>
  <si>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</si>
  <si>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</si>
  <si>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</si>
  <si>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</si>
  <si>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</si>
  <si>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</si>
  <si>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</si>
  <si>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</si>
  <si>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</si>
  <si>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</si>
  <si>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</si>
  <si>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</si>
  <si>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</si>
  <si>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 xml:space="preserve"> FACTURE  AU STADE hors A.D.</t>
  </si>
  <si>
    <t>% présenté / marché total</t>
  </si>
  <si>
    <t>% réglé / situations</t>
  </si>
  <si>
    <t>ECHEANCE A VENIR</t>
  </si>
  <si>
    <t>NON</t>
  </si>
  <si>
    <t>EXIGIBLE</t>
  </si>
  <si>
    <t xml:space="preserve">  -  R+1</t>
  </si>
  <si>
    <t>TTC</t>
  </si>
  <si>
    <t>HT</t>
  </si>
  <si>
    <t>REGLE AU STADE y/c  A.D.</t>
  </si>
  <si>
    <t>Carrière Bir Khalifa</t>
  </si>
  <si>
    <t xml:space="preserve">  -  AVENANT N°</t>
  </si>
  <si>
    <t>Clients</t>
  </si>
  <si>
    <t>ASDEC</t>
  </si>
  <si>
    <t>ASSKHOR</t>
  </si>
  <si>
    <t>CCS</t>
  </si>
  <si>
    <t>HOLCIM</t>
  </si>
  <si>
    <t>LAFARGE</t>
  </si>
  <si>
    <t>KOUFACHA</t>
  </si>
  <si>
    <t>SOMAGEC</t>
  </si>
  <si>
    <t>EMT</t>
  </si>
  <si>
    <t>STAIPREFA</t>
  </si>
  <si>
    <t>TRAMCO</t>
  </si>
  <si>
    <t>ASMENT TEMARA</t>
  </si>
  <si>
    <t>BETOCIM</t>
  </si>
  <si>
    <t>CEPB</t>
  </si>
  <si>
    <t>GTR</t>
  </si>
  <si>
    <t>HOUAR</t>
  </si>
  <si>
    <t>LRM</t>
  </si>
  <si>
    <t>MBEC MAROC</t>
  </si>
  <si>
    <t>REVEROC</t>
  </si>
  <si>
    <t>UNIVER BETON</t>
  </si>
  <si>
    <t>31/12/2012</t>
  </si>
  <si>
    <t>BARZ TRANSPORT</t>
  </si>
  <si>
    <t>EL GATI ABDELKRIM</t>
  </si>
  <si>
    <t>MIZOU PLANTATION</t>
  </si>
  <si>
    <t>STELLA</t>
  </si>
  <si>
    <t>WAFA BALASTIERE</t>
  </si>
  <si>
    <t>MATX.007012 / Projet Carrière</t>
  </si>
  <si>
    <t>ANNEE 2001</t>
  </si>
  <si>
    <t>HRIZI CONSTRUCTION</t>
  </si>
  <si>
    <t>TRP</t>
  </si>
  <si>
    <t>ENCT</t>
  </si>
  <si>
    <t>TRATER</t>
  </si>
  <si>
    <t>URI</t>
  </si>
  <si>
    <t>ACHCHARIKA AL MOTTAHIDA</t>
  </si>
  <si>
    <t>ANNEE 2002</t>
  </si>
  <si>
    <t>ANNEE 2003</t>
  </si>
  <si>
    <t>ARCOBETON</t>
  </si>
  <si>
    <t>ATLENT sarl</t>
  </si>
  <si>
    <t>CHARIKAT ALYASSIN</t>
  </si>
  <si>
    <t>COMAREV</t>
  </si>
  <si>
    <t>LAMSETRI</t>
  </si>
  <si>
    <t>M2A</t>
  </si>
  <si>
    <t>SELLAMI</t>
  </si>
  <si>
    <t>STMCM</t>
  </si>
  <si>
    <t>MATX.007011 / Projet Carrière</t>
  </si>
  <si>
    <t>ANNEE 2000</t>
  </si>
  <si>
    <t>BELKADI HADDOU</t>
  </si>
  <si>
    <t>BENCOTRA</t>
  </si>
  <si>
    <t>COMPLEXE SCOL. MED KHALIL</t>
  </si>
  <si>
    <t>DIRECTION REG EQUIPEMENT</t>
  </si>
  <si>
    <t>COMMUNE RURALE AIN ATTIG</t>
  </si>
  <si>
    <t>GEMATRAC</t>
  </si>
  <si>
    <t>GHANDOUR  (GTP)</t>
  </si>
  <si>
    <t>ITALCAVE</t>
  </si>
  <si>
    <t>KIRA CAMION</t>
  </si>
  <si>
    <t>KOMELEC</t>
  </si>
  <si>
    <t>LOUBARIS</t>
  </si>
  <si>
    <t>MANDOLA</t>
  </si>
  <si>
    <t>MAROC. TRASP.MECAN (MTM)</t>
  </si>
  <si>
    <t>MERYAS</t>
  </si>
  <si>
    <t>MEHDYA MATERIEL</t>
  </si>
  <si>
    <t>MTRT</t>
  </si>
  <si>
    <t>MATCOMAR</t>
  </si>
  <si>
    <t>NELGYNE</t>
  </si>
  <si>
    <t>PARAMEN GROUPE</t>
  </si>
  <si>
    <t>PERMASOL</t>
  </si>
  <si>
    <t>PREFECTURE SKHIRAT TEMARA</t>
  </si>
  <si>
    <t>PROVAC</t>
  </si>
  <si>
    <t>REV- SOL</t>
  </si>
  <si>
    <t>SILFA</t>
  </si>
  <si>
    <t>SOCA</t>
  </si>
  <si>
    <t>SOGEA</t>
  </si>
  <si>
    <t>SOTRAVO</t>
  </si>
  <si>
    <t>STE ASSKHOR</t>
  </si>
  <si>
    <t>STE FEZOUATA</t>
  </si>
  <si>
    <t>STE LEMSETRI</t>
  </si>
  <si>
    <t>STE ZAER</t>
  </si>
  <si>
    <t>SOCIETE LADID</t>
  </si>
  <si>
    <t>SOCIETE INTER TRACT</t>
  </si>
  <si>
    <t>STE EL MAKKAOUI DE CONST</t>
  </si>
  <si>
    <t>STE COTREX</t>
  </si>
  <si>
    <t>TRANSHIL</t>
  </si>
  <si>
    <t>TRANS-SABLE</t>
  </si>
  <si>
    <t>TRANS-IFTIKHAR</t>
  </si>
  <si>
    <t>TRACTOP</t>
  </si>
  <si>
    <t>WAFA LILACHGHAL</t>
  </si>
  <si>
    <t>EMACOTRA</t>
  </si>
  <si>
    <t>LEBRINI</t>
  </si>
  <si>
    <t>MAZGOUR AISSA</t>
  </si>
  <si>
    <t>DUMEZ MAROC</t>
  </si>
  <si>
    <t>OMAIT</t>
  </si>
  <si>
    <t>QUALIBAT</t>
  </si>
  <si>
    <t>STE DRISSAT DRISS</t>
  </si>
  <si>
    <t>SOGECTRAD</t>
  </si>
  <si>
    <t>STE IBNOU ZAHIR</t>
  </si>
  <si>
    <t>SBABOU FRERES</t>
  </si>
  <si>
    <t>LADID</t>
  </si>
  <si>
    <t>OULAD MIMOUN</t>
  </si>
  <si>
    <t>BELMRI</t>
  </si>
  <si>
    <t>REV-SOL</t>
  </si>
  <si>
    <t>SENOMAR</t>
  </si>
  <si>
    <t>S.G.T.M</t>
  </si>
  <si>
    <t>SAMAC</t>
  </si>
  <si>
    <t>ZAER</t>
  </si>
  <si>
    <t>PROD A RECEVOIR</t>
  </si>
  <si>
    <t>COTER</t>
  </si>
  <si>
    <t>MARRAKECH(ENT MASROUBI)</t>
  </si>
  <si>
    <t>NICE TRAVAUX</t>
  </si>
  <si>
    <t>OTHMA</t>
  </si>
  <si>
    <t>OULD HLAL</t>
  </si>
  <si>
    <t>PREFAB DU GHARB</t>
  </si>
  <si>
    <t>SAMLALE Med</t>
  </si>
  <si>
    <t>S.B.R.C</t>
  </si>
  <si>
    <t>TGCC</t>
  </si>
  <si>
    <t>31/12/2008</t>
  </si>
  <si>
    <t>INJAZ SAKANE</t>
  </si>
  <si>
    <t>SOCAYOUR</t>
  </si>
  <si>
    <t>SOGEA/DUMEZ</t>
  </si>
  <si>
    <t>SAFARINI</t>
  </si>
  <si>
    <t>SNCE</t>
  </si>
  <si>
    <t>S.T.B.R CONSTRUCTION</t>
  </si>
  <si>
    <t>STE EDIL MATERIEL</t>
  </si>
  <si>
    <t>TIC</t>
  </si>
  <si>
    <t>MATX.007008 / Projet Carrière</t>
  </si>
  <si>
    <t>Régul créance Sté URI le 31/07/2012</t>
  </si>
  <si>
    <t>31/12/2007</t>
  </si>
  <si>
    <t>Protocole de 29/12/2014</t>
  </si>
  <si>
    <t>LA GENERALE DES RESEAUX</t>
  </si>
  <si>
    <t>MATX.007007 / Projet Carrière</t>
  </si>
  <si>
    <t>31/12/2006</t>
  </si>
  <si>
    <t>ALMANCHAE</t>
  </si>
  <si>
    <t>COMET</t>
  </si>
  <si>
    <t>EL YAMANI</t>
  </si>
  <si>
    <t>MAROC ROCK DRILING</t>
  </si>
  <si>
    <t>NIVE TRAVAUX</t>
  </si>
  <si>
    <t>STAM</t>
  </si>
  <si>
    <t>MATX.007006 / Projet Carrière</t>
  </si>
  <si>
    <t>31/12/2005</t>
  </si>
  <si>
    <t>BATI DU SUD</t>
  </si>
  <si>
    <t>CHRONOBAT</t>
  </si>
  <si>
    <t>EMB</t>
  </si>
  <si>
    <t>MOBADEGH</t>
  </si>
  <si>
    <t>TRAVEET</t>
  </si>
  <si>
    <t>MATX.007005/ Projet Carrière</t>
  </si>
  <si>
    <t>31/12/2010</t>
  </si>
  <si>
    <t>ACH ALMOUTTAHIDA</t>
  </si>
  <si>
    <t>COBATIP</t>
  </si>
  <si>
    <t>KELLER</t>
  </si>
  <si>
    <t>MATX.007010 / Projet Carrière</t>
  </si>
  <si>
    <t>PROTOCOLE ACHCHARIKA AL MOTTAHIDA</t>
  </si>
  <si>
    <t>31/12/2009</t>
  </si>
  <si>
    <t>AL MANCHAE</t>
  </si>
  <si>
    <t>MAGHNESITE DU MAROC</t>
  </si>
  <si>
    <t>MATX.007009 / Projet Carrière</t>
  </si>
  <si>
    <t>31/12/2003</t>
  </si>
  <si>
    <t>ACHARIKA AL MOTTAHIDA</t>
  </si>
  <si>
    <t>STE AL MANCHA</t>
  </si>
  <si>
    <t>C. EL MOUTIA</t>
  </si>
  <si>
    <t>SCADIA</t>
  </si>
  <si>
    <t>STE FAZOUATA</t>
  </si>
  <si>
    <t>STE AIT OUSSA</t>
  </si>
  <si>
    <t>STE BUILDER</t>
  </si>
  <si>
    <t>STE LEBRINI</t>
  </si>
  <si>
    <t>TOTAL ANNEE 2000</t>
  </si>
  <si>
    <t>TOTAL ANNEE 2001</t>
  </si>
  <si>
    <t>DIVERS CLIENTS</t>
  </si>
  <si>
    <t>TOTAL ANNEE 2002</t>
  </si>
  <si>
    <t>TOTAL ANNEE 2003</t>
  </si>
  <si>
    <t>7000--&gt;7003 / Projet Carrière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</si>
</sst>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_-* #,##0\ _F_-;\-* #,##0\ _F_-;_-* &quot;-&quot;??\ _F_-;_-@_-"/>
    <numFmt numFmtId="165" formatCode="0&quot; Jours&quot;"/>
    <numFmt numFmtId="166" formatCode="d/m/yy;@"/>
    <numFmt numFmtId="167" formatCode="[$-40C]mmm\-yy;@"/>
    <numFmt numFmtId="168" formatCode="_-* #,##0.00\ [$€-1]_-;\-* #,##0.00\ [$€-1]_-;_-* &quot;-&quot;??\ [$€-1]_-"/>
    <numFmt numFmtId="169" formatCode="#,##0.00;[Red]\-#,##0.00"/>
    <numFmt numFmtId="170" formatCode="#,##0.0"/>
    <numFmt numFmtId="171" formatCode="#,##0_);\(#,##0\)"/>
    <numFmt numFmtId="172" formatCode="dd/mm/yy;@"/>
    <numFmt numFmtId="173" formatCode="[$-40C]mmmm\-yy;@"/>
  </numFmts>
  <fonts count="41"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10"/>
      <name val="Book Antiqua"/>
      <family val="1"/>
    </font>
    <font>
      <b/>
      <u/>
      <sz val="10"/>
      <name val="Book Antiqua"/>
      <family val="1"/>
    </font>
    <font>
      <b/>
      <sz val="11"/>
      <name val="Book Antiqua"/>
      <family val="1"/>
    </font>
    <font>
      <sz val="11"/>
      <name val="Book Antiqua"/>
      <family val="1"/>
    </font>
    <font>
      <sz val="11"/>
      <name val="SWISS"/>
    </font>
    <font>
      <sz val="9"/>
      <name val="Book Antiqua"/>
      <family val="1"/>
    </font>
    <font>
      <sz val="1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CG Times"/>
    </font>
    <font>
      <sz val="10"/>
      <name val="Courier"/>
      <family val="3"/>
    </font>
    <font>
      <sz val="10"/>
      <name val="Univers (WN)"/>
    </font>
    <font>
      <sz val="11"/>
      <color theme="1"/>
      <name val="Calibri"/>
      <family val="2"/>
      <scheme val="minor"/>
    </font>
    <font>
      <b/>
      <u/>
      <sz val="14"/>
      <color rgb="FF000000"/>
      <name val="Arial Black"/>
      <family val="2"/>
    </font>
    <font>
      <b/>
      <sz val="11"/>
      <color rgb="FF000000"/>
      <name val="Arial Black"/>
      <family val="2"/>
    </font>
    <font>
      <sz val="10"/>
      <color rgb="FF000000"/>
      <name val="Arial"/>
      <family val="2"/>
    </font>
    <font>
      <b/>
      <sz val="12"/>
      <color rgb="FF000000"/>
      <name val="Book Antiqua"/>
      <family val="1"/>
    </font>
    <font>
      <sz val="7"/>
      <color rgb="FF000000"/>
      <name val="Arial"/>
      <family val="2"/>
    </font>
    <font>
      <b/>
      <u/>
      <sz val="9"/>
      <color rgb="FF000000"/>
      <name val="Arial"/>
      <family val="2"/>
    </font>
    <font>
      <b/>
      <sz val="16"/>
      <color rgb="FF000000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u/>
      <sz val="16"/>
      <color theme="1"/>
      <name val="Book Antiqua"/>
      <family val="1"/>
    </font>
    <font>
      <b/>
      <sz val="11"/>
      <color theme="1"/>
      <name val="Book Antiqua"/>
      <family val="1"/>
    </font>
    <font>
      <sz val="10"/>
      <color rgb="FFFF0000"/>
      <name val="Book Antiqua"/>
      <family val="1"/>
    </font>
    <font>
      <sz val="10"/>
      <color theme="1"/>
      <name val="Book Antiqua"/>
      <family val="1"/>
    </font>
    <font>
      <sz val="8"/>
      <color theme="1"/>
      <name val="Book Antiqua"/>
      <family val="1"/>
    </font>
    <font>
      <sz val="11"/>
      <color rgb="FF000000"/>
      <name val="Calibri"/>
      <family val="2"/>
      <scheme val="minor"/>
    </font>
    <font>
      <b/>
      <u/>
      <sz val="11"/>
      <color theme="1"/>
      <name val="Book Antiqua"/>
      <family val="1"/>
    </font>
    <font>
      <b/>
      <sz val="8"/>
      <name val="Book Antiqua"/>
      <family val="1"/>
    </font>
    <font>
      <b/>
      <sz val="10"/>
      <color theme="1"/>
      <name val="Book Antiqua"/>
      <family val="1"/>
    </font>
    <font>
      <b/>
      <sz val="9"/>
      <name val="Book Antiqua"/>
      <family val="1"/>
    </font>
    <font>
      <b/>
      <sz val="9"/>
      <color theme="1"/>
      <name val="Book Antiqua"/>
      <family val="1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9">
    <xf numFmtId="0" fontId="0" fillId="0" borderId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49" fontId="17" fillId="2" borderId="0">
      <alignment horizontal="left" vertical="top" wrapText="1"/>
    </xf>
    <xf numFmtId="49" fontId="18" fillId="2" borderId="0">
      <alignment horizontal="left" vertical="top" wrapText="1"/>
    </xf>
    <xf numFmtId="49" fontId="18" fillId="2" borderId="0">
      <alignment horizontal="left" vertical="top" wrapText="1"/>
    </xf>
    <xf numFmtId="49" fontId="18" fillId="2" borderId="0">
      <alignment horizontal="left" vertical="top" wrapText="1"/>
    </xf>
    <xf numFmtId="0" fontId="10" fillId="17" borderId="26" applyNumberFormat="0" applyFont="0" applyAlignment="0" applyProtection="0"/>
    <xf numFmtId="0" fontId="10" fillId="17" borderId="26" applyNumberFormat="0" applyFont="0" applyAlignment="0" applyProtection="0"/>
    <xf numFmtId="0" fontId="10" fillId="17" borderId="26" applyNumberFormat="0" applyFont="0" applyAlignment="0" applyProtection="0"/>
    <xf numFmtId="0" fontId="16" fillId="17" borderId="26" applyNumberFormat="0" applyFont="0" applyAlignment="0" applyProtection="0"/>
    <xf numFmtId="168" fontId="11" fillId="0" borderId="0" applyFont="0" applyFill="0" applyBorder="0" applyAlignment="0" applyProtection="0"/>
    <xf numFmtId="49" fontId="19" fillId="2" borderId="0">
      <alignment horizontal="left" vertical="top"/>
    </xf>
    <xf numFmtId="49" fontId="20" fillId="2" borderId="0">
      <alignment horizontal="left" vertical="top"/>
    </xf>
    <xf numFmtId="43" fontId="1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3" fontId="13" fillId="0" borderId="0"/>
    <xf numFmtId="0" fontId="14" fillId="0" borderId="0"/>
    <xf numFmtId="0" fontId="10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1" fontId="15" fillId="0" borderId="0">
      <alignment vertical="center"/>
    </xf>
    <xf numFmtId="169" fontId="7" fillId="0" borderId="0"/>
    <xf numFmtId="9" fontId="1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49" fontId="21" fillId="2" borderId="0">
      <alignment vertical="top" wrapText="1"/>
    </xf>
    <xf numFmtId="49" fontId="22" fillId="2" borderId="0">
      <alignment horizontal="left" vertical="top" wrapText="1"/>
    </xf>
    <xf numFmtId="49" fontId="23" fillId="2" borderId="0">
      <alignment horizontal="left" vertical="top"/>
    </xf>
    <xf numFmtId="0" fontId="32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9" fontId="7" fillId="0" borderId="0"/>
    <xf numFmtId="171" fontId="11" fillId="0" borderId="0" applyFont="0" applyFill="0" applyBorder="0" applyAlignment="0" applyProtection="0"/>
    <xf numFmtId="0" fontId="11" fillId="0" borderId="0"/>
    <xf numFmtId="0" fontId="11" fillId="0" borderId="0"/>
    <xf numFmtId="0" fontId="38" fillId="0" borderId="0">
      <alignment vertical="top"/>
    </xf>
    <xf numFmtId="0" fontId="12" fillId="0" borderId="0"/>
  </cellStyleXfs>
  <cellXfs count="161">
    <xf numFmtId="0" fontId="0" fillId="0" borderId="0" xfId="0"/>
    <xf numFmtId="49" fontId="1" fillId="18" borderId="1" xfId="48" applyNumberFormat="1" applyFont="1" applyFill="1" applyBorder="1" applyAlignment="1" applyProtection="1">
      <alignment horizontal="left" vertical="center"/>
    </xf>
    <xf numFmtId="164" fontId="1" fillId="18" borderId="2" xfId="48" applyNumberFormat="1" applyFont="1" applyFill="1" applyBorder="1" applyAlignment="1" applyProtection="1">
      <alignment horizontal="left" vertical="center"/>
    </xf>
    <xf numFmtId="0" fontId="24" fillId="19" borderId="1" xfId="0" quotePrefix="1" applyFont="1" applyFill="1" applyBorder="1" applyAlignment="1">
      <alignment vertical="center"/>
    </xf>
    <xf numFmtId="0" fontId="24" fillId="19" borderId="2" xfId="0" applyFont="1" applyFill="1" applyBorder="1" applyAlignment="1">
      <alignment vertical="center"/>
    </xf>
    <xf numFmtId="0" fontId="24" fillId="19" borderId="2" xfId="0" applyFont="1" applyFill="1" applyBorder="1" applyAlignment="1">
      <alignment horizontal="right" vertical="center"/>
    </xf>
    <xf numFmtId="0" fontId="25" fillId="19" borderId="3" xfId="0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1" fillId="18" borderId="4" xfId="48" applyNumberFormat="1" applyFont="1" applyFill="1" applyBorder="1" applyAlignment="1" applyProtection="1">
      <alignment horizontal="left" vertical="center"/>
    </xf>
    <xf numFmtId="164" fontId="1" fillId="18" borderId="0" xfId="48" applyNumberFormat="1" applyFont="1" applyFill="1" applyBorder="1" applyAlignment="1" applyProtection="1">
      <alignment horizontal="left" vertical="center"/>
    </xf>
    <xf numFmtId="0" fontId="24" fillId="19" borderId="4" xfId="0" quotePrefix="1" applyFont="1" applyFill="1" applyBorder="1" applyAlignment="1">
      <alignment vertical="center"/>
    </xf>
    <xf numFmtId="0" fontId="24" fillId="19" borderId="0" xfId="0" applyFont="1" applyFill="1" applyBorder="1" applyAlignment="1">
      <alignment vertical="center"/>
    </xf>
    <xf numFmtId="0" fontId="24" fillId="19" borderId="5" xfId="0" applyFont="1" applyFill="1" applyBorder="1" applyAlignment="1">
      <alignment vertical="center"/>
    </xf>
    <xf numFmtId="49" fontId="4" fillId="18" borderId="5" xfId="48" applyNumberFormat="1" applyFont="1" applyFill="1" applyBorder="1" applyAlignment="1" applyProtection="1">
      <alignment horizontal="center" vertical="center"/>
      <protection locked="0"/>
    </xf>
    <xf numFmtId="49" fontId="2" fillId="18" borderId="5" xfId="48" applyNumberFormat="1" applyFont="1" applyFill="1" applyBorder="1" applyAlignment="1" applyProtection="1">
      <alignment vertical="center"/>
      <protection locked="0"/>
    </xf>
    <xf numFmtId="49" fontId="5" fillId="18" borderId="0" xfId="48" applyNumberFormat="1" applyFont="1" applyFill="1" applyBorder="1" applyAlignment="1" applyProtection="1">
      <alignment horizontal="left" vertical="center"/>
      <protection locked="0"/>
    </xf>
    <xf numFmtId="164" fontId="1" fillId="18" borderId="0" xfId="48" applyNumberFormat="1" applyFont="1" applyFill="1" applyBorder="1" applyAlignment="1" applyProtection="1">
      <alignment horizontal="left" vertical="center"/>
      <protection locked="0"/>
    </xf>
    <xf numFmtId="164" fontId="1" fillId="18" borderId="5" xfId="48" applyNumberFormat="1" applyFont="1" applyFill="1" applyBorder="1" applyAlignment="1" applyProtection="1">
      <alignment horizontal="left" vertical="center"/>
      <protection locked="0"/>
    </xf>
    <xf numFmtId="49" fontId="6" fillId="18" borderId="0" xfId="48" applyNumberFormat="1" applyFont="1" applyFill="1" applyBorder="1" applyAlignment="1" applyProtection="1">
      <alignment vertical="center"/>
      <protection locked="0"/>
    </xf>
    <xf numFmtId="49" fontId="1" fillId="18" borderId="0" xfId="48" applyNumberFormat="1" applyFont="1" applyFill="1" applyBorder="1" applyAlignment="1" applyProtection="1">
      <alignment vertical="center"/>
      <protection locked="0"/>
    </xf>
    <xf numFmtId="49" fontId="1" fillId="18" borderId="5" xfId="48" applyNumberFormat="1" applyFont="1" applyFill="1" applyBorder="1" applyAlignment="1" applyProtection="1">
      <alignment vertical="center"/>
      <protection locked="0"/>
    </xf>
    <xf numFmtId="0" fontId="28" fillId="19" borderId="4" xfId="0" quotePrefix="1" applyFont="1" applyFill="1" applyBorder="1" applyAlignment="1">
      <alignment vertical="center"/>
    </xf>
    <xf numFmtId="0" fontId="28" fillId="19" borderId="0" xfId="0" applyFont="1" applyFill="1" applyBorder="1" applyAlignment="1">
      <alignment vertical="center"/>
    </xf>
    <xf numFmtId="49" fontId="1" fillId="18" borderId="6" xfId="48" applyNumberFormat="1" applyFont="1" applyFill="1" applyBorder="1" applyAlignment="1" applyProtection="1">
      <alignment horizontal="left" vertical="center"/>
    </xf>
    <xf numFmtId="164" fontId="1" fillId="18" borderId="7" xfId="48" applyNumberFormat="1" applyFont="1" applyFill="1" applyBorder="1" applyAlignment="1" applyProtection="1">
      <alignment horizontal="left" vertical="center"/>
    </xf>
    <xf numFmtId="49" fontId="6" fillId="18" borderId="7" xfId="48" applyNumberFormat="1" applyFont="1" applyFill="1" applyBorder="1" applyAlignment="1" applyProtection="1">
      <alignment vertical="center"/>
      <protection locked="0"/>
    </xf>
    <xf numFmtId="49" fontId="1" fillId="18" borderId="7" xfId="48" applyNumberFormat="1" applyFont="1" applyFill="1" applyBorder="1" applyAlignment="1" applyProtection="1">
      <alignment vertical="center"/>
      <protection locked="0"/>
    </xf>
    <xf numFmtId="49" fontId="1" fillId="18" borderId="8" xfId="48" applyNumberFormat="1" applyFont="1" applyFill="1" applyBorder="1" applyAlignment="1" applyProtection="1">
      <alignment vertical="center"/>
      <protection locked="0"/>
    </xf>
    <xf numFmtId="0" fontId="28" fillId="19" borderId="6" xfId="0" quotePrefix="1" applyFont="1" applyFill="1" applyBorder="1" applyAlignment="1">
      <alignment vertical="center"/>
    </xf>
    <xf numFmtId="0" fontId="28" fillId="19" borderId="7" xfId="0" applyFont="1" applyFill="1" applyBorder="1" applyAlignment="1">
      <alignment vertical="center"/>
    </xf>
    <xf numFmtId="0" fontId="24" fillId="19" borderId="7" xfId="0" applyFont="1" applyFill="1" applyBorder="1" applyAlignment="1">
      <alignment vertical="center"/>
    </xf>
    <xf numFmtId="0" fontId="24" fillId="19" borderId="8" xfId="0" applyFont="1" applyFill="1" applyBorder="1" applyAlignment="1">
      <alignment vertical="center"/>
    </xf>
    <xf numFmtId="166" fontId="29" fillId="0" borderId="0" xfId="0" applyNumberFormat="1" applyFont="1" applyAlignment="1">
      <alignment vertical="center"/>
    </xf>
    <xf numFmtId="0" fontId="24" fillId="0" borderId="0" xfId="0" applyFont="1" applyAlignment="1">
      <alignment horizontal="right" vertical="center"/>
    </xf>
    <xf numFmtId="9" fontId="24" fillId="0" borderId="0" xfId="0" applyNumberFormat="1" applyFont="1" applyAlignment="1">
      <alignment horizontal="center" vertical="center"/>
    </xf>
    <xf numFmtId="10" fontId="24" fillId="0" borderId="0" xfId="0" applyNumberFormat="1" applyFont="1" applyAlignment="1">
      <alignment horizontal="center" vertical="center"/>
    </xf>
    <xf numFmtId="4" fontId="30" fillId="0" borderId="10" xfId="0" applyNumberFormat="1" applyFont="1" applyBorder="1" applyAlignment="1">
      <alignment vertical="center"/>
    </xf>
    <xf numFmtId="166" fontId="30" fillId="0" borderId="10" xfId="0" applyNumberFormat="1" applyFont="1" applyBorder="1" applyAlignment="1">
      <alignment horizontal="center" vertical="center"/>
    </xf>
    <xf numFmtId="1" fontId="30" fillId="0" borderId="1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3" fontId="8" fillId="0" borderId="0" xfId="62" applyNumberFormat="1" applyFont="1" applyAlignment="1">
      <alignment vertical="center"/>
    </xf>
    <xf numFmtId="0" fontId="30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/>
    </xf>
    <xf numFmtId="166" fontId="30" fillId="0" borderId="10" xfId="0" applyNumberFormat="1" applyFont="1" applyBorder="1" applyAlignment="1">
      <alignment vertical="center"/>
    </xf>
    <xf numFmtId="167" fontId="30" fillId="0" borderId="10" xfId="0" applyNumberFormat="1" applyFont="1" applyBorder="1" applyAlignment="1">
      <alignment horizontal="center" vertical="center"/>
    </xf>
    <xf numFmtId="0" fontId="30" fillId="0" borderId="14" xfId="0" applyFont="1" applyBorder="1" applyAlignment="1">
      <alignment vertical="center"/>
    </xf>
    <xf numFmtId="0" fontId="30" fillId="0" borderId="15" xfId="0" applyFont="1" applyBorder="1" applyAlignment="1">
      <alignment vertical="center"/>
    </xf>
    <xf numFmtId="0" fontId="24" fillId="0" borderId="15" xfId="0" applyFont="1" applyBorder="1" applyAlignment="1">
      <alignment horizontal="right" vertical="center"/>
    </xf>
    <xf numFmtId="10" fontId="30" fillId="20" borderId="15" xfId="63" applyNumberFormat="1" applyFont="1" applyFill="1" applyBorder="1" applyAlignment="1">
      <alignment horizontal="center" vertical="center"/>
    </xf>
    <xf numFmtId="0" fontId="30" fillId="0" borderId="16" xfId="0" applyFont="1" applyBorder="1" applyAlignment="1">
      <alignment vertical="center"/>
    </xf>
    <xf numFmtId="0" fontId="30" fillId="0" borderId="17" xfId="0" applyFont="1" applyBorder="1" applyAlignment="1">
      <alignment vertical="center"/>
    </xf>
    <xf numFmtId="0" fontId="30" fillId="0" borderId="18" xfId="0" applyFont="1" applyBorder="1" applyAlignment="1">
      <alignment vertical="center"/>
    </xf>
    <xf numFmtId="0" fontId="24" fillId="0" borderId="18" xfId="0" applyFont="1" applyBorder="1" applyAlignment="1">
      <alignment horizontal="right" vertical="center"/>
    </xf>
    <xf numFmtId="4" fontId="30" fillId="20" borderId="18" xfId="0" applyNumberFormat="1" applyFont="1" applyFill="1" applyBorder="1" applyAlignment="1">
      <alignment vertical="center"/>
    </xf>
    <xf numFmtId="10" fontId="30" fillId="20" borderId="18" xfId="63" applyNumberFormat="1" applyFont="1" applyFill="1" applyBorder="1" applyAlignment="1">
      <alignment horizontal="center" vertical="center"/>
    </xf>
    <xf numFmtId="0" fontId="30" fillId="0" borderId="19" xfId="0" applyFont="1" applyBorder="1" applyAlignment="1">
      <alignment vertical="center"/>
    </xf>
    <xf numFmtId="0" fontId="30" fillId="0" borderId="2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21" xfId="0" applyFont="1" applyBorder="1" applyAlignment="1">
      <alignment vertical="center"/>
    </xf>
    <xf numFmtId="0" fontId="31" fillId="0" borderId="0" xfId="0" applyFont="1" applyBorder="1" applyAlignment="1">
      <alignment horizontal="right"/>
    </xf>
    <xf numFmtId="0" fontId="6" fillId="2" borderId="0" xfId="0" applyFont="1" applyFill="1" applyBorder="1"/>
    <xf numFmtId="3" fontId="3" fillId="3" borderId="22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Border="1"/>
    <xf numFmtId="0" fontId="9" fillId="2" borderId="21" xfId="0" applyFont="1" applyFill="1" applyBorder="1"/>
    <xf numFmtId="3" fontId="3" fillId="4" borderId="22" xfId="0" applyNumberFormat="1" applyFont="1" applyFill="1" applyBorder="1" applyAlignment="1">
      <alignment horizontal="center" vertical="center"/>
    </xf>
    <xf numFmtId="10" fontId="3" fillId="3" borderId="22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24" fillId="0" borderId="20" xfId="0" applyFont="1" applyBorder="1" applyAlignment="1">
      <alignment vertical="center"/>
    </xf>
    <xf numFmtId="3" fontId="3" fillId="21" borderId="22" xfId="0" applyNumberFormat="1" applyFont="1" applyFill="1" applyBorder="1" applyAlignment="1">
      <alignment horizontal="center" vertical="center"/>
    </xf>
    <xf numFmtId="10" fontId="3" fillId="21" borderId="22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3" fontId="3" fillId="22" borderId="22" xfId="0" applyNumberFormat="1" applyFont="1" applyFill="1" applyBorder="1" applyAlignment="1">
      <alignment horizontal="center" vertical="center"/>
    </xf>
    <xf numFmtId="10" fontId="3" fillId="22" borderId="22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3" fontId="3" fillId="23" borderId="22" xfId="0" applyNumberFormat="1" applyFont="1" applyFill="1" applyBorder="1" applyAlignment="1">
      <alignment horizontal="center" vertical="center"/>
    </xf>
    <xf numFmtId="10" fontId="3" fillId="23" borderId="22" xfId="0" applyNumberFormat="1" applyFont="1" applyFill="1" applyBorder="1" applyAlignment="1">
      <alignment horizontal="center" vertical="center"/>
    </xf>
    <xf numFmtId="0" fontId="24" fillId="0" borderId="17" xfId="0" applyFont="1" applyBorder="1" applyAlignment="1">
      <alignment vertical="center"/>
    </xf>
    <xf numFmtId="0" fontId="9" fillId="2" borderId="18" xfId="0" applyFont="1" applyFill="1" applyBorder="1"/>
    <xf numFmtId="0" fontId="9" fillId="2" borderId="19" xfId="0" applyFont="1" applyFill="1" applyBorder="1"/>
    <xf numFmtId="0" fontId="1" fillId="2" borderId="0" xfId="0" applyFont="1" applyFill="1" applyBorder="1"/>
    <xf numFmtId="0" fontId="24" fillId="24" borderId="4" xfId="0" applyFont="1" applyFill="1" applyBorder="1" applyAlignment="1">
      <alignment vertical="center"/>
    </xf>
    <xf numFmtId="0" fontId="24" fillId="24" borderId="0" xfId="0" applyFont="1" applyFill="1" applyBorder="1" applyAlignment="1">
      <alignment vertical="center"/>
    </xf>
    <xf numFmtId="165" fontId="26" fillId="24" borderId="0" xfId="0" applyNumberFormat="1" applyFont="1" applyFill="1" applyBorder="1" applyAlignment="1">
      <alignment horizontal="left" vertical="center"/>
    </xf>
    <xf numFmtId="0" fontId="26" fillId="24" borderId="0" xfId="0" applyFont="1" applyFill="1" applyBorder="1" applyAlignment="1">
      <alignment vertical="center"/>
    </xf>
    <xf numFmtId="0" fontId="24" fillId="24" borderId="5" xfId="0" applyFont="1" applyFill="1" applyBorder="1" applyAlignment="1">
      <alignment vertical="center"/>
    </xf>
    <xf numFmtId="9" fontId="26" fillId="24" borderId="0" xfId="63" applyNumberFormat="1" applyFont="1" applyFill="1" applyBorder="1" applyAlignment="1">
      <alignment horizontal="left" vertical="center"/>
    </xf>
    <xf numFmtId="0" fontId="24" fillId="24" borderId="6" xfId="0" applyFont="1" applyFill="1" applyBorder="1" applyAlignment="1">
      <alignment vertical="center"/>
    </xf>
    <xf numFmtId="0" fontId="26" fillId="24" borderId="7" xfId="0" applyFont="1" applyFill="1" applyBorder="1" applyAlignment="1">
      <alignment vertical="center"/>
    </xf>
    <xf numFmtId="0" fontId="24" fillId="24" borderId="8" xfId="0" applyFont="1" applyFill="1" applyBorder="1" applyAlignment="1">
      <alignment vertical="center"/>
    </xf>
    <xf numFmtId="0" fontId="28" fillId="25" borderId="9" xfId="0" applyFont="1" applyFill="1" applyBorder="1" applyAlignment="1">
      <alignment horizontal="center" vertical="center"/>
    </xf>
    <xf numFmtId="0" fontId="28" fillId="25" borderId="9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vertical="center"/>
    </xf>
    <xf numFmtId="1" fontId="30" fillId="0" borderId="10" xfId="0" quotePrefix="1" applyNumberFormat="1" applyFont="1" applyBorder="1" applyAlignment="1">
      <alignment horizontal="center" vertical="center"/>
    </xf>
    <xf numFmtId="0" fontId="27" fillId="24" borderId="5" xfId="0" applyFont="1" applyFill="1" applyBorder="1" applyAlignment="1">
      <alignment vertical="center"/>
    </xf>
    <xf numFmtId="9" fontId="26" fillId="24" borderId="0" xfId="0" applyNumberFormat="1" applyFont="1" applyFill="1" applyBorder="1" applyAlignment="1">
      <alignment horizontal="center" vertical="center"/>
    </xf>
    <xf numFmtId="9" fontId="26" fillId="24" borderId="7" xfId="0" applyNumberFormat="1" applyFont="1" applyFill="1" applyBorder="1" applyAlignment="1">
      <alignment horizontal="center" vertical="center"/>
    </xf>
    <xf numFmtId="4" fontId="6" fillId="0" borderId="9" xfId="73" applyNumberFormat="1" applyFont="1" applyBorder="1" applyAlignment="1">
      <alignment horizontal="center" vertical="center" wrapText="1"/>
    </xf>
    <xf numFmtId="3" fontId="8" fillId="0" borderId="0" xfId="73" applyNumberFormat="1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3" fillId="2" borderId="0" xfId="0" applyFont="1" applyFill="1" applyBorder="1" applyAlignment="1">
      <alignment horizontal="left" vertical="center" indent="1"/>
    </xf>
    <xf numFmtId="0" fontId="1" fillId="2" borderId="0" xfId="0" applyFont="1" applyFill="1" applyBorder="1" applyAlignment="1">
      <alignment horizontal="left" indent="1"/>
    </xf>
    <xf numFmtId="0" fontId="3" fillId="2" borderId="20" xfId="0" applyFont="1" applyFill="1" applyBorder="1" applyAlignment="1">
      <alignment horizontal="left" vertical="center" indent="1"/>
    </xf>
    <xf numFmtId="4" fontId="29" fillId="0" borderId="10" xfId="0" applyNumberFormat="1" applyFont="1" applyBorder="1" applyAlignment="1">
      <alignment vertical="center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vertical="center"/>
    </xf>
    <xf numFmtId="166" fontId="35" fillId="0" borderId="10" xfId="0" applyNumberFormat="1" applyFont="1" applyBorder="1" applyAlignment="1">
      <alignment vertical="center"/>
    </xf>
    <xf numFmtId="167" fontId="35" fillId="0" borderId="10" xfId="0" applyNumberFormat="1" applyFont="1" applyBorder="1" applyAlignment="1">
      <alignment horizontal="center" vertical="center"/>
    </xf>
    <xf numFmtId="4" fontId="35" fillId="0" borderId="10" xfId="0" applyNumberFormat="1" applyFont="1" applyBorder="1" applyAlignment="1">
      <alignment vertical="center"/>
    </xf>
    <xf numFmtId="166" fontId="35" fillId="0" borderId="10" xfId="0" applyNumberFormat="1" applyFont="1" applyBorder="1" applyAlignment="1">
      <alignment horizontal="center" vertical="center"/>
    </xf>
    <xf numFmtId="1" fontId="35" fillId="0" borderId="10" xfId="0" quotePrefix="1" applyNumberFormat="1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3" fontId="36" fillId="0" borderId="0" xfId="62" applyNumberFormat="1" applyFont="1" applyAlignment="1">
      <alignment vertical="center"/>
    </xf>
    <xf numFmtId="4" fontId="35" fillId="26" borderId="10" xfId="0" applyNumberFormat="1" applyFont="1" applyFill="1" applyBorder="1" applyAlignment="1">
      <alignment vertical="center"/>
    </xf>
    <xf numFmtId="4" fontId="35" fillId="0" borderId="4" xfId="0" applyNumberFormat="1" applyFont="1" applyBorder="1" applyAlignment="1">
      <alignment vertical="center"/>
    </xf>
    <xf numFmtId="4" fontId="35" fillId="0" borderId="0" xfId="0" applyNumberFormat="1" applyFont="1" applyBorder="1" applyAlignment="1">
      <alignment vertical="center"/>
    </xf>
    <xf numFmtId="166" fontId="30" fillId="27" borderId="10" xfId="0" applyNumberFormat="1" applyFont="1" applyFill="1" applyBorder="1" applyAlignment="1">
      <alignment horizontal="center" vertical="center"/>
    </xf>
    <xf numFmtId="4" fontId="30" fillId="0" borderId="18" xfId="0" applyNumberFormat="1" applyFont="1" applyBorder="1" applyAlignment="1">
      <alignment vertical="center"/>
    </xf>
    <xf numFmtId="4" fontId="35" fillId="27" borderId="10" xfId="0" applyNumberFormat="1" applyFont="1" applyFill="1" applyBorder="1" applyAlignment="1">
      <alignment vertical="center"/>
    </xf>
    <xf numFmtId="166" fontId="35" fillId="27" borderId="10" xfId="0" applyNumberFormat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vertical="center"/>
    </xf>
    <xf numFmtId="0" fontId="35" fillId="25" borderId="12" xfId="0" applyFont="1" applyFill="1" applyBorder="1" applyAlignment="1">
      <alignment vertical="center"/>
    </xf>
    <xf numFmtId="4" fontId="35" fillId="25" borderId="13" xfId="0" applyNumberFormat="1" applyFont="1" applyFill="1" applyBorder="1" applyAlignment="1">
      <alignment vertical="center"/>
    </xf>
    <xf numFmtId="0" fontId="35" fillId="25" borderId="13" xfId="0" applyFont="1" applyFill="1" applyBorder="1" applyAlignment="1">
      <alignment vertical="center"/>
    </xf>
    <xf numFmtId="3" fontId="37" fillId="0" borderId="9" xfId="0" applyNumberFormat="1" applyFont="1" applyBorder="1" applyAlignment="1">
      <alignment vertical="center"/>
    </xf>
    <xf numFmtId="173" fontId="30" fillId="0" borderId="10" xfId="0" applyNumberFormat="1" applyFont="1" applyBorder="1" applyAlignment="1">
      <alignment vertical="center"/>
    </xf>
    <xf numFmtId="172" fontId="30" fillId="0" borderId="10" xfId="0" applyNumberFormat="1" applyFont="1" applyBorder="1" applyAlignment="1">
      <alignment vertical="center"/>
    </xf>
    <xf numFmtId="4" fontId="30" fillId="29" borderId="10" xfId="0" applyNumberFormat="1" applyFont="1" applyFill="1" applyBorder="1" applyAlignment="1">
      <alignment vertical="center"/>
    </xf>
    <xf numFmtId="4" fontId="30" fillId="0" borderId="15" xfId="0" applyNumberFormat="1" applyFont="1" applyBorder="1" applyAlignment="1">
      <alignment vertical="center"/>
    </xf>
    <xf numFmtId="3" fontId="28" fillId="0" borderId="0" xfId="0" applyNumberFormat="1" applyFont="1" applyAlignment="1">
      <alignment vertical="center"/>
    </xf>
    <xf numFmtId="4" fontId="35" fillId="28" borderId="10" xfId="0" applyNumberFormat="1" applyFont="1" applyFill="1" applyBorder="1" applyAlignment="1">
      <alignment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10" xfId="0" applyFont="1" applyFill="1" applyBorder="1" applyAlignment="1">
      <alignment horizontal="center" vertical="center" wrapText="1"/>
    </xf>
    <xf numFmtId="0" fontId="24" fillId="27" borderId="0" xfId="0" applyFont="1" applyFill="1" applyAlignment="1">
      <alignment vertical="center"/>
    </xf>
    <xf numFmtId="4" fontId="6" fillId="27" borderId="0" xfId="73" applyNumberFormat="1" applyFont="1" applyFill="1" applyBorder="1" applyAlignment="1">
      <alignment horizontal="center" vertical="center" wrapText="1"/>
    </xf>
    <xf numFmtId="0" fontId="33" fillId="27" borderId="10" xfId="0" applyFont="1" applyFill="1" applyBorder="1" applyAlignment="1">
      <alignment horizontal="center" vertical="center"/>
    </xf>
    <xf numFmtId="49" fontId="2" fillId="18" borderId="0" xfId="48" applyNumberFormat="1" applyFont="1" applyFill="1" applyBorder="1" applyAlignment="1" applyProtection="1">
      <alignment horizontal="center" vertical="center" wrapText="1"/>
      <protection locked="0"/>
    </xf>
    <xf numFmtId="4" fontId="24" fillId="19" borderId="0" xfId="0" applyNumberFormat="1" applyFont="1" applyFill="1" applyBorder="1" applyAlignment="1">
      <alignment horizontal="center" vertical="center"/>
    </xf>
    <xf numFmtId="49" fontId="2" fillId="18" borderId="2" xfId="48" applyNumberFormat="1" applyFont="1" applyFill="1" applyBorder="1" applyAlignment="1" applyProtection="1">
      <alignment horizontal="center" vertical="center" wrapText="1"/>
      <protection locked="0"/>
    </xf>
    <xf numFmtId="49" fontId="34" fillId="18" borderId="3" xfId="48" applyNumberFormat="1" applyFont="1" applyFill="1" applyBorder="1" applyAlignment="1" applyProtection="1">
      <alignment horizontal="center" vertical="center" wrapText="1"/>
      <protection locked="0"/>
    </xf>
    <xf numFmtId="49" fontId="34" fillId="18" borderId="5" xfId="48" applyNumberFormat="1" applyFont="1" applyFill="1" applyBorder="1" applyAlignment="1" applyProtection="1">
      <alignment horizontal="center" vertical="center" wrapText="1"/>
      <protection locked="0"/>
    </xf>
    <xf numFmtId="0" fontId="27" fillId="24" borderId="4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5" xfId="0" applyFont="1" applyFill="1" applyBorder="1" applyAlignment="1">
      <alignment horizontal="center" vertical="center"/>
    </xf>
    <xf numFmtId="4" fontId="24" fillId="19" borderId="2" xfId="0" applyNumberFormat="1" applyFont="1" applyFill="1" applyBorder="1" applyAlignment="1">
      <alignment horizontal="center" vertical="center"/>
    </xf>
    <xf numFmtId="4" fontId="28" fillId="19" borderId="0" xfId="0" applyNumberFormat="1" applyFont="1" applyFill="1" applyBorder="1" applyAlignment="1">
      <alignment horizontal="center" vertical="center"/>
    </xf>
    <xf numFmtId="4" fontId="28" fillId="19" borderId="7" xfId="0" applyNumberFormat="1" applyFont="1" applyFill="1" applyBorder="1" applyAlignment="1">
      <alignment horizontal="center" vertical="center"/>
    </xf>
    <xf numFmtId="0" fontId="28" fillId="25" borderId="24" xfId="0" applyFont="1" applyFill="1" applyBorder="1" applyAlignment="1">
      <alignment horizontal="center" vertical="center"/>
    </xf>
    <xf numFmtId="0" fontId="28" fillId="25" borderId="25" xfId="0" applyFont="1" applyFill="1" applyBorder="1" applyAlignment="1">
      <alignment horizontal="center" vertical="center"/>
    </xf>
    <xf numFmtId="2" fontId="3" fillId="2" borderId="11" xfId="0" applyNumberFormat="1" applyFont="1" applyFill="1" applyBorder="1" applyAlignment="1">
      <alignment horizontal="center" vertical="center"/>
    </xf>
    <xf numFmtId="2" fontId="3" fillId="2" borderId="12" xfId="0" applyNumberFormat="1" applyFont="1" applyFill="1" applyBorder="1" applyAlignment="1">
      <alignment horizontal="center" vertical="center"/>
    </xf>
    <xf numFmtId="2" fontId="3" fillId="2" borderId="23" xfId="0" applyNumberFormat="1" applyFont="1" applyFill="1" applyBorder="1" applyAlignment="1">
      <alignment horizontal="center" vertical="center"/>
    </xf>
    <xf numFmtId="3" fontId="3" fillId="2" borderId="11" xfId="0" applyNumberFormat="1" applyFont="1" applyFill="1" applyBorder="1" applyAlignment="1">
      <alignment horizontal="center" vertical="center"/>
    </xf>
    <xf numFmtId="3" fontId="3" fillId="2" borderId="12" xfId="0" applyNumberFormat="1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>
      <alignment horizontal="center" vertical="center"/>
    </xf>
    <xf numFmtId="0" fontId="35" fillId="28" borderId="4" xfId="0" applyFont="1" applyFill="1" applyBorder="1" applyAlignment="1">
      <alignment horizontal="center" vertical="center"/>
    </xf>
    <xf numFmtId="0" fontId="35" fillId="28" borderId="0" xfId="0" applyFont="1" applyFill="1" applyBorder="1" applyAlignment="1">
      <alignment horizontal="center" vertical="center"/>
    </xf>
    <xf numFmtId="0" fontId="35" fillId="28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</cellXfs>
  <cellStyles count="79">
    <cellStyle name="20 % - Accent1 2" xfId="1"/>
    <cellStyle name="20 % - Accent1 3" xfId="2"/>
    <cellStyle name="20 % - Accent1 4" xfId="3"/>
    <cellStyle name="20 % - Accent2 2" xfId="4"/>
    <cellStyle name="20 % - Accent2 3" xfId="5"/>
    <cellStyle name="20 % - Accent2 4" xfId="6"/>
    <cellStyle name="20 % - Accent3 2" xfId="7"/>
    <cellStyle name="20 % - Accent3 3" xfId="8"/>
    <cellStyle name="20 % - Accent3 4" xfId="9"/>
    <cellStyle name="20 % - Accent4 2" xfId="10"/>
    <cellStyle name="20 % - Accent4 3" xfId="11"/>
    <cellStyle name="20 % - Accent4 4" xfId="12"/>
    <cellStyle name="20 % - Accent5 2" xfId="13"/>
    <cellStyle name="20 % - Accent5 3" xfId="14"/>
    <cellStyle name="20 % - Accent5 4" xfId="15"/>
    <cellStyle name="20 % - Accent6 2" xfId="16"/>
    <cellStyle name="20 % - Accent6 3" xfId="17"/>
    <cellStyle name="20 % - Accent6 4" xfId="18"/>
    <cellStyle name="40 % - Accent1 2" xfId="19"/>
    <cellStyle name="40 % - Accent1 3" xfId="20"/>
    <cellStyle name="40 % - Accent1 4" xfId="21"/>
    <cellStyle name="40 % - Accent2 2" xfId="22"/>
    <cellStyle name="40 % - Accent2 3" xfId="23"/>
    <cellStyle name="40 % - Accent2 4" xfId="24"/>
    <cellStyle name="40 % - Accent3 2" xfId="25"/>
    <cellStyle name="40 % - Accent3 3" xfId="26"/>
    <cellStyle name="40 % - Accent3 4" xfId="27"/>
    <cellStyle name="40 % - Accent4 2" xfId="28"/>
    <cellStyle name="40 % - Accent4 3" xfId="29"/>
    <cellStyle name="40 % - Accent4 4" xfId="30"/>
    <cellStyle name="40 % - Accent5 2" xfId="31"/>
    <cellStyle name="40 % - Accent5 3" xfId="32"/>
    <cellStyle name="40 % - Accent5 4" xfId="33"/>
    <cellStyle name="40 % - Accent6 2" xfId="34"/>
    <cellStyle name="40 % - Accent6 3" xfId="35"/>
    <cellStyle name="40 % - Accent6 4" xfId="36"/>
    <cellStyle name="CE" xfId="37"/>
    <cellStyle name="Chap 1" xfId="38"/>
    <cellStyle name="Chap 2" xfId="39"/>
    <cellStyle name="Chap 3" xfId="40"/>
    <cellStyle name="Commentaire 2" xfId="41"/>
    <cellStyle name="Commentaire 3" xfId="42"/>
    <cellStyle name="Commentaire 4" xfId="43"/>
    <cellStyle name="Commentaire 5" xfId="44"/>
    <cellStyle name="Euro" xfId="45"/>
    <cellStyle name="Info Entete" xfId="46"/>
    <cellStyle name="Lot" xfId="47"/>
    <cellStyle name="Milliers" xfId="48" builtinId="3"/>
    <cellStyle name="Milliers 2" xfId="49"/>
    <cellStyle name="Milliers 2 2" xfId="50"/>
    <cellStyle name="Milliers 2 2 2" xfId="51"/>
    <cellStyle name="Milliers 2 3" xfId="71"/>
    <cellStyle name="Milliers 3" xfId="52"/>
    <cellStyle name="Milliers 3 2" xfId="74"/>
    <cellStyle name="NELLY" xfId="53"/>
    <cellStyle name="Non défini" xfId="54"/>
    <cellStyle name="Normal" xfId="0" builtinId="0"/>
    <cellStyle name="Normal 10" xfId="77"/>
    <cellStyle name="Normal 13" xfId="55"/>
    <cellStyle name="Normal 2" xfId="56"/>
    <cellStyle name="Normal 2 2" xfId="78"/>
    <cellStyle name="Normal 3" xfId="57"/>
    <cellStyle name="Normal 3 2" xfId="75"/>
    <cellStyle name="Normal 4" xfId="58"/>
    <cellStyle name="Normal 5" xfId="59"/>
    <cellStyle name="Normal 6" xfId="60"/>
    <cellStyle name="Normal 7" xfId="61"/>
    <cellStyle name="Normal 8" xfId="70"/>
    <cellStyle name="Normal 9" xfId="76"/>
    <cellStyle name="Normal_Compte client AL ALIA" xfId="62"/>
    <cellStyle name="Normal_Compte client AL ALIA 7" xfId="73"/>
    <cellStyle name="Pourcentage" xfId="63" builtinId="5"/>
    <cellStyle name="Pourcentage 2" xfId="64"/>
    <cellStyle name="Pourcentage 2 2" xfId="65"/>
    <cellStyle name="Pourcentage 2 3" xfId="72"/>
    <cellStyle name="Pourcentage 3" xfId="66"/>
    <cellStyle name="Qte Structuree" xfId="67"/>
    <cellStyle name="Titre Article" xfId="68"/>
    <cellStyle name="Titre Entete" xfId="69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55"/>
  <sheetViews>
    <sheetView tabSelected="1" workbookViewId="0">
      <selection activeCell="F1" sqref="F1:F2"/>
    </sheetView>
  </sheetViews>
  <sheetFormatPr baseColWidth="10" defaultColWidth="11.42578125" defaultRowHeight="16.5"/>
  <cols>
    <col min="1" max="1" width="22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11.28515625" style="7" bestFit="1" customWidth="1"/>
    <col min="23" max="16384" width="11.42578125" style="7"/>
  </cols>
  <sheetData>
    <row r="1" spans="1:22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f>144618017/1.2</f>
        <v>120515014.16666667</v>
      </c>
      <c r="N1" s="144"/>
      <c r="O1" s="5" t="s">
        <v>3</v>
      </c>
      <c r="P1" s="6"/>
    </row>
    <row r="2" spans="1:22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2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/>
      <c r="N3" s="137"/>
      <c r="O3" s="11"/>
      <c r="P3" s="12"/>
    </row>
    <row r="4" spans="1:22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2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2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2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120515014.16666667</v>
      </c>
      <c r="N7" s="145"/>
      <c r="O7" s="11"/>
      <c r="P7" s="12"/>
    </row>
    <row r="8" spans="1:22">
      <c r="A8" s="23" t="s">
        <v>18</v>
      </c>
      <c r="B8" s="24"/>
      <c r="C8" s="24"/>
      <c r="D8" s="25" t="s">
        <v>215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144618017</v>
      </c>
      <c r="N8" s="146"/>
      <c r="O8" s="30"/>
      <c r="P8" s="31"/>
    </row>
    <row r="10" spans="1:22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O10" s="147" t="s">
        <v>22</v>
      </c>
      <c r="P10" s="148"/>
    </row>
    <row r="11" spans="1:22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2" s="133" customFormat="1">
      <c r="A12" s="135" t="s">
        <v>106</v>
      </c>
      <c r="B12" s="132"/>
      <c r="C12" s="132"/>
      <c r="D12" s="131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R12" s="134"/>
      <c r="S12" s="134"/>
      <c r="T12" s="134"/>
      <c r="U12" s="134"/>
      <c r="V12" s="134"/>
    </row>
    <row r="13" spans="1:22" ht="19.5" customHeight="1">
      <c r="A13" s="41" t="s">
        <v>216</v>
      </c>
      <c r="B13" s="42"/>
      <c r="C13" s="126"/>
      <c r="D13" s="44"/>
      <c r="E13" s="36">
        <f>57007.63/1.2</f>
        <v>47506.35833333333</v>
      </c>
      <c r="F13" s="36">
        <v>0</v>
      </c>
      <c r="G13" s="36">
        <v>0</v>
      </c>
      <c r="H13" s="36"/>
      <c r="I13" s="36">
        <f>+E13+F13-G13-H13</f>
        <v>47506.35833333333</v>
      </c>
      <c r="J13" s="36">
        <f>+I13+(I13*$I$4)</f>
        <v>57007.63</v>
      </c>
      <c r="K13" s="36">
        <v>57007.63</v>
      </c>
      <c r="L13" s="37"/>
      <c r="M13" s="37"/>
      <c r="N13" s="92">
        <f>-IF(L13=0,,IF(M13=0,($C$10-L13),M13-L13))</f>
        <v>0</v>
      </c>
      <c r="O13" s="36">
        <f>+J13-K13</f>
        <v>0</v>
      </c>
      <c r="P13" s="36" t="e">
        <f>+IF($C$10&lt;L13,0,O13)</f>
        <v>#REF!</v>
      </c>
      <c r="Q13" s="39"/>
      <c r="R13" s="40">
        <f>IF(N13&gt;=0,0,(IF(-N13&lt;=60,O13,0)))</f>
        <v>0</v>
      </c>
      <c r="S13" s="40">
        <f>IF(N13&gt;=0,0,(IF(N13&gt;=-60,0,IF(-60&gt;=N13,IF(N13&gt;=-120,O13,0)))))</f>
        <v>0</v>
      </c>
      <c r="T13" s="40">
        <f>IF(N13&gt;=0,0,(IF(N13&gt;-60,0,IF(-60&gt;=N13,IF(N13&gt;=-120,0,IF(N13&gt;=-180,O13,0))))))</f>
        <v>0</v>
      </c>
      <c r="U13" s="40">
        <f>IF(N13&gt;=0,0,(IF(N13&gt;-60,0,IF(-60&gt;=N13,IF(N13&gt;-120,0,IF(N13&gt;=-180,0,IF(N13&gt;=-365,O13,0)))))))</f>
        <v>0</v>
      </c>
      <c r="V13" s="40">
        <f>IF(N13&gt;=0,0,IF(365&lt;-N13,O13,0))</f>
        <v>0</v>
      </c>
    </row>
    <row r="14" spans="1:22" s="99" customFormat="1" ht="19.5" customHeight="1">
      <c r="A14" s="104"/>
      <c r="B14" s="105"/>
      <c r="C14" s="106"/>
      <c r="D14" s="107"/>
      <c r="E14" s="108">
        <f t="shared" ref="E14:K14" si="0">SUM(E13:E13)</f>
        <v>47506.35833333333</v>
      </c>
      <c r="F14" s="108">
        <f t="shared" si="0"/>
        <v>0</v>
      </c>
      <c r="G14" s="108">
        <f t="shared" si="0"/>
        <v>0</v>
      </c>
      <c r="H14" s="108">
        <f t="shared" si="0"/>
        <v>0</v>
      </c>
      <c r="I14" s="108">
        <f t="shared" si="0"/>
        <v>47506.35833333333</v>
      </c>
      <c r="J14" s="113">
        <f t="shared" si="0"/>
        <v>57007.63</v>
      </c>
      <c r="K14" s="113">
        <f t="shared" si="0"/>
        <v>57007.63</v>
      </c>
      <c r="L14" s="109"/>
      <c r="M14" s="109"/>
      <c r="N14" s="110"/>
      <c r="O14" s="108">
        <f>SUM(O13:O13)</f>
        <v>0</v>
      </c>
      <c r="P14" s="108" t="e">
        <f>SUM(P13:P13)</f>
        <v>#REF!</v>
      </c>
      <c r="Q14" s="114"/>
      <c r="R14" s="115">
        <f>SUM(R13:R13)</f>
        <v>0</v>
      </c>
      <c r="S14" s="115">
        <f>SUM(S13:S13)</f>
        <v>0</v>
      </c>
      <c r="T14" s="115">
        <f>SUM(T13:T13)</f>
        <v>0</v>
      </c>
      <c r="U14" s="115">
        <f>SUM(U13:U13)</f>
        <v>0</v>
      </c>
      <c r="V14" s="115">
        <f>SUM(V13:V13)</f>
        <v>0</v>
      </c>
    </row>
    <row r="15" spans="1:22" ht="19.5" customHeight="1">
      <c r="A15" s="41" t="s">
        <v>217</v>
      </c>
      <c r="B15" s="42"/>
      <c r="C15" s="125"/>
      <c r="D15" s="44"/>
      <c r="E15" s="36">
        <f>837912.7/1.2</f>
        <v>698260.58333333337</v>
      </c>
      <c r="F15" s="36">
        <f>-E15*$F$10</f>
        <v>0</v>
      </c>
      <c r="G15" s="36">
        <f>E15*$G$10</f>
        <v>0</v>
      </c>
      <c r="H15" s="36"/>
      <c r="I15" s="36">
        <f>+E15+F15-G15-H15</f>
        <v>698260.58333333337</v>
      </c>
      <c r="J15" s="36">
        <f>+I15+(I15*$I$4)</f>
        <v>837912.70000000007</v>
      </c>
      <c r="K15" s="36">
        <v>837912.70000000007</v>
      </c>
      <c r="L15" s="37"/>
      <c r="M15" s="37"/>
      <c r="N15" s="92">
        <f>-IF(L15=0,,IF(M15=0,($C$10-L15),M15-L15))</f>
        <v>0</v>
      </c>
      <c r="O15" s="36">
        <f>+J15-K15</f>
        <v>0</v>
      </c>
      <c r="P15" s="36" t="e">
        <f>+IF($C$10&lt;L15,0,O15)</f>
        <v>#REF!</v>
      </c>
      <c r="Q15" s="39"/>
      <c r="R15" s="40">
        <f>IF(N15&gt;=0,0,(IF(-N15&lt;=60,O15,0)))</f>
        <v>0</v>
      </c>
      <c r="S15" s="40">
        <f>IF(N15&gt;=0,0,(IF(N15&gt;=-60,0,IF(-60&gt;=N15,IF(N15&gt;=-120,O15,0)))))</f>
        <v>0</v>
      </c>
      <c r="T15" s="40">
        <f>IF(N15&gt;=0,0,(IF(N15&gt;-60,0,IF(-60&gt;=N15,IF(N15&gt;=-120,0,IF(N15&gt;=-180,O15,0))))))</f>
        <v>0</v>
      </c>
      <c r="U15" s="40">
        <f>IF(N15&gt;=0,0,(IF(N15&gt;-60,0,IF(-60&gt;=N15,IF(N15&gt;-120,0,IF(N15&gt;=-180,0,IF(N15&gt;=-365,O15,0)))))))</f>
        <v>0</v>
      </c>
      <c r="V15" s="40">
        <f>IF(N15&gt;=0,0,IF(365&lt;-N15,O15,0))</f>
        <v>0</v>
      </c>
    </row>
    <row r="16" spans="1:22" s="99" customFormat="1" ht="19.5" customHeight="1">
      <c r="A16" s="104"/>
      <c r="B16" s="105"/>
      <c r="C16" s="106"/>
      <c r="D16" s="107"/>
      <c r="E16" s="108">
        <f t="shared" ref="E16:K16" si="1">SUM(E15:E15)</f>
        <v>698260.58333333337</v>
      </c>
      <c r="F16" s="108">
        <f t="shared" si="1"/>
        <v>0</v>
      </c>
      <c r="G16" s="108">
        <f t="shared" si="1"/>
        <v>0</v>
      </c>
      <c r="H16" s="108">
        <f t="shared" si="1"/>
        <v>0</v>
      </c>
      <c r="I16" s="108">
        <f t="shared" si="1"/>
        <v>698260.58333333337</v>
      </c>
      <c r="J16" s="113">
        <f t="shared" si="1"/>
        <v>837912.70000000007</v>
      </c>
      <c r="K16" s="113">
        <f t="shared" si="1"/>
        <v>837912.70000000007</v>
      </c>
      <c r="L16" s="109"/>
      <c r="M16" s="109"/>
      <c r="N16" s="110"/>
      <c r="O16" s="108">
        <f>SUM(O15:O15)</f>
        <v>0</v>
      </c>
      <c r="P16" s="108" t="e">
        <f>SUM(P15:P15)</f>
        <v>#REF!</v>
      </c>
      <c r="Q16" s="114"/>
      <c r="R16" s="115">
        <f>SUM(R15:R15)</f>
        <v>0</v>
      </c>
      <c r="S16" s="115">
        <f>SUM(S15:S15)</f>
        <v>0</v>
      </c>
      <c r="T16" s="115">
        <f>SUM(T15:T15)</f>
        <v>0</v>
      </c>
      <c r="U16" s="115">
        <f>SUM(U15:U15)</f>
        <v>0</v>
      </c>
      <c r="V16" s="115">
        <f>SUM(V15:V15)</f>
        <v>0</v>
      </c>
    </row>
    <row r="17" spans="1:22" ht="19.5" customHeight="1">
      <c r="A17" s="41" t="s">
        <v>72</v>
      </c>
      <c r="B17" s="42"/>
      <c r="C17" s="125"/>
      <c r="D17" s="44"/>
      <c r="E17" s="36">
        <f>16017332.92/1.2</f>
        <v>13347777.433333334</v>
      </c>
      <c r="F17" s="36">
        <f>-E17*$F$10</f>
        <v>0</v>
      </c>
      <c r="G17" s="36">
        <f>E17*$G$10</f>
        <v>0</v>
      </c>
      <c r="H17" s="36"/>
      <c r="I17" s="36">
        <f>+E17+F17-G17-H17</f>
        <v>13347777.433333334</v>
      </c>
      <c r="J17" s="36">
        <f>+I17+(I17*$I$4)</f>
        <v>16017332.92</v>
      </c>
      <c r="K17" s="36">
        <v>16017332.92</v>
      </c>
      <c r="L17" s="37"/>
      <c r="M17" s="37"/>
      <c r="N17" s="92">
        <f>-IF(L17=0,,IF(M17=0,($C$10-L17),M17-L17))</f>
        <v>0</v>
      </c>
      <c r="O17" s="36">
        <f>+J17-K17</f>
        <v>0</v>
      </c>
      <c r="P17" s="36" t="e">
        <f>+IF($C$10&lt;L17,0,O17)</f>
        <v>#REF!</v>
      </c>
      <c r="Q17" s="39"/>
      <c r="R17" s="40">
        <f>IF(N17&gt;=0,0,(IF(-N17&lt;=60,O17,0)))</f>
        <v>0</v>
      </c>
      <c r="S17" s="40">
        <f>IF(N17&gt;=0,0,(IF(N17&gt;=-60,0,IF(-60&gt;=N17,IF(N17&gt;=-120,O17,0)))))</f>
        <v>0</v>
      </c>
      <c r="T17" s="40">
        <f>IF(N17&gt;=0,0,(IF(N17&gt;-60,0,IF(-60&gt;=N17,IF(N17&gt;=-120,0,IF(N17&gt;=-180,O17,0))))))</f>
        <v>0</v>
      </c>
      <c r="U17" s="40">
        <f>IF(N17&gt;=0,0,(IF(N17&gt;-60,0,IF(-60&gt;=N17,IF(N17&gt;-120,0,IF(N17&gt;=-180,0,IF(N17&gt;=-365,O17,0)))))))</f>
        <v>0</v>
      </c>
      <c r="V17" s="40">
        <f>IF(N17&gt;=0,0,IF(365&lt;-N17,O17,0))</f>
        <v>0</v>
      </c>
    </row>
    <row r="18" spans="1:22" s="99" customFormat="1" ht="19.5" customHeight="1">
      <c r="A18" s="104"/>
      <c r="B18" s="105"/>
      <c r="C18" s="106"/>
      <c r="D18" s="107"/>
      <c r="E18" s="108">
        <f t="shared" ref="E18:K18" si="2">SUM(E17:E17)</f>
        <v>13347777.433333334</v>
      </c>
      <c r="F18" s="108">
        <f t="shared" si="2"/>
        <v>0</v>
      </c>
      <c r="G18" s="108">
        <f t="shared" si="2"/>
        <v>0</v>
      </c>
      <c r="H18" s="108">
        <f t="shared" si="2"/>
        <v>0</v>
      </c>
      <c r="I18" s="108">
        <f t="shared" si="2"/>
        <v>13347777.433333334</v>
      </c>
      <c r="J18" s="113">
        <f t="shared" si="2"/>
        <v>16017332.92</v>
      </c>
      <c r="K18" s="113">
        <f t="shared" si="2"/>
        <v>16017332.92</v>
      </c>
      <c r="L18" s="109"/>
      <c r="M18" s="109"/>
      <c r="N18" s="110"/>
      <c r="O18" s="108">
        <f>SUM(O17:O17)</f>
        <v>0</v>
      </c>
      <c r="P18" s="108" t="e">
        <f>SUM(P17:P17)</f>
        <v>#REF!</v>
      </c>
      <c r="Q18" s="114"/>
      <c r="R18" s="115">
        <f>SUM(R17:R17)</f>
        <v>0</v>
      </c>
      <c r="S18" s="115">
        <f>SUM(S17:S17)</f>
        <v>0</v>
      </c>
      <c r="T18" s="115">
        <f>SUM(T17:T17)</f>
        <v>0</v>
      </c>
      <c r="U18" s="115">
        <f>SUM(U17:U17)</f>
        <v>0</v>
      </c>
      <c r="V18" s="115">
        <f>SUM(V17:V17)</f>
        <v>0</v>
      </c>
    </row>
    <row r="19" spans="1:22" ht="19.5" customHeight="1">
      <c r="A19" s="41" t="s">
        <v>107</v>
      </c>
      <c r="B19" s="42"/>
      <c r="C19" s="125"/>
      <c r="D19" s="44"/>
      <c r="E19" s="36">
        <f>40800/1.2</f>
        <v>34000</v>
      </c>
      <c r="F19" s="36">
        <f>-E19*$F$10</f>
        <v>0</v>
      </c>
      <c r="G19" s="36">
        <f>E19*$G$10</f>
        <v>0</v>
      </c>
      <c r="H19" s="36"/>
      <c r="I19" s="36">
        <f>+E19+F19-G19-H19</f>
        <v>34000</v>
      </c>
      <c r="J19" s="36">
        <f>+I19+(I19*$I$4)</f>
        <v>40800</v>
      </c>
      <c r="K19" s="36">
        <v>40800</v>
      </c>
      <c r="L19" s="37"/>
      <c r="M19" s="37"/>
      <c r="N19" s="92">
        <f>-IF(L19=0,,IF(M19=0,($C$10-L19),M19-L19))</f>
        <v>0</v>
      </c>
      <c r="O19" s="36">
        <f>+J19-K19</f>
        <v>0</v>
      </c>
      <c r="P19" s="36" t="e">
        <f>+IF($C$10&lt;L19,0,O19)</f>
        <v>#REF!</v>
      </c>
      <c r="Q19" s="39"/>
      <c r="R19" s="40">
        <f>IF(N19&gt;=0,0,(IF(-N19&lt;=60,O19,0)))</f>
        <v>0</v>
      </c>
      <c r="S19" s="40">
        <f>IF(N19&gt;=0,0,(IF(N19&gt;=-60,0,IF(-60&gt;=N19,IF(N19&gt;=-120,O19,0)))))</f>
        <v>0</v>
      </c>
      <c r="T19" s="40">
        <f>IF(N19&gt;=0,0,(IF(N19&gt;-60,0,IF(-60&gt;=N19,IF(N19&gt;=-120,0,IF(N19&gt;=-180,O19,0))))))</f>
        <v>0</v>
      </c>
      <c r="U19" s="40">
        <f>IF(N19&gt;=0,0,(IF(N19&gt;-60,0,IF(-60&gt;=N19,IF(N19&gt;-120,0,IF(N19&gt;=-180,0,IF(N19&gt;=-365,O19,0)))))))</f>
        <v>0</v>
      </c>
      <c r="V19" s="40">
        <f>IF(N19&gt;=0,0,IF(365&lt;-N19,O19,0))</f>
        <v>0</v>
      </c>
    </row>
    <row r="20" spans="1:22" s="99" customFormat="1" ht="19.5" customHeight="1">
      <c r="A20" s="104"/>
      <c r="B20" s="105"/>
      <c r="C20" s="106"/>
      <c r="D20" s="107"/>
      <c r="E20" s="108">
        <f t="shared" ref="E20:K20" si="3">SUM(E19:E19)</f>
        <v>34000</v>
      </c>
      <c r="F20" s="108">
        <f t="shared" si="3"/>
        <v>0</v>
      </c>
      <c r="G20" s="108">
        <f t="shared" si="3"/>
        <v>0</v>
      </c>
      <c r="H20" s="108">
        <f t="shared" si="3"/>
        <v>0</v>
      </c>
      <c r="I20" s="108">
        <f t="shared" si="3"/>
        <v>34000</v>
      </c>
      <c r="J20" s="113">
        <f t="shared" si="3"/>
        <v>40800</v>
      </c>
      <c r="K20" s="113">
        <f t="shared" si="3"/>
        <v>40800</v>
      </c>
      <c r="L20" s="109"/>
      <c r="M20" s="109"/>
      <c r="N20" s="110"/>
      <c r="O20" s="108">
        <f>SUM(O19:O19)</f>
        <v>0</v>
      </c>
      <c r="P20" s="108" t="e">
        <f>SUM(P19:P19)</f>
        <v>#REF!</v>
      </c>
      <c r="Q20" s="114"/>
      <c r="R20" s="115">
        <f>SUM(R19:R19)</f>
        <v>0</v>
      </c>
      <c r="S20" s="115">
        <f>SUM(S19:S19)</f>
        <v>0</v>
      </c>
      <c r="T20" s="115">
        <f>SUM(T19:T19)</f>
        <v>0</v>
      </c>
      <c r="U20" s="115">
        <f>SUM(U19:U19)</f>
        <v>0</v>
      </c>
      <c r="V20" s="115">
        <f>SUM(V19:V19)</f>
        <v>0</v>
      </c>
    </row>
    <row r="21" spans="1:22" ht="19.5" customHeight="1">
      <c r="A21" s="41" t="s">
        <v>108</v>
      </c>
      <c r="B21" s="42"/>
      <c r="C21" s="125"/>
      <c r="D21" s="44"/>
      <c r="E21" s="36">
        <f>6513634.2/1.2</f>
        <v>5428028.5</v>
      </c>
      <c r="F21" s="36">
        <f>-E21*$F$10</f>
        <v>0</v>
      </c>
      <c r="G21" s="36">
        <f>E21*$G$10</f>
        <v>0</v>
      </c>
      <c r="H21" s="36"/>
      <c r="I21" s="36">
        <f>+E21+F21-G21-H21</f>
        <v>5428028.5</v>
      </c>
      <c r="J21" s="36">
        <f>+I21+(I21*$I$4)</f>
        <v>6513634.2000000002</v>
      </c>
      <c r="K21" s="36">
        <v>6513634.2000000002</v>
      </c>
      <c r="L21" s="37"/>
      <c r="M21" s="37"/>
      <c r="N21" s="92">
        <f>-IF(L21=0,,IF(M21=0,($C$10-L21),M21-L21))</f>
        <v>0</v>
      </c>
      <c r="O21" s="36">
        <f>+J21-K21</f>
        <v>0</v>
      </c>
      <c r="P21" s="36" t="e">
        <f>+IF($C$10&lt;L21,0,O21)</f>
        <v>#REF!</v>
      </c>
      <c r="Q21" s="39"/>
      <c r="R21" s="40">
        <f>IF(N21&gt;=0,0,(IF(-N21&lt;=60,O21,0)))</f>
        <v>0</v>
      </c>
      <c r="S21" s="40">
        <f>IF(N21&gt;=0,0,(IF(N21&gt;=-60,0,IF(-60&gt;=N21,IF(N21&gt;=-120,O21,0)))))</f>
        <v>0</v>
      </c>
      <c r="T21" s="40">
        <f>IF(N21&gt;=0,0,(IF(N21&gt;-60,0,IF(-60&gt;=N21,IF(N21&gt;=-120,0,IF(N21&gt;=-180,O21,0))))))</f>
        <v>0</v>
      </c>
      <c r="U21" s="40">
        <f>IF(N21&gt;=0,0,(IF(N21&gt;-60,0,IF(-60&gt;=N21,IF(N21&gt;-120,0,IF(N21&gt;=-180,0,IF(N21&gt;=-365,O21,0)))))))</f>
        <v>0</v>
      </c>
      <c r="V21" s="40">
        <f>IF(N21&gt;=0,0,IF(365&lt;-N21,O21,0))</f>
        <v>0</v>
      </c>
    </row>
    <row r="22" spans="1:22" s="99" customFormat="1" ht="19.5" customHeight="1">
      <c r="A22" s="104"/>
      <c r="B22" s="105"/>
      <c r="C22" s="106"/>
      <c r="D22" s="107"/>
      <c r="E22" s="108">
        <f t="shared" ref="E22:K22" si="4">SUM(E21:E21)</f>
        <v>5428028.5</v>
      </c>
      <c r="F22" s="108">
        <f t="shared" si="4"/>
        <v>0</v>
      </c>
      <c r="G22" s="108">
        <f t="shared" si="4"/>
        <v>0</v>
      </c>
      <c r="H22" s="108">
        <f t="shared" si="4"/>
        <v>0</v>
      </c>
      <c r="I22" s="108">
        <f t="shared" si="4"/>
        <v>5428028.5</v>
      </c>
      <c r="J22" s="113">
        <f t="shared" si="4"/>
        <v>6513634.2000000002</v>
      </c>
      <c r="K22" s="113">
        <f t="shared" si="4"/>
        <v>6513634.2000000002</v>
      </c>
      <c r="L22" s="109"/>
      <c r="M22" s="109"/>
      <c r="N22" s="110"/>
      <c r="O22" s="108">
        <f>SUM(O21:O21)</f>
        <v>0</v>
      </c>
      <c r="P22" s="108" t="e">
        <f>SUM(P21:P21)</f>
        <v>#REF!</v>
      </c>
      <c r="Q22" s="114"/>
      <c r="R22" s="115">
        <f>SUM(R21:R21)</f>
        <v>0</v>
      </c>
      <c r="S22" s="115">
        <f>SUM(S21:S21)</f>
        <v>0</v>
      </c>
      <c r="T22" s="115">
        <f>SUM(T21:T21)</f>
        <v>0</v>
      </c>
      <c r="U22" s="115">
        <f>SUM(U21:U21)</f>
        <v>0</v>
      </c>
      <c r="V22" s="115">
        <f>SUM(V21:V21)</f>
        <v>0</v>
      </c>
    </row>
    <row r="23" spans="1:22" ht="19.5" customHeight="1">
      <c r="A23" s="41" t="s">
        <v>218</v>
      </c>
      <c r="B23" s="42"/>
      <c r="C23" s="43"/>
      <c r="D23" s="44"/>
      <c r="E23" s="36">
        <v>1210</v>
      </c>
      <c r="F23" s="36">
        <f>-E23*$F$10</f>
        <v>0</v>
      </c>
      <c r="G23" s="36">
        <f>E23*$G$10</f>
        <v>0</v>
      </c>
      <c r="H23" s="36"/>
      <c r="I23" s="36">
        <f>+E23+F23-G23-H23</f>
        <v>1210</v>
      </c>
      <c r="J23" s="36">
        <f>+I23+(I23*$I$4)</f>
        <v>1452</v>
      </c>
      <c r="K23" s="36">
        <v>1452</v>
      </c>
      <c r="L23" s="37"/>
      <c r="M23" s="37"/>
      <c r="N23" s="92">
        <f>-IF(L23=0,,IF(M23=0,($C$10-L23),M23-L23))</f>
        <v>0</v>
      </c>
      <c r="O23" s="36">
        <f>+J23-K23</f>
        <v>0</v>
      </c>
      <c r="P23" s="36" t="e">
        <f>+IF($C$10&lt;L23,0,O23)</f>
        <v>#REF!</v>
      </c>
      <c r="Q23" s="39"/>
      <c r="R23" s="40">
        <f>IF(N23&gt;=0,0,(IF(-N23&lt;=60,O23,0)))</f>
        <v>0</v>
      </c>
      <c r="S23" s="40">
        <f>IF(N23&gt;=0,0,(IF(N23&gt;=-60,0,IF(-60&gt;=N23,IF(N23&gt;=-120,O23,0)))))</f>
        <v>0</v>
      </c>
      <c r="T23" s="40">
        <f>IF(N23&gt;=0,0,(IF(N23&gt;-60,0,IF(-60&gt;=N23,IF(N23&gt;=-120,0,IF(N23&gt;=-180,O23,0))))))</f>
        <v>0</v>
      </c>
      <c r="U23" s="40">
        <f>IF(N23&gt;=0,0,(IF(N23&gt;-60,0,IF(-60&gt;=N23,IF(N23&gt;-120,0,IF(N23&gt;=-180,0,IF(N23&gt;=-365,O23,0)))))))</f>
        <v>0</v>
      </c>
      <c r="V23" s="40">
        <f>IF(N23&gt;=0,0,IF(365&lt;-N23,O23,0))</f>
        <v>0</v>
      </c>
    </row>
    <row r="24" spans="1:22" s="99" customFormat="1" ht="19.5" customHeight="1">
      <c r="A24" s="104"/>
      <c r="B24" s="104"/>
      <c r="C24" s="106"/>
      <c r="D24" s="107"/>
      <c r="E24" s="108">
        <f t="shared" ref="E24:K24" si="5">SUM(E23:E23)</f>
        <v>1210</v>
      </c>
      <c r="F24" s="108">
        <f t="shared" si="5"/>
        <v>0</v>
      </c>
      <c r="G24" s="108">
        <f t="shared" si="5"/>
        <v>0</v>
      </c>
      <c r="H24" s="108">
        <f t="shared" si="5"/>
        <v>0</v>
      </c>
      <c r="I24" s="108">
        <f t="shared" si="5"/>
        <v>1210</v>
      </c>
      <c r="J24" s="113">
        <f t="shared" si="5"/>
        <v>1452</v>
      </c>
      <c r="K24" s="113">
        <f t="shared" si="5"/>
        <v>1452</v>
      </c>
      <c r="L24" s="109"/>
      <c r="M24" s="109"/>
      <c r="N24" s="110"/>
      <c r="O24" s="108">
        <f>SUM(O23:O23)</f>
        <v>0</v>
      </c>
      <c r="P24" s="108" t="e">
        <f>SUM(P23:P23)</f>
        <v>#REF!</v>
      </c>
      <c r="Q24" s="111"/>
      <c r="R24" s="112">
        <f>SUM(R23:R23)</f>
        <v>0</v>
      </c>
      <c r="S24" s="112">
        <f>SUM(S23:S23)</f>
        <v>0</v>
      </c>
      <c r="T24" s="112">
        <f>SUM(T23:T23)</f>
        <v>0</v>
      </c>
      <c r="U24" s="112">
        <f>SUM(U23:U23)</f>
        <v>0</v>
      </c>
      <c r="V24" s="112">
        <f>SUM(V23:V23)</f>
        <v>0</v>
      </c>
    </row>
    <row r="25" spans="1:22" ht="19.5" customHeight="1">
      <c r="A25" s="41" t="s">
        <v>109</v>
      </c>
      <c r="B25" s="41"/>
      <c r="C25" s="43"/>
      <c r="D25" s="44"/>
      <c r="E25" s="36">
        <v>10925</v>
      </c>
      <c r="F25" s="36">
        <f>-E25*$F$10</f>
        <v>0</v>
      </c>
      <c r="G25" s="36">
        <f>E25*$G$10</f>
        <v>0</v>
      </c>
      <c r="H25" s="36"/>
      <c r="I25" s="36">
        <f>+E25+F25-G25-H25</f>
        <v>10925</v>
      </c>
      <c r="J25" s="36">
        <f>+I25+(I25*$I$4)</f>
        <v>13110</v>
      </c>
      <c r="K25" s="36">
        <v>13110</v>
      </c>
      <c r="L25" s="37"/>
      <c r="M25" s="37"/>
      <c r="N25" s="92">
        <f>-IF(L25=0,,IF(M25=0,($C$10-L25),M25-L25))</f>
        <v>0</v>
      </c>
      <c r="O25" s="36">
        <f>+J25-K25</f>
        <v>0</v>
      </c>
      <c r="P25" s="36" t="e">
        <f>+IF($C$10&lt;L25,0,O25)</f>
        <v>#REF!</v>
      </c>
      <c r="Q25" s="39"/>
      <c r="R25" s="40">
        <f>IF(N25&gt;=0,0,(IF(-N25&lt;=60,O25,0)))</f>
        <v>0</v>
      </c>
      <c r="S25" s="40">
        <f>IF(N25&gt;=0,0,(IF(N25&gt;=-60,0,IF(-60&gt;=N25,IF(N25&gt;=-120,O25,0)))))</f>
        <v>0</v>
      </c>
      <c r="T25" s="40">
        <f>IF(N25&gt;=0,0,(IF(N25&gt;-60,0,IF(-60&gt;=N25,IF(N25&gt;=-120,0,IF(N25&gt;=-180,O25,0))))))</f>
        <v>0</v>
      </c>
      <c r="U25" s="40">
        <f>IF(N25&gt;=0,0,(IF(N25&gt;-60,0,IF(-60&gt;=N25,IF(N25&gt;-120,0,IF(N25&gt;=-180,0,IF(N25&gt;=-365,O25,0)))))))</f>
        <v>0</v>
      </c>
      <c r="V25" s="40">
        <f>IF(N25&gt;=0,0,IF(365&lt;-N25,O25,0))</f>
        <v>0</v>
      </c>
    </row>
    <row r="26" spans="1:22" s="99" customFormat="1" ht="19.5" customHeight="1">
      <c r="A26" s="104"/>
      <c r="B26" s="104"/>
      <c r="C26" s="106"/>
      <c r="D26" s="107"/>
      <c r="E26" s="108">
        <f t="shared" ref="E26:K26" si="6">SUM(E25:E25)</f>
        <v>10925</v>
      </c>
      <c r="F26" s="108">
        <f t="shared" si="6"/>
        <v>0</v>
      </c>
      <c r="G26" s="108">
        <f t="shared" si="6"/>
        <v>0</v>
      </c>
      <c r="H26" s="108">
        <f t="shared" si="6"/>
        <v>0</v>
      </c>
      <c r="I26" s="108">
        <f t="shared" si="6"/>
        <v>10925</v>
      </c>
      <c r="J26" s="113">
        <f t="shared" si="6"/>
        <v>13110</v>
      </c>
      <c r="K26" s="113">
        <f t="shared" si="6"/>
        <v>13110</v>
      </c>
      <c r="L26" s="109"/>
      <c r="M26" s="109"/>
      <c r="N26" s="110"/>
      <c r="O26" s="108">
        <f>SUM(O25:O25)</f>
        <v>0</v>
      </c>
      <c r="P26" s="108" t="e">
        <f>SUM(P25:P25)</f>
        <v>#REF!</v>
      </c>
      <c r="Q26" s="111"/>
      <c r="R26" s="112">
        <f>SUM(R25:R25)</f>
        <v>0</v>
      </c>
      <c r="S26" s="112">
        <f>SUM(S25:S25)</f>
        <v>0</v>
      </c>
      <c r="T26" s="112">
        <f>SUM(T25:T25)</f>
        <v>0</v>
      </c>
      <c r="U26" s="112">
        <f>SUM(U25:U25)</f>
        <v>0</v>
      </c>
      <c r="V26" s="112">
        <f>SUM(V25:V25)</f>
        <v>0</v>
      </c>
    </row>
    <row r="27" spans="1:22" ht="19.5" customHeight="1">
      <c r="A27" s="41" t="s">
        <v>100</v>
      </c>
      <c r="B27" s="41"/>
      <c r="C27" s="43"/>
      <c r="D27" s="44"/>
      <c r="E27" s="36">
        <v>712200</v>
      </c>
      <c r="F27" s="36">
        <f>-E27*$F$10</f>
        <v>0</v>
      </c>
      <c r="G27" s="36">
        <f>E27*$G$10</f>
        <v>0</v>
      </c>
      <c r="H27" s="36"/>
      <c r="I27" s="36">
        <f>+E27+F27-G27-H27</f>
        <v>712200</v>
      </c>
      <c r="J27" s="36">
        <f>+I27+(I27*$I$4)</f>
        <v>854640</v>
      </c>
      <c r="K27" s="36">
        <v>854640</v>
      </c>
      <c r="L27" s="37"/>
      <c r="M27" s="37"/>
      <c r="N27" s="92">
        <f>-IF(L27=0,,IF(M27=0,($C$10-L27),M27-L27))</f>
        <v>0</v>
      </c>
      <c r="O27" s="36">
        <f>+J27-K27</f>
        <v>0</v>
      </c>
      <c r="P27" s="36" t="e">
        <f>+IF($C$10&lt;L27,0,O27)</f>
        <v>#REF!</v>
      </c>
      <c r="Q27" s="39"/>
      <c r="R27" s="40">
        <f>IF(N27&gt;=0,0,(IF(-N27&lt;=60,O27,0)))</f>
        <v>0</v>
      </c>
      <c r="S27" s="40">
        <f>IF(N27&gt;=0,0,(IF(N27&gt;=-60,0,IF(-60&gt;=N27,IF(N27&gt;=-120,O27,0)))))</f>
        <v>0</v>
      </c>
      <c r="T27" s="40">
        <f>IF(N27&gt;=0,0,(IF(N27&gt;-60,0,IF(-60&gt;=N27,IF(N27&gt;=-120,0,IF(N27&gt;=-180,O27,0))))))</f>
        <v>0</v>
      </c>
      <c r="U27" s="40">
        <f>IF(N27&gt;=0,0,(IF(N27&gt;-60,0,IF(-60&gt;=N27,IF(N27&gt;-120,0,IF(N27&gt;=-180,0,IF(N27&gt;=-365,O27,0)))))))</f>
        <v>0</v>
      </c>
      <c r="V27" s="40">
        <f>IF(N27&gt;=0,0,IF(365&lt;-N27,O27,0))</f>
        <v>0</v>
      </c>
    </row>
    <row r="28" spans="1:22" s="99" customFormat="1" ht="19.5" customHeight="1">
      <c r="A28" s="104"/>
      <c r="B28" s="105"/>
      <c r="C28" s="106"/>
      <c r="D28" s="107"/>
      <c r="E28" s="108">
        <f t="shared" ref="E28:K28" si="7">SUM(E27:E27)</f>
        <v>712200</v>
      </c>
      <c r="F28" s="108">
        <f t="shared" si="7"/>
        <v>0</v>
      </c>
      <c r="G28" s="108">
        <f t="shared" si="7"/>
        <v>0</v>
      </c>
      <c r="H28" s="108">
        <f t="shared" si="7"/>
        <v>0</v>
      </c>
      <c r="I28" s="108">
        <f t="shared" si="7"/>
        <v>712200</v>
      </c>
      <c r="J28" s="113">
        <f t="shared" si="7"/>
        <v>854640</v>
      </c>
      <c r="K28" s="113">
        <f t="shared" si="7"/>
        <v>854640</v>
      </c>
      <c r="L28" s="109"/>
      <c r="M28" s="109"/>
      <c r="N28" s="110"/>
      <c r="O28" s="108">
        <f>SUM(O27)</f>
        <v>0</v>
      </c>
      <c r="P28" s="108" t="e">
        <f>SUM(P27)</f>
        <v>#REF!</v>
      </c>
      <c r="Q28" s="111"/>
      <c r="R28" s="112">
        <f>SUM(R27)</f>
        <v>0</v>
      </c>
      <c r="S28" s="112">
        <f>SUM(S27)</f>
        <v>0</v>
      </c>
      <c r="T28" s="112">
        <f>SUM(T27)</f>
        <v>0</v>
      </c>
      <c r="U28" s="112">
        <f>SUM(U27)</f>
        <v>0</v>
      </c>
      <c r="V28" s="112">
        <f>SUM(V27)</f>
        <v>0</v>
      </c>
    </row>
    <row r="29" spans="1:22" ht="19.5" customHeight="1">
      <c r="A29" s="41" t="s">
        <v>110</v>
      </c>
      <c r="B29" s="41"/>
      <c r="C29" s="43"/>
      <c r="D29" s="44"/>
      <c r="E29" s="36">
        <f>38745/1.2</f>
        <v>32287.5</v>
      </c>
      <c r="F29" s="36">
        <f>-E29*$F$10</f>
        <v>0</v>
      </c>
      <c r="G29" s="36">
        <f>E29*$G$10</f>
        <v>0</v>
      </c>
      <c r="H29" s="36"/>
      <c r="I29" s="36">
        <f>+E29+F29-G29-H29</f>
        <v>32287.5</v>
      </c>
      <c r="J29" s="36">
        <f>+I29+(I29*$I$4)</f>
        <v>38745</v>
      </c>
      <c r="K29" s="36">
        <v>38745</v>
      </c>
      <c r="L29" s="37"/>
      <c r="M29" s="37"/>
      <c r="N29" s="92">
        <f>-IF(L29=0,,IF(M29=0,($C$10-L29),M29-L29))</f>
        <v>0</v>
      </c>
      <c r="O29" s="36">
        <f>+J29-K29</f>
        <v>0</v>
      </c>
      <c r="P29" s="36" t="e">
        <f>+IF($C$10&lt;L29,0,O29)</f>
        <v>#REF!</v>
      </c>
      <c r="Q29" s="39"/>
      <c r="R29" s="40">
        <f>IF(N29&gt;=0,0,(IF(-N29&lt;=60,O29,0)))</f>
        <v>0</v>
      </c>
      <c r="S29" s="40">
        <f>IF(N29&gt;=0,0,(IF(N29&gt;=-60,0,IF(-60&gt;=N29,IF(N29&gt;=-120,O29,0)))))</f>
        <v>0</v>
      </c>
      <c r="T29" s="40">
        <f>IF(N29&gt;=0,0,(IF(N29&gt;-60,0,IF(-60&gt;=N29,IF(N29&gt;=-120,0,IF(N29&gt;=-180,O29,0))))))</f>
        <v>0</v>
      </c>
      <c r="U29" s="40">
        <f>IF(N29&gt;=0,0,(IF(N29&gt;-60,0,IF(-60&gt;=N29,IF(N29&gt;-120,0,IF(N29&gt;=-180,0,IF(N29&gt;=-365,O29,0)))))))</f>
        <v>0</v>
      </c>
      <c r="V29" s="40">
        <f>IF(N29&gt;=0,0,IF(365&lt;-N29,O29,0))</f>
        <v>0</v>
      </c>
    </row>
    <row r="30" spans="1:22" s="99" customFormat="1" ht="19.5" customHeight="1">
      <c r="A30" s="104"/>
      <c r="B30" s="104"/>
      <c r="C30" s="106"/>
      <c r="D30" s="107"/>
      <c r="E30" s="108">
        <f t="shared" ref="E30:K30" si="8">SUM(E29:E29)</f>
        <v>32287.5</v>
      </c>
      <c r="F30" s="108">
        <f t="shared" si="8"/>
        <v>0</v>
      </c>
      <c r="G30" s="108">
        <f t="shared" si="8"/>
        <v>0</v>
      </c>
      <c r="H30" s="108">
        <f t="shared" si="8"/>
        <v>0</v>
      </c>
      <c r="I30" s="108">
        <f t="shared" si="8"/>
        <v>32287.5</v>
      </c>
      <c r="J30" s="113">
        <f t="shared" si="8"/>
        <v>38745</v>
      </c>
      <c r="K30" s="113">
        <f t="shared" si="8"/>
        <v>38745</v>
      </c>
      <c r="L30" s="109"/>
      <c r="M30" s="109"/>
      <c r="N30" s="110"/>
      <c r="O30" s="108">
        <f>SUM(O29:O29)</f>
        <v>0</v>
      </c>
      <c r="P30" s="108" t="e">
        <f>SUM(P29:P29)</f>
        <v>#REF!</v>
      </c>
      <c r="Q30" s="111"/>
      <c r="R30" s="112">
        <f>SUM(R29:R29)</f>
        <v>0</v>
      </c>
      <c r="S30" s="112">
        <f>SUM(S29:S29)</f>
        <v>0</v>
      </c>
      <c r="T30" s="112">
        <f>SUM(T29:T29)</f>
        <v>0</v>
      </c>
      <c r="U30" s="112">
        <f>SUM(U29:U29)</f>
        <v>0</v>
      </c>
      <c r="V30" s="112">
        <f>SUM(V29:V29)</f>
        <v>0</v>
      </c>
    </row>
    <row r="31" spans="1:22" ht="19.5" customHeight="1">
      <c r="A31" s="41" t="s">
        <v>111</v>
      </c>
      <c r="B31" s="41"/>
      <c r="C31" s="43"/>
      <c r="D31" s="44"/>
      <c r="E31" s="36">
        <f>99450/1.2</f>
        <v>82875</v>
      </c>
      <c r="F31" s="36">
        <f>-E31*$F$10</f>
        <v>0</v>
      </c>
      <c r="G31" s="36">
        <f>E31*$G$10</f>
        <v>0</v>
      </c>
      <c r="H31" s="36"/>
      <c r="I31" s="36">
        <f>+E31+F31-G31-H31</f>
        <v>82875</v>
      </c>
      <c r="J31" s="36">
        <f>+I31+(I31*$I$4)</f>
        <v>99450</v>
      </c>
      <c r="K31" s="36">
        <v>99450</v>
      </c>
      <c r="L31" s="37"/>
      <c r="M31" s="37"/>
      <c r="N31" s="92">
        <f>-IF(L31=0,,IF(M31=0,($C$10-L31),M31-L31))</f>
        <v>0</v>
      </c>
      <c r="O31" s="36">
        <f>+J31-K31</f>
        <v>0</v>
      </c>
      <c r="P31" s="36" t="e">
        <f>+IF($C$10&lt;L31,0,O31)</f>
        <v>#REF!</v>
      </c>
      <c r="Q31" s="39"/>
      <c r="R31" s="40">
        <f>IF(N31&gt;=0,0,(IF(-N31&lt;=60,O31,0)))</f>
        <v>0</v>
      </c>
      <c r="S31" s="40">
        <f>IF(N31&gt;=0,0,(IF(N31&gt;=-60,0,IF(-60&gt;=N31,IF(N31&gt;=-120,O31,0)))))</f>
        <v>0</v>
      </c>
      <c r="T31" s="40">
        <f>IF(N31&gt;=0,0,(IF(N31&gt;-60,0,IF(-60&gt;=N31,IF(N31&gt;=-120,0,IF(N31&gt;=-180,O31,0))))))</f>
        <v>0</v>
      </c>
      <c r="U31" s="40">
        <f>IF(N31&gt;=0,0,(IF(N31&gt;-60,0,IF(-60&gt;=N31,IF(N31&gt;-120,0,IF(N31&gt;=-180,0,IF(N31&gt;=-365,O31,0)))))))</f>
        <v>0</v>
      </c>
      <c r="V31" s="40">
        <f>IF(N31&gt;=0,0,IF(365&lt;-N31,O31,0))</f>
        <v>0</v>
      </c>
    </row>
    <row r="32" spans="1:22" s="99" customFormat="1" ht="19.5" customHeight="1">
      <c r="A32" s="104"/>
      <c r="B32" s="105"/>
      <c r="C32" s="106"/>
      <c r="D32" s="107"/>
      <c r="E32" s="108">
        <f t="shared" ref="E32:K32" si="9">SUM(E31:E31)</f>
        <v>82875</v>
      </c>
      <c r="F32" s="108">
        <f t="shared" si="9"/>
        <v>0</v>
      </c>
      <c r="G32" s="108">
        <f t="shared" si="9"/>
        <v>0</v>
      </c>
      <c r="H32" s="108">
        <f t="shared" si="9"/>
        <v>0</v>
      </c>
      <c r="I32" s="108">
        <f t="shared" si="9"/>
        <v>82875</v>
      </c>
      <c r="J32" s="113">
        <f t="shared" si="9"/>
        <v>99450</v>
      </c>
      <c r="K32" s="113">
        <f t="shared" si="9"/>
        <v>99450</v>
      </c>
      <c r="L32" s="109"/>
      <c r="M32" s="109"/>
      <c r="N32" s="110"/>
      <c r="O32" s="108">
        <f>SUM(O31)</f>
        <v>0</v>
      </c>
      <c r="P32" s="108" t="e">
        <f>SUM(P31)</f>
        <v>#REF!</v>
      </c>
      <c r="Q32" s="111"/>
      <c r="R32" s="112">
        <f>SUM(R31)</f>
        <v>0</v>
      </c>
      <c r="S32" s="112">
        <f>SUM(S31)</f>
        <v>0</v>
      </c>
      <c r="T32" s="112">
        <f>SUM(T31)</f>
        <v>0</v>
      </c>
      <c r="U32" s="112">
        <f>SUM(U31)</f>
        <v>0</v>
      </c>
      <c r="V32" s="112">
        <f>SUM(V31)</f>
        <v>0</v>
      </c>
    </row>
    <row r="33" spans="1:22" ht="19.5" customHeight="1">
      <c r="A33" s="41" t="s">
        <v>69</v>
      </c>
      <c r="B33" s="41"/>
      <c r="C33" s="43"/>
      <c r="D33" s="44"/>
      <c r="E33" s="36">
        <f>4408816.22/1.2</f>
        <v>3674013.5166666666</v>
      </c>
      <c r="F33" s="36">
        <f>-E33*$F$10</f>
        <v>0</v>
      </c>
      <c r="G33" s="36">
        <f>E33*$G$10</f>
        <v>0</v>
      </c>
      <c r="H33" s="36"/>
      <c r="I33" s="36">
        <f>+E33+F33-G33-H33</f>
        <v>3674013.5166666666</v>
      </c>
      <c r="J33" s="36">
        <f>+I33+(I33*$I$4)</f>
        <v>4408816.22</v>
      </c>
      <c r="K33" s="36">
        <v>4408816.22</v>
      </c>
      <c r="L33" s="37"/>
      <c r="M33" s="37"/>
      <c r="N33" s="92">
        <f>-IF(L33=0,,IF(M33=0,($C$10-L33),M33-L33))</f>
        <v>0</v>
      </c>
      <c r="O33" s="36">
        <f>+J33-K33</f>
        <v>0</v>
      </c>
      <c r="P33" s="36" t="e">
        <f>+IF($C$10&lt;L33,0,O33)</f>
        <v>#REF!</v>
      </c>
      <c r="Q33" s="39"/>
      <c r="R33" s="40">
        <f>IF(N33&gt;=0,0,(IF(-N33&lt;=60,O33,0)))</f>
        <v>0</v>
      </c>
      <c r="S33" s="40">
        <f>IF(N33&gt;=0,0,(IF(N33&gt;=-60,0,IF(-60&gt;=N33,IF(N33&gt;=-120,O33,0)))))</f>
        <v>0</v>
      </c>
      <c r="T33" s="40">
        <f>IF(N33&gt;=0,0,(IF(N33&gt;-60,0,IF(-60&gt;=N33,IF(N33&gt;=-120,0,IF(N33&gt;=-180,O33,0))))))</f>
        <v>0</v>
      </c>
      <c r="U33" s="40">
        <f>IF(N33&gt;=0,0,(IF(N33&gt;-60,0,IF(-60&gt;=N33,IF(N33&gt;-120,0,IF(N33&gt;=-180,0,IF(N33&gt;=-365,O33,0)))))))</f>
        <v>0</v>
      </c>
      <c r="V33" s="40">
        <f>IF(N33&gt;=0,0,IF(365&lt;-N33,O33,0))</f>
        <v>0</v>
      </c>
    </row>
    <row r="34" spans="1:22" s="99" customFormat="1" ht="19.5" customHeight="1">
      <c r="A34" s="104"/>
      <c r="B34" s="105"/>
      <c r="C34" s="106"/>
      <c r="D34" s="107"/>
      <c r="E34" s="108">
        <f t="shared" ref="E34:K34" si="10">SUM(E33:E33)</f>
        <v>3674013.5166666666</v>
      </c>
      <c r="F34" s="108">
        <f t="shared" si="10"/>
        <v>0</v>
      </c>
      <c r="G34" s="108">
        <f t="shared" si="10"/>
        <v>0</v>
      </c>
      <c r="H34" s="108">
        <f t="shared" si="10"/>
        <v>0</v>
      </c>
      <c r="I34" s="108">
        <f t="shared" si="10"/>
        <v>3674013.5166666666</v>
      </c>
      <c r="J34" s="113">
        <f t="shared" si="10"/>
        <v>4408816.22</v>
      </c>
      <c r="K34" s="113">
        <f t="shared" si="10"/>
        <v>4408816.22</v>
      </c>
      <c r="L34" s="109"/>
      <c r="M34" s="109"/>
      <c r="N34" s="110"/>
      <c r="O34" s="108">
        <f>SUM(O33:O33)</f>
        <v>0</v>
      </c>
      <c r="P34" s="108" t="e">
        <f>SUM(P33:P33)</f>
        <v>#REF!</v>
      </c>
      <c r="Q34" s="111"/>
      <c r="R34" s="112">
        <f>SUM(R33:R33)</f>
        <v>0</v>
      </c>
      <c r="S34" s="112">
        <f>SUM(S33:S33)</f>
        <v>0</v>
      </c>
      <c r="T34" s="112">
        <f>SUM(T33:T33)</f>
        <v>0</v>
      </c>
      <c r="U34" s="112">
        <f>SUM(U33:U33)</f>
        <v>0</v>
      </c>
      <c r="V34" s="112">
        <f>SUM(V33:V33)</f>
        <v>0</v>
      </c>
    </row>
    <row r="35" spans="1:22" ht="19.5" customHeight="1">
      <c r="A35" s="41" t="s">
        <v>112</v>
      </c>
      <c r="B35" s="41"/>
      <c r="C35" s="43"/>
      <c r="D35" s="44"/>
      <c r="E35" s="36">
        <f>111614.4/1.2</f>
        <v>93012</v>
      </c>
      <c r="F35" s="36">
        <f>-E35*$F$10</f>
        <v>0</v>
      </c>
      <c r="G35" s="36">
        <f>E35*$G$10</f>
        <v>0</v>
      </c>
      <c r="H35" s="36"/>
      <c r="I35" s="36">
        <f>+E35+F35-G35-H35</f>
        <v>93012</v>
      </c>
      <c r="J35" s="36">
        <f>+I35+(I35*$I$4)</f>
        <v>111614.39999999999</v>
      </c>
      <c r="K35" s="36">
        <v>111614.39999999999</v>
      </c>
      <c r="L35" s="37"/>
      <c r="M35" s="37"/>
      <c r="N35" s="92">
        <f>-IF(L35=0,,IF(M35=0,($C$10-L35),M35-L35))</f>
        <v>0</v>
      </c>
      <c r="O35" s="36">
        <f>+J35-K35</f>
        <v>0</v>
      </c>
      <c r="P35" s="36" t="e">
        <f>+IF($C$10&lt;L35,0,O35)</f>
        <v>#REF!</v>
      </c>
      <c r="Q35" s="39"/>
      <c r="R35" s="40">
        <f>IF(N35&gt;=0,0,(IF(-N35&lt;=60,O35,0)))</f>
        <v>0</v>
      </c>
      <c r="S35" s="40">
        <f>IF(N35&gt;=0,0,(IF(N35&gt;=-60,0,IF(-60&gt;=N35,IF(N35&gt;=-120,O35,0)))))</f>
        <v>0</v>
      </c>
      <c r="T35" s="40">
        <f>IF(N35&gt;=0,0,(IF(N35&gt;-60,0,IF(-60&gt;=N35,IF(N35&gt;=-120,0,IF(N35&gt;=-180,O35,0))))))</f>
        <v>0</v>
      </c>
      <c r="U35" s="40">
        <f>IF(N35&gt;=0,0,(IF(N35&gt;-60,0,IF(-60&gt;=N35,IF(N35&gt;-120,0,IF(N35&gt;=-180,0,IF(N35&gt;=-365,O35,0)))))))</f>
        <v>0</v>
      </c>
      <c r="V35" s="40">
        <f>IF(N35&gt;=0,0,IF(365&lt;-N35,O35,0))</f>
        <v>0</v>
      </c>
    </row>
    <row r="36" spans="1:22" s="99" customFormat="1" ht="19.5" customHeight="1">
      <c r="A36" s="104"/>
      <c r="B36" s="105"/>
      <c r="C36" s="106"/>
      <c r="D36" s="107"/>
      <c r="E36" s="108">
        <f t="shared" ref="E36:K36" si="11">SUM(E35:E35)</f>
        <v>93012</v>
      </c>
      <c r="F36" s="108">
        <f t="shared" si="11"/>
        <v>0</v>
      </c>
      <c r="G36" s="108">
        <f t="shared" si="11"/>
        <v>0</v>
      </c>
      <c r="H36" s="108">
        <f t="shared" si="11"/>
        <v>0</v>
      </c>
      <c r="I36" s="108">
        <f t="shared" si="11"/>
        <v>93012</v>
      </c>
      <c r="J36" s="113">
        <f t="shared" si="11"/>
        <v>111614.39999999999</v>
      </c>
      <c r="K36" s="113">
        <f t="shared" si="11"/>
        <v>111614.39999999999</v>
      </c>
      <c r="L36" s="109"/>
      <c r="M36" s="109"/>
      <c r="N36" s="110"/>
      <c r="O36" s="108">
        <f>SUM(O35:O35)</f>
        <v>0</v>
      </c>
      <c r="P36" s="108" t="e">
        <f>SUM(P35:P35)</f>
        <v>#REF!</v>
      </c>
      <c r="Q36" s="111"/>
      <c r="R36" s="112">
        <f>SUM(R35:R35)</f>
        <v>0</v>
      </c>
      <c r="S36" s="112">
        <f>SUM(S35:S35)</f>
        <v>0</v>
      </c>
      <c r="T36" s="112">
        <f>SUM(T35:T35)</f>
        <v>0</v>
      </c>
      <c r="U36" s="112">
        <f>SUM(U35:U35)</f>
        <v>0</v>
      </c>
      <c r="V36" s="112">
        <f>SUM(V35:V35)</f>
        <v>0</v>
      </c>
    </row>
    <row r="37" spans="1:22" ht="19.5" customHeight="1">
      <c r="A37" s="41" t="s">
        <v>113</v>
      </c>
      <c r="B37" s="41"/>
      <c r="C37" s="43"/>
      <c r="D37" s="44"/>
      <c r="E37" s="36">
        <f>460667.32/1.2</f>
        <v>383889.43333333335</v>
      </c>
      <c r="F37" s="36">
        <f>-E37*$F$10</f>
        <v>0</v>
      </c>
      <c r="G37" s="36">
        <f>E37*$G$10</f>
        <v>0</v>
      </c>
      <c r="H37" s="36"/>
      <c r="I37" s="36">
        <f>+E37+F37-G37-H37</f>
        <v>383889.43333333335</v>
      </c>
      <c r="J37" s="36">
        <f>+I37+(I37*$I$4)</f>
        <v>460667.32</v>
      </c>
      <c r="K37" s="36">
        <v>460667.32</v>
      </c>
      <c r="L37" s="37"/>
      <c r="M37" s="37"/>
      <c r="N37" s="92">
        <f>-IF(L37=0,,IF(M37=0,($C$10-L37),M37-L37))</f>
        <v>0</v>
      </c>
      <c r="O37" s="36">
        <f>+J37-K37</f>
        <v>0</v>
      </c>
      <c r="P37" s="36" t="e">
        <f>+IF($C$10&lt;L37,0,O37)</f>
        <v>#REF!</v>
      </c>
      <c r="Q37" s="39"/>
      <c r="R37" s="40">
        <f>IF(N37&gt;=0,0,(IF(-N37&lt;=60,O37,0)))</f>
        <v>0</v>
      </c>
      <c r="S37" s="40">
        <f>IF(N37&gt;=0,0,(IF(N37&gt;=-60,0,IF(-60&gt;=N37,IF(N37&gt;=-120,O37,0)))))</f>
        <v>0</v>
      </c>
      <c r="T37" s="40">
        <f>IF(N37&gt;=0,0,(IF(N37&gt;-60,0,IF(-60&gt;=N37,IF(N37&gt;=-120,0,IF(N37&gt;=-180,O37,0))))))</f>
        <v>0</v>
      </c>
      <c r="U37" s="40">
        <f>IF(N37&gt;=0,0,(IF(N37&gt;-60,0,IF(-60&gt;=N37,IF(N37&gt;-120,0,IF(N37&gt;=-180,0,IF(N37&gt;=-365,O37,0)))))))</f>
        <v>0</v>
      </c>
      <c r="V37" s="40">
        <f>IF(N37&gt;=0,0,IF(365&lt;-N37,O37,0))</f>
        <v>0</v>
      </c>
    </row>
    <row r="38" spans="1:22" s="99" customFormat="1" ht="19.5" customHeight="1">
      <c r="A38" s="104"/>
      <c r="B38" s="105"/>
      <c r="C38" s="106"/>
      <c r="D38" s="107"/>
      <c r="E38" s="108">
        <f t="shared" ref="E38:K38" si="12">SUM(E37:E37)</f>
        <v>383889.43333333335</v>
      </c>
      <c r="F38" s="108">
        <f t="shared" si="12"/>
        <v>0</v>
      </c>
      <c r="G38" s="108">
        <f t="shared" si="12"/>
        <v>0</v>
      </c>
      <c r="H38" s="108">
        <f t="shared" si="12"/>
        <v>0</v>
      </c>
      <c r="I38" s="108">
        <f t="shared" si="12"/>
        <v>383889.43333333335</v>
      </c>
      <c r="J38" s="113">
        <f t="shared" si="12"/>
        <v>460667.32</v>
      </c>
      <c r="K38" s="113">
        <f t="shared" si="12"/>
        <v>460667.32</v>
      </c>
      <c r="L38" s="109"/>
      <c r="M38" s="109"/>
      <c r="N38" s="110"/>
      <c r="O38" s="108">
        <f>SUM(O37:O37)</f>
        <v>0</v>
      </c>
      <c r="P38" s="108" t="e">
        <f>SUM(P37:P37)</f>
        <v>#REF!</v>
      </c>
      <c r="Q38" s="111"/>
      <c r="R38" s="112">
        <f>SUM(R37:R37)</f>
        <v>0</v>
      </c>
      <c r="S38" s="112">
        <f>SUM(S37:S37)</f>
        <v>0</v>
      </c>
      <c r="T38" s="112">
        <f>SUM(T37:T37)</f>
        <v>0</v>
      </c>
      <c r="U38" s="112">
        <f>SUM(U37:U37)</f>
        <v>0</v>
      </c>
      <c r="V38" s="112">
        <f>SUM(V37:V37)</f>
        <v>0</v>
      </c>
    </row>
    <row r="39" spans="1:22" ht="19.5" customHeight="1">
      <c r="A39" s="41" t="s">
        <v>75</v>
      </c>
      <c r="B39" s="41"/>
      <c r="C39" s="43"/>
      <c r="D39" s="44"/>
      <c r="E39" s="36">
        <f>25864354.31/1.2</f>
        <v>21553628.591666665</v>
      </c>
      <c r="F39" s="36">
        <f>-E39*$F$10</f>
        <v>0</v>
      </c>
      <c r="G39" s="36">
        <f>E39*$G$10</f>
        <v>0</v>
      </c>
      <c r="H39" s="36"/>
      <c r="I39" s="36">
        <f>+E39+F39-G39-H39</f>
        <v>21553628.591666665</v>
      </c>
      <c r="J39" s="36">
        <f>+I39+(I39*$I$4)</f>
        <v>25864354.309999999</v>
      </c>
      <c r="K39" s="36">
        <v>25864354.309999999</v>
      </c>
      <c r="L39" s="37"/>
      <c r="M39" s="37"/>
      <c r="N39" s="92">
        <f>-IF(L39=0,,IF(M39=0,($C$10-L39),M39-L39))</f>
        <v>0</v>
      </c>
      <c r="O39" s="36">
        <f>+J39-K39</f>
        <v>0</v>
      </c>
      <c r="P39" s="36" t="e">
        <f>+IF($C$10&lt;L39,0,O39)</f>
        <v>#REF!</v>
      </c>
      <c r="Q39" s="39"/>
      <c r="R39" s="40">
        <f>IF(N39&gt;=0,0,(IF(-N39&lt;=60,O39,0)))</f>
        <v>0</v>
      </c>
      <c r="S39" s="40">
        <f>IF(N39&gt;=0,0,(IF(N39&gt;=-60,0,IF(-60&gt;=N39,IF(N39&gt;=-120,O39,0)))))</f>
        <v>0</v>
      </c>
      <c r="T39" s="40">
        <f>IF(N39&gt;=0,0,(IF(N39&gt;-60,0,IF(-60&gt;=N39,IF(N39&gt;=-120,0,IF(N39&gt;=-180,O39,0))))))</f>
        <v>0</v>
      </c>
      <c r="U39" s="40">
        <f>IF(N39&gt;=0,0,(IF(N39&gt;-60,0,IF(-60&gt;=N39,IF(N39&gt;-120,0,IF(N39&gt;=-180,0,IF(N39&gt;=-365,O39,0)))))))</f>
        <v>0</v>
      </c>
      <c r="V39" s="40">
        <f>IF(N39&gt;=0,0,IF(365&lt;-N39,O39,0))</f>
        <v>0</v>
      </c>
    </row>
    <row r="40" spans="1:22" s="99" customFormat="1" ht="19.5" customHeight="1">
      <c r="A40" s="104"/>
      <c r="B40" s="105"/>
      <c r="C40" s="106"/>
      <c r="D40" s="107"/>
      <c r="E40" s="108">
        <f t="shared" ref="E40:K40" si="13">SUM(E39:E39)</f>
        <v>21553628.591666665</v>
      </c>
      <c r="F40" s="108">
        <f t="shared" si="13"/>
        <v>0</v>
      </c>
      <c r="G40" s="108">
        <f t="shared" si="13"/>
        <v>0</v>
      </c>
      <c r="H40" s="108">
        <f t="shared" si="13"/>
        <v>0</v>
      </c>
      <c r="I40" s="108">
        <f t="shared" si="13"/>
        <v>21553628.591666665</v>
      </c>
      <c r="J40" s="113">
        <f t="shared" si="13"/>
        <v>25864354.309999999</v>
      </c>
      <c r="K40" s="113">
        <f t="shared" si="13"/>
        <v>25864354.309999999</v>
      </c>
      <c r="L40" s="109"/>
      <c r="M40" s="109"/>
      <c r="N40" s="110"/>
      <c r="O40" s="108">
        <f>SUM(O39:O39)</f>
        <v>0</v>
      </c>
      <c r="P40" s="108" t="e">
        <f>SUM(P39:P39)</f>
        <v>#REF!</v>
      </c>
      <c r="Q40" s="111"/>
      <c r="R40" s="112">
        <f>SUM(R39:R39)</f>
        <v>0</v>
      </c>
      <c r="S40" s="112">
        <f>SUM(S39:S39)</f>
        <v>0</v>
      </c>
      <c r="T40" s="112">
        <f>SUM(T39:T39)</f>
        <v>0</v>
      </c>
      <c r="U40" s="112">
        <f>SUM(U39:U39)</f>
        <v>0</v>
      </c>
      <c r="V40" s="112">
        <f>SUM(V39:V39)</f>
        <v>0</v>
      </c>
    </row>
    <row r="41" spans="1:22" ht="19.5" customHeight="1">
      <c r="A41" s="41" t="s">
        <v>114</v>
      </c>
      <c r="B41" s="41"/>
      <c r="C41" s="43"/>
      <c r="D41" s="44"/>
      <c r="E41" s="36">
        <f>67259.25/1.2</f>
        <v>56049.375</v>
      </c>
      <c r="F41" s="36">
        <f>-E41*$F$10</f>
        <v>0</v>
      </c>
      <c r="G41" s="36">
        <f>E41*$G$10</f>
        <v>0</v>
      </c>
      <c r="H41" s="36"/>
      <c r="I41" s="36">
        <f>+E41+F41-G41-H41</f>
        <v>56049.375</v>
      </c>
      <c r="J41" s="36">
        <f>+I41+(I41*$I$4)</f>
        <v>67259.25</v>
      </c>
      <c r="K41" s="36">
        <v>67259.25</v>
      </c>
      <c r="L41" s="37"/>
      <c r="M41" s="37"/>
      <c r="N41" s="92">
        <f>-IF(L41=0,,IF(M41=0,($C$10-L41),M41-L41))</f>
        <v>0</v>
      </c>
      <c r="O41" s="36">
        <f>+J41-K41</f>
        <v>0</v>
      </c>
      <c r="P41" s="36" t="e">
        <f>+IF($C$10&lt;L41,0,O41)</f>
        <v>#REF!</v>
      </c>
      <c r="Q41" s="39"/>
      <c r="R41" s="40">
        <f>IF(N41&gt;=0,0,(IF(-N41&lt;=60,O41,0)))</f>
        <v>0</v>
      </c>
      <c r="S41" s="40">
        <f>IF(N41&gt;=0,0,(IF(N41&gt;=-60,0,IF(-60&gt;=N41,IF(N41&gt;=-120,O41,0)))))</f>
        <v>0</v>
      </c>
      <c r="T41" s="40">
        <f>IF(N41&gt;=0,0,(IF(N41&gt;-60,0,IF(-60&gt;=N41,IF(N41&gt;=-120,0,IF(N41&gt;=-180,O41,0))))))</f>
        <v>0</v>
      </c>
      <c r="U41" s="40">
        <f>IF(N41&gt;=0,0,(IF(N41&gt;-60,0,IF(-60&gt;=N41,IF(N41&gt;-120,0,IF(N41&gt;=-180,0,IF(N41&gt;=-365,O41,0)))))))</f>
        <v>0</v>
      </c>
      <c r="V41" s="40">
        <f>IF(N41&gt;=0,0,IF(365&lt;-N41,O41,0))</f>
        <v>0</v>
      </c>
    </row>
    <row r="42" spans="1:22" s="99" customFormat="1" ht="19.5" customHeight="1">
      <c r="A42" s="104"/>
      <c r="B42" s="105"/>
      <c r="C42" s="106"/>
      <c r="D42" s="107"/>
      <c r="E42" s="108">
        <f t="shared" ref="E42:K42" si="14">SUM(E41:E41)</f>
        <v>56049.375</v>
      </c>
      <c r="F42" s="108">
        <f t="shared" si="14"/>
        <v>0</v>
      </c>
      <c r="G42" s="108">
        <f t="shared" si="14"/>
        <v>0</v>
      </c>
      <c r="H42" s="108">
        <f t="shared" si="14"/>
        <v>0</v>
      </c>
      <c r="I42" s="108">
        <f t="shared" si="14"/>
        <v>56049.375</v>
      </c>
      <c r="J42" s="113">
        <f t="shared" si="14"/>
        <v>67259.25</v>
      </c>
      <c r="K42" s="113">
        <f t="shared" si="14"/>
        <v>67259.25</v>
      </c>
      <c r="L42" s="109"/>
      <c r="M42" s="109"/>
      <c r="N42" s="110"/>
      <c r="O42" s="108">
        <f>SUM(O41:O41)</f>
        <v>0</v>
      </c>
      <c r="P42" s="108" t="e">
        <f>SUM(P41:P41)</f>
        <v>#REF!</v>
      </c>
      <c r="Q42" s="111"/>
      <c r="R42" s="112">
        <f>SUM(R41:R41)</f>
        <v>0</v>
      </c>
      <c r="S42" s="112">
        <f>SUM(S41:S41)</f>
        <v>0</v>
      </c>
      <c r="T42" s="112">
        <f>SUM(T41:T41)</f>
        <v>0</v>
      </c>
      <c r="U42" s="112">
        <f>SUM(U41:U41)</f>
        <v>0</v>
      </c>
      <c r="V42" s="112">
        <f>SUM(V41:V41)</f>
        <v>0</v>
      </c>
    </row>
    <row r="43" spans="1:22" ht="19.5" customHeight="1">
      <c r="A43" s="41" t="s">
        <v>115</v>
      </c>
      <c r="B43" s="41"/>
      <c r="C43" s="43"/>
      <c r="D43" s="44"/>
      <c r="E43" s="36">
        <v>8100</v>
      </c>
      <c r="F43" s="36">
        <f>-E43*$F$10</f>
        <v>0</v>
      </c>
      <c r="G43" s="36">
        <f>E43*$G$10</f>
        <v>0</v>
      </c>
      <c r="H43" s="36"/>
      <c r="I43" s="36">
        <f>+E43+F43-G43-H43</f>
        <v>8100</v>
      </c>
      <c r="J43" s="36">
        <f>+I43+(I43*$I$4)</f>
        <v>9720</v>
      </c>
      <c r="K43" s="36">
        <v>9720</v>
      </c>
      <c r="L43" s="37"/>
      <c r="M43" s="116"/>
      <c r="N43" s="92">
        <f>-IF(L43=0,,IF(M43=0,($C$10-L43),M43-L43))</f>
        <v>0</v>
      </c>
      <c r="O43" s="36">
        <f>+J43-K43</f>
        <v>0</v>
      </c>
      <c r="P43" s="36" t="e">
        <f>+IF($C$10&lt;L43,0,O43)</f>
        <v>#REF!</v>
      </c>
      <c r="Q43" s="39"/>
      <c r="R43" s="40">
        <f>IF(N43&gt;=0,0,(IF(-N43&lt;=60,O43,0)))</f>
        <v>0</v>
      </c>
      <c r="S43" s="40">
        <f>IF(N43&gt;=0,0,(IF(N43&gt;=-60,0,IF(-60&gt;=N43,IF(N43&gt;=-120,O43,0)))))</f>
        <v>0</v>
      </c>
      <c r="T43" s="40">
        <f>IF(N43&gt;=0,0,(IF(N43&gt;-60,0,IF(-60&gt;=N43,IF(N43&gt;=-120,0,IF(N43&gt;=-180,O43,0))))))</f>
        <v>0</v>
      </c>
      <c r="U43" s="40">
        <f>IF(N43&gt;=0,0,(IF(N43&gt;-60,0,IF(-60&gt;=N43,IF(N43&gt;-120,0,IF(N43&gt;=-180,0,IF(N43&gt;=-365,O43,0)))))))</f>
        <v>0</v>
      </c>
      <c r="V43" s="40">
        <f>IF(N43&gt;=0,0,IF(365&lt;-N43,O43,0))</f>
        <v>0</v>
      </c>
    </row>
    <row r="44" spans="1:22" s="99" customFormat="1" ht="19.5" customHeight="1">
      <c r="A44" s="104"/>
      <c r="B44" s="104"/>
      <c r="C44" s="106"/>
      <c r="D44" s="107"/>
      <c r="E44" s="108">
        <f t="shared" ref="E44:K44" si="15">SUM(E43:E43)</f>
        <v>8100</v>
      </c>
      <c r="F44" s="108">
        <f t="shared" si="15"/>
        <v>0</v>
      </c>
      <c r="G44" s="108">
        <f t="shared" si="15"/>
        <v>0</v>
      </c>
      <c r="H44" s="108">
        <f t="shared" si="15"/>
        <v>0</v>
      </c>
      <c r="I44" s="108">
        <f t="shared" si="15"/>
        <v>8100</v>
      </c>
      <c r="J44" s="113">
        <f t="shared" si="15"/>
        <v>9720</v>
      </c>
      <c r="K44" s="113">
        <f t="shared" si="15"/>
        <v>9720</v>
      </c>
      <c r="L44" s="109"/>
      <c r="M44" s="119"/>
      <c r="N44" s="110"/>
      <c r="O44" s="108">
        <f>SUM(O43:O43)</f>
        <v>0</v>
      </c>
      <c r="P44" s="108" t="e">
        <f>SUM(P43:P43)</f>
        <v>#REF!</v>
      </c>
      <c r="Q44" s="111"/>
      <c r="R44" s="112">
        <f>SUM(R43:R43)</f>
        <v>0</v>
      </c>
      <c r="S44" s="112">
        <f>SUM(S43:S43)</f>
        <v>0</v>
      </c>
      <c r="T44" s="112">
        <f>SUM(T43:T43)</f>
        <v>0</v>
      </c>
      <c r="U44" s="112">
        <f>SUM(U43:U43)</f>
        <v>0</v>
      </c>
      <c r="V44" s="112">
        <f>SUM(V43:V43)</f>
        <v>0</v>
      </c>
    </row>
    <row r="45" spans="1:22" ht="19.5" customHeight="1">
      <c r="A45" s="41" t="s">
        <v>116</v>
      </c>
      <c r="B45" s="41"/>
      <c r="C45" s="43"/>
      <c r="D45" s="44"/>
      <c r="E45" s="36">
        <f>35691.68/1.2</f>
        <v>29743.066666666669</v>
      </c>
      <c r="F45" s="36">
        <f t="shared" ref="F45" si="16">-E45*$F$10</f>
        <v>0</v>
      </c>
      <c r="G45" s="36">
        <f t="shared" ref="G45" si="17">E45*$G$10</f>
        <v>0</v>
      </c>
      <c r="H45" s="36"/>
      <c r="I45" s="36">
        <f t="shared" ref="I45" si="18">+E45+F45-G45-H45</f>
        <v>29743.066666666669</v>
      </c>
      <c r="J45" s="36">
        <f t="shared" ref="J45" si="19">+I45+(I45*$I$4)</f>
        <v>35691.680000000008</v>
      </c>
      <c r="K45" s="36">
        <v>35691.680000000008</v>
      </c>
      <c r="L45" s="37"/>
      <c r="M45" s="37"/>
      <c r="N45" s="92">
        <f t="shared" ref="N45" si="20">-IF(L45=0,,IF(M45=0,($C$10-L45),M45-L45))</f>
        <v>0</v>
      </c>
      <c r="O45" s="36">
        <f t="shared" ref="O45" si="21">+J45-K45</f>
        <v>0</v>
      </c>
      <c r="P45" s="36" t="e">
        <f t="shared" ref="P45" si="22">+IF($C$10&lt;L45,0,O45)</f>
        <v>#REF!</v>
      </c>
      <c r="Q45" s="39"/>
      <c r="R45" s="40">
        <f t="shared" ref="R45" si="23">IF(N45&gt;=0,0,(IF(-N45&lt;=60,O45,0)))</f>
        <v>0</v>
      </c>
      <c r="S45" s="40">
        <f t="shared" ref="S45" si="24">IF(N45&gt;=0,0,(IF(N45&gt;=-60,0,IF(-60&gt;=N45,IF(N45&gt;=-120,O45,0)))))</f>
        <v>0</v>
      </c>
      <c r="T45" s="40">
        <f t="shared" ref="T45" si="25">IF(N45&gt;=0,0,(IF(N45&gt;-60,0,IF(-60&gt;=N45,IF(N45&gt;=-120,0,IF(N45&gt;=-180,O45,0))))))</f>
        <v>0</v>
      </c>
      <c r="U45" s="40">
        <f t="shared" ref="U45" si="26">IF(N45&gt;=0,0,(IF(N45&gt;-60,0,IF(-60&gt;=N45,IF(N45&gt;-120,0,IF(N45&gt;=-180,0,IF(N45&gt;=-365,O45,0)))))))</f>
        <v>0</v>
      </c>
      <c r="V45" s="40">
        <f t="shared" ref="V45" si="27">IF(N45&gt;=0,0,IF(365&lt;-N45,O45,0))</f>
        <v>0</v>
      </c>
    </row>
    <row r="46" spans="1:22" s="99" customFormat="1" ht="19.5" customHeight="1">
      <c r="A46" s="104"/>
      <c r="B46" s="105"/>
      <c r="C46" s="106"/>
      <c r="D46" s="107"/>
      <c r="E46" s="108">
        <f t="shared" ref="E46:K46" si="28">SUM(E45:E45)</f>
        <v>29743.066666666669</v>
      </c>
      <c r="F46" s="108">
        <f t="shared" si="28"/>
        <v>0</v>
      </c>
      <c r="G46" s="108">
        <f t="shared" si="28"/>
        <v>0</v>
      </c>
      <c r="H46" s="108">
        <f t="shared" si="28"/>
        <v>0</v>
      </c>
      <c r="I46" s="108">
        <f t="shared" si="28"/>
        <v>29743.066666666669</v>
      </c>
      <c r="J46" s="113">
        <f t="shared" si="28"/>
        <v>35691.680000000008</v>
      </c>
      <c r="K46" s="113">
        <f t="shared" si="28"/>
        <v>35691.680000000008</v>
      </c>
      <c r="L46" s="109"/>
      <c r="M46" s="109"/>
      <c r="N46" s="110"/>
      <c r="O46" s="108">
        <f>SUM(O45:O45)</f>
        <v>0</v>
      </c>
      <c r="P46" s="108" t="e">
        <f>SUM(P45:P45)</f>
        <v>#REF!</v>
      </c>
      <c r="Q46" s="111"/>
      <c r="R46" s="112">
        <f>SUM(R45:R45)</f>
        <v>0</v>
      </c>
      <c r="S46" s="112">
        <f>SUM(S45:S45)</f>
        <v>0</v>
      </c>
      <c r="T46" s="112">
        <f>SUM(T45:T45)</f>
        <v>0</v>
      </c>
      <c r="U46" s="112">
        <f>SUM(U45:U45)</f>
        <v>0</v>
      </c>
      <c r="V46" s="112">
        <f>SUM(V45:V45)</f>
        <v>0</v>
      </c>
    </row>
    <row r="47" spans="1:22" ht="19.5" customHeight="1">
      <c r="A47" s="41" t="s">
        <v>66</v>
      </c>
      <c r="B47" s="41"/>
      <c r="C47" s="43"/>
      <c r="D47" s="44"/>
      <c r="E47" s="36">
        <f>400788.77/1.2</f>
        <v>333990.64166666672</v>
      </c>
      <c r="F47" s="36">
        <f>-E47*$F$10</f>
        <v>0</v>
      </c>
      <c r="G47" s="36">
        <f>E47*$G$10</f>
        <v>0</v>
      </c>
      <c r="H47" s="36"/>
      <c r="I47" s="36">
        <f>+E47+F47-G47-H47</f>
        <v>333990.64166666672</v>
      </c>
      <c r="J47" s="36">
        <f>+I47+(I47*$I$4)</f>
        <v>400788.77000000008</v>
      </c>
      <c r="K47" s="36">
        <v>400788.77000000008</v>
      </c>
      <c r="L47" s="37"/>
      <c r="M47" s="37"/>
      <c r="N47" s="92">
        <f>-IF(L47=0,,IF(M47=0,($C$10-L47),M47-L47))</f>
        <v>0</v>
      </c>
      <c r="O47" s="36">
        <f>+J47-K47</f>
        <v>0</v>
      </c>
      <c r="P47" s="36" t="e">
        <f>+IF($C$10&lt;L47,0,O47)</f>
        <v>#REF!</v>
      </c>
      <c r="Q47" s="39"/>
      <c r="R47" s="40">
        <f>IF(N47&gt;=0,0,(IF(-N47&lt;=60,O47,0)))</f>
        <v>0</v>
      </c>
      <c r="S47" s="40">
        <f>IF(N47&gt;=0,0,(IF(N47&gt;=-60,0,IF(-60&gt;=N47,IF(N47&gt;=-120,O47,0)))))</f>
        <v>0</v>
      </c>
      <c r="T47" s="40">
        <f>IF(N47&gt;=0,0,(IF(N47&gt;-60,0,IF(-60&gt;=N47,IF(N47&gt;=-120,0,IF(N47&gt;=-180,O47,0))))))</f>
        <v>0</v>
      </c>
      <c r="U47" s="40">
        <f>IF(N47&gt;=0,0,(IF(N47&gt;-60,0,IF(-60&gt;=N47,IF(N47&gt;-120,0,IF(N47&gt;=-180,0,IF(N47&gt;=-365,O47,0)))))))</f>
        <v>0</v>
      </c>
      <c r="V47" s="40">
        <f>IF(N47&gt;=0,0,IF(365&lt;-N47,O47,0))</f>
        <v>0</v>
      </c>
    </row>
    <row r="48" spans="1:22" s="99" customFormat="1" ht="19.5" customHeight="1">
      <c r="A48" s="104"/>
      <c r="B48" s="105"/>
      <c r="C48" s="106"/>
      <c r="D48" s="107"/>
      <c r="E48" s="108">
        <f t="shared" ref="E48:K48" si="29">SUM(E47:E47)</f>
        <v>333990.64166666672</v>
      </c>
      <c r="F48" s="108">
        <f t="shared" si="29"/>
        <v>0</v>
      </c>
      <c r="G48" s="108">
        <f t="shared" si="29"/>
        <v>0</v>
      </c>
      <c r="H48" s="108">
        <f t="shared" si="29"/>
        <v>0</v>
      </c>
      <c r="I48" s="108">
        <f t="shared" si="29"/>
        <v>333990.64166666672</v>
      </c>
      <c r="J48" s="113">
        <f t="shared" si="29"/>
        <v>400788.77000000008</v>
      </c>
      <c r="K48" s="113">
        <f t="shared" si="29"/>
        <v>400788.77000000008</v>
      </c>
      <c r="L48" s="109"/>
      <c r="M48" s="109"/>
      <c r="N48" s="110"/>
      <c r="O48" s="108">
        <f>SUM(O47:O47)</f>
        <v>0</v>
      </c>
      <c r="P48" s="108" t="e">
        <f>SUM(P47:P47)</f>
        <v>#REF!</v>
      </c>
      <c r="Q48" s="111"/>
      <c r="R48" s="112">
        <f>SUM(R47:R47)</f>
        <v>0</v>
      </c>
      <c r="S48" s="112">
        <f>SUM(S47:S47)</f>
        <v>0</v>
      </c>
      <c r="T48" s="112">
        <f>SUM(T47:T47)</f>
        <v>0</v>
      </c>
      <c r="U48" s="112">
        <f>SUM(U47:U47)</f>
        <v>0</v>
      </c>
      <c r="V48" s="112">
        <f>SUM(V47:V47)</f>
        <v>0</v>
      </c>
    </row>
    <row r="49" spans="1:22" ht="19.5" customHeight="1">
      <c r="A49" s="41" t="s">
        <v>117</v>
      </c>
      <c r="B49" s="41"/>
      <c r="C49" s="43"/>
      <c r="D49" s="44"/>
      <c r="E49" s="36">
        <f>8398163.41/1.2</f>
        <v>6998469.5083333338</v>
      </c>
      <c r="F49" s="36">
        <f>-E49*$F$10</f>
        <v>0</v>
      </c>
      <c r="G49" s="36">
        <f>E49*$G$10</f>
        <v>0</v>
      </c>
      <c r="H49" s="36"/>
      <c r="I49" s="36">
        <f>+E49+F49-G49-H49</f>
        <v>6998469.5083333338</v>
      </c>
      <c r="J49" s="36">
        <f>+I49+(I49*$I$4)</f>
        <v>8398163.4100000001</v>
      </c>
      <c r="K49" s="36">
        <v>8398163.4100000001</v>
      </c>
      <c r="L49" s="37"/>
      <c r="M49" s="37"/>
      <c r="N49" s="92">
        <f>-IF(L49=0,,IF(M49=0,($C$10-L49),M49-L49))</f>
        <v>0</v>
      </c>
      <c r="O49" s="36">
        <f>+J49-K49</f>
        <v>0</v>
      </c>
      <c r="P49" s="36" t="e">
        <f>+IF($C$10&lt;L49,0,O49)</f>
        <v>#REF!</v>
      </c>
      <c r="Q49" s="39"/>
      <c r="R49" s="40">
        <f>IF(N49&gt;=0,0,(IF(-N49&lt;=60,O49,0)))</f>
        <v>0</v>
      </c>
      <c r="S49" s="40">
        <f>IF(N49&gt;=0,0,(IF(N49&gt;=-60,0,IF(-60&gt;=N49,IF(N49&gt;=-120,O49,0)))))</f>
        <v>0</v>
      </c>
      <c r="T49" s="40">
        <f>IF(N49&gt;=0,0,(IF(N49&gt;-60,0,IF(-60&gt;=N49,IF(N49&gt;=-120,0,IF(N49&gt;=-180,O49,0))))))</f>
        <v>0</v>
      </c>
      <c r="U49" s="40">
        <f>IF(N49&gt;=0,0,(IF(N49&gt;-60,0,IF(-60&gt;=N49,IF(N49&gt;-120,0,IF(N49&gt;=-180,0,IF(N49&gt;=-365,O49,0)))))))</f>
        <v>0</v>
      </c>
      <c r="V49" s="40">
        <f>IF(N49&gt;=0,0,IF(365&lt;-N49,O49,0))</f>
        <v>0</v>
      </c>
    </row>
    <row r="50" spans="1:22" s="99" customFormat="1" ht="19.5" customHeight="1">
      <c r="A50" s="104"/>
      <c r="B50" s="104"/>
      <c r="C50" s="106"/>
      <c r="D50" s="107"/>
      <c r="E50" s="108">
        <f t="shared" ref="E50:K50" si="30">SUM(E49:E49)</f>
        <v>6998469.5083333338</v>
      </c>
      <c r="F50" s="108">
        <f t="shared" si="30"/>
        <v>0</v>
      </c>
      <c r="G50" s="108">
        <f t="shared" si="30"/>
        <v>0</v>
      </c>
      <c r="H50" s="108">
        <f t="shared" si="30"/>
        <v>0</v>
      </c>
      <c r="I50" s="108">
        <f t="shared" si="30"/>
        <v>6998469.5083333338</v>
      </c>
      <c r="J50" s="113">
        <f t="shared" si="30"/>
        <v>8398163.4100000001</v>
      </c>
      <c r="K50" s="113">
        <f t="shared" si="30"/>
        <v>8398163.4100000001</v>
      </c>
      <c r="L50" s="109"/>
      <c r="M50" s="109"/>
      <c r="N50" s="110"/>
      <c r="O50" s="108">
        <f>SUM(O49:O49)</f>
        <v>0</v>
      </c>
      <c r="P50" s="108" t="e">
        <f>SUM(P49:P49)</f>
        <v>#REF!</v>
      </c>
      <c r="Q50" s="111"/>
      <c r="R50" s="112">
        <f>SUM(R49:R49)</f>
        <v>0</v>
      </c>
      <c r="S50" s="112">
        <f>SUM(S49:S49)</f>
        <v>0</v>
      </c>
      <c r="T50" s="112">
        <f>SUM(T49:T49)</f>
        <v>0</v>
      </c>
      <c r="U50" s="112">
        <f>SUM(U49:U49)</f>
        <v>0</v>
      </c>
      <c r="V50" s="112">
        <f>SUM(V49:V49)</f>
        <v>0</v>
      </c>
    </row>
    <row r="51" spans="1:22" ht="19.5" customHeight="1">
      <c r="A51" s="41" t="s">
        <v>118</v>
      </c>
      <c r="B51" s="41"/>
      <c r="C51" s="43"/>
      <c r="D51" s="44"/>
      <c r="E51" s="36">
        <f>74410.32/1.2</f>
        <v>62008.600000000006</v>
      </c>
      <c r="F51" s="36">
        <f>-E51*$F$10</f>
        <v>0</v>
      </c>
      <c r="G51" s="36">
        <f>E51*$G$10</f>
        <v>0</v>
      </c>
      <c r="H51" s="36"/>
      <c r="I51" s="36">
        <f>+E51+F51-G51-H51</f>
        <v>62008.600000000006</v>
      </c>
      <c r="J51" s="36">
        <f>+I51+(I51*$I$4)</f>
        <v>74410.320000000007</v>
      </c>
      <c r="K51" s="36">
        <v>74410.320000000007</v>
      </c>
      <c r="L51" s="37"/>
      <c r="M51" s="116"/>
      <c r="N51" s="92">
        <f>-IF(L51=0,,IF(M51=0,($C$10-L51),M51-L51))</f>
        <v>0</v>
      </c>
      <c r="O51" s="36">
        <f>+J51-K51</f>
        <v>0</v>
      </c>
      <c r="P51" s="36" t="e">
        <f>+IF($C$10&lt;L51,0,O51)</f>
        <v>#REF!</v>
      </c>
      <c r="Q51" s="39"/>
      <c r="R51" s="40">
        <f>IF(N51&gt;=0,0,(IF(-N51&lt;=60,O51,0)))</f>
        <v>0</v>
      </c>
      <c r="S51" s="40">
        <f>IF(N51&gt;=0,0,(IF(N51&gt;=-60,0,IF(-60&gt;=N51,IF(N51&gt;=-120,O51,0)))))</f>
        <v>0</v>
      </c>
      <c r="T51" s="40">
        <f>IF(N51&gt;=0,0,(IF(N51&gt;-60,0,IF(-60&gt;=N51,IF(N51&gt;=-120,0,IF(N51&gt;=-180,O51,0))))))</f>
        <v>0</v>
      </c>
      <c r="U51" s="40">
        <f>IF(N51&gt;=0,0,(IF(N51&gt;-60,0,IF(-60&gt;=N51,IF(N51&gt;-120,0,IF(N51&gt;=-180,0,IF(N51&gt;=-365,O51,0)))))))</f>
        <v>0</v>
      </c>
      <c r="V51" s="40">
        <f>IF(N51&gt;=0,0,IF(365&lt;-N51,O51,0))</f>
        <v>0</v>
      </c>
    </row>
    <row r="52" spans="1:22" s="99" customFormat="1" ht="19.5" customHeight="1">
      <c r="A52" s="104"/>
      <c r="B52" s="104"/>
      <c r="C52" s="106"/>
      <c r="D52" s="107"/>
      <c r="E52" s="108">
        <f t="shared" ref="E52:K52" si="31">SUM(E51:E51)</f>
        <v>62008.600000000006</v>
      </c>
      <c r="F52" s="108">
        <f t="shared" si="31"/>
        <v>0</v>
      </c>
      <c r="G52" s="108">
        <f t="shared" si="31"/>
        <v>0</v>
      </c>
      <c r="H52" s="108">
        <f t="shared" si="31"/>
        <v>0</v>
      </c>
      <c r="I52" s="108">
        <f t="shared" si="31"/>
        <v>62008.600000000006</v>
      </c>
      <c r="J52" s="113">
        <f t="shared" si="31"/>
        <v>74410.320000000007</v>
      </c>
      <c r="K52" s="113">
        <f t="shared" si="31"/>
        <v>74410.320000000007</v>
      </c>
      <c r="L52" s="109"/>
      <c r="M52" s="109"/>
      <c r="N52" s="110"/>
      <c r="O52" s="108">
        <f>SUM(O51:O51)</f>
        <v>0</v>
      </c>
      <c r="P52" s="108" t="e">
        <f>SUM(P51:P51)</f>
        <v>#REF!</v>
      </c>
      <c r="Q52" s="111"/>
      <c r="R52" s="112">
        <f>SUM(R51:R51)</f>
        <v>0</v>
      </c>
      <c r="S52" s="112">
        <f>SUM(S51:S51)</f>
        <v>0</v>
      </c>
      <c r="T52" s="112">
        <f>SUM(T51:T51)</f>
        <v>0</v>
      </c>
      <c r="U52" s="112">
        <f>SUM(U51:U51)</f>
        <v>0</v>
      </c>
      <c r="V52" s="112">
        <f>SUM(V51:V51)</f>
        <v>0</v>
      </c>
    </row>
    <row r="53" spans="1:22" ht="19.5" customHeight="1">
      <c r="A53" s="41" t="s">
        <v>119</v>
      </c>
      <c r="B53" s="41"/>
      <c r="C53" s="43"/>
      <c r="D53" s="44"/>
      <c r="E53" s="36">
        <f>46140/1.2</f>
        <v>38450</v>
      </c>
      <c r="F53" s="36">
        <f>-E53*$F$10</f>
        <v>0</v>
      </c>
      <c r="G53" s="36">
        <f>E53*$G$10</f>
        <v>0</v>
      </c>
      <c r="H53" s="36"/>
      <c r="I53" s="36">
        <f>+E53+F53-G53-H53</f>
        <v>38450</v>
      </c>
      <c r="J53" s="36">
        <f>+I53+(I53*$I$4)</f>
        <v>46140</v>
      </c>
      <c r="K53" s="36">
        <v>46140</v>
      </c>
      <c r="L53" s="37"/>
      <c r="M53" s="116"/>
      <c r="N53" s="92">
        <f>-IF(L53=0,,IF(M53=0,($C$10-L53),M53-L53))</f>
        <v>0</v>
      </c>
      <c r="O53" s="36">
        <f>+J53-K53</f>
        <v>0</v>
      </c>
      <c r="P53" s="36" t="e">
        <f>+IF($C$10&lt;L53,0,O53)</f>
        <v>#REF!</v>
      </c>
      <c r="Q53" s="39"/>
      <c r="R53" s="40">
        <f>IF(N53&gt;=0,0,(IF(-N53&lt;=60,O53,0)))</f>
        <v>0</v>
      </c>
      <c r="S53" s="40">
        <f>IF(N53&gt;=0,0,(IF(N53&gt;=-60,0,IF(-60&gt;=N53,IF(N53&gt;=-120,O53,0)))))</f>
        <v>0</v>
      </c>
      <c r="T53" s="40">
        <f>IF(N53&gt;=0,0,(IF(N53&gt;-60,0,IF(-60&gt;=N53,IF(N53&gt;=-120,0,IF(N53&gt;=-180,O53,0))))))</f>
        <v>0</v>
      </c>
      <c r="U53" s="40">
        <f>IF(N53&gt;=0,0,(IF(N53&gt;-60,0,IF(-60&gt;=N53,IF(N53&gt;-120,0,IF(N53&gt;=-180,0,IF(N53&gt;=-365,O53,0)))))))</f>
        <v>0</v>
      </c>
      <c r="V53" s="40">
        <f>IF(N53&gt;=0,0,IF(365&lt;-N53,O53,0))</f>
        <v>0</v>
      </c>
    </row>
    <row r="54" spans="1:22" s="99" customFormat="1" ht="19.5" customHeight="1">
      <c r="A54" s="104"/>
      <c r="B54" s="104"/>
      <c r="C54" s="106"/>
      <c r="D54" s="107"/>
      <c r="E54" s="108">
        <f t="shared" ref="E54:K54" si="32">SUM(E53:E53)</f>
        <v>38450</v>
      </c>
      <c r="F54" s="108">
        <f t="shared" si="32"/>
        <v>0</v>
      </c>
      <c r="G54" s="108">
        <f t="shared" si="32"/>
        <v>0</v>
      </c>
      <c r="H54" s="108">
        <f t="shared" si="32"/>
        <v>0</v>
      </c>
      <c r="I54" s="108">
        <f t="shared" si="32"/>
        <v>38450</v>
      </c>
      <c r="J54" s="113">
        <f t="shared" si="32"/>
        <v>46140</v>
      </c>
      <c r="K54" s="113">
        <f t="shared" si="32"/>
        <v>46140</v>
      </c>
      <c r="L54" s="109"/>
      <c r="M54" s="109"/>
      <c r="N54" s="110"/>
      <c r="O54" s="108">
        <f>SUM(O53:O53)</f>
        <v>0</v>
      </c>
      <c r="P54" s="108" t="e">
        <f>SUM(P53:P53)</f>
        <v>#REF!</v>
      </c>
      <c r="Q54" s="111"/>
      <c r="R54" s="112">
        <f>SUM(R53:R53)</f>
        <v>0</v>
      </c>
      <c r="S54" s="112">
        <f>SUM(S53:S53)</f>
        <v>0</v>
      </c>
      <c r="T54" s="112">
        <f>SUM(T53:T53)</f>
        <v>0</v>
      </c>
      <c r="U54" s="112">
        <f>SUM(U53:U53)</f>
        <v>0</v>
      </c>
      <c r="V54" s="112">
        <f>SUM(V53:V53)</f>
        <v>0</v>
      </c>
    </row>
    <row r="55" spans="1:22" ht="19.5" customHeight="1">
      <c r="A55" s="41" t="s">
        <v>120</v>
      </c>
      <c r="B55" s="41"/>
      <c r="C55" s="43"/>
      <c r="D55" s="44"/>
      <c r="E55" s="36">
        <f>2189742.55/1.2</f>
        <v>1824785.4583333333</v>
      </c>
      <c r="F55" s="36">
        <f>-E55*$F$10</f>
        <v>0</v>
      </c>
      <c r="G55" s="36">
        <f>E55*$G$10</f>
        <v>0</v>
      </c>
      <c r="H55" s="36"/>
      <c r="I55" s="36">
        <f>+E55+F55-G55-H55</f>
        <v>1824785.4583333333</v>
      </c>
      <c r="J55" s="36">
        <f>+I55+(I55*$I$4)</f>
        <v>2189742.5499999998</v>
      </c>
      <c r="K55" s="36">
        <v>2189742.5499999998</v>
      </c>
      <c r="L55" s="37"/>
      <c r="M55" s="37"/>
      <c r="N55" s="92">
        <f>-IF(L55=0,,IF(M55=0,($C$10-L55),M55-L55))</f>
        <v>0</v>
      </c>
      <c r="O55" s="36">
        <f>+J55-K55</f>
        <v>0</v>
      </c>
      <c r="P55" s="36" t="e">
        <f>+IF($C$10&lt;L55,0,O55)</f>
        <v>#REF!</v>
      </c>
      <c r="Q55" s="39"/>
      <c r="R55" s="40">
        <f>IF(N55&gt;=0,0,(IF(-N55&lt;=60,O55,0)))</f>
        <v>0</v>
      </c>
      <c r="S55" s="40">
        <f>IF(N55&gt;=0,0,(IF(N55&gt;=-60,0,IF(-60&gt;=N55,IF(N55&gt;=-120,O55,0)))))</f>
        <v>0</v>
      </c>
      <c r="T55" s="40">
        <f>IF(N55&gt;=0,0,(IF(N55&gt;-60,0,IF(-60&gt;=N55,IF(N55&gt;=-120,0,IF(N55&gt;=-180,O55,0))))))</f>
        <v>0</v>
      </c>
      <c r="U55" s="40">
        <f>IF(N55&gt;=0,0,(IF(N55&gt;-60,0,IF(-60&gt;=N55,IF(N55&gt;-120,0,IF(N55&gt;=-180,0,IF(N55&gt;=-365,O55,0)))))))</f>
        <v>0</v>
      </c>
      <c r="V55" s="40">
        <f>IF(N55&gt;=0,0,IF(365&lt;-N55,O55,0))</f>
        <v>0</v>
      </c>
    </row>
    <row r="56" spans="1:22" s="99" customFormat="1" ht="19.5" customHeight="1">
      <c r="A56" s="104"/>
      <c r="B56" s="104"/>
      <c r="C56" s="106"/>
      <c r="D56" s="107"/>
      <c r="E56" s="108">
        <f t="shared" ref="E56:K56" si="33">SUM(E55:E55)</f>
        <v>1824785.4583333333</v>
      </c>
      <c r="F56" s="108">
        <f t="shared" si="33"/>
        <v>0</v>
      </c>
      <c r="G56" s="108">
        <f t="shared" si="33"/>
        <v>0</v>
      </c>
      <c r="H56" s="108">
        <f t="shared" si="33"/>
        <v>0</v>
      </c>
      <c r="I56" s="108">
        <f t="shared" si="33"/>
        <v>1824785.4583333333</v>
      </c>
      <c r="J56" s="113">
        <f t="shared" si="33"/>
        <v>2189742.5499999998</v>
      </c>
      <c r="K56" s="113">
        <f t="shared" si="33"/>
        <v>2189742.5499999998</v>
      </c>
      <c r="L56" s="109"/>
      <c r="M56" s="109"/>
      <c r="N56" s="110"/>
      <c r="O56" s="108">
        <f>SUM(O55:O55)</f>
        <v>0</v>
      </c>
      <c r="P56" s="108" t="e">
        <f>SUM(P55:P55)</f>
        <v>#REF!</v>
      </c>
      <c r="Q56" s="111"/>
      <c r="R56" s="112">
        <f>SUM(R55:R55)</f>
        <v>0</v>
      </c>
      <c r="S56" s="112">
        <f>SUM(S55:S55)</f>
        <v>0</v>
      </c>
      <c r="T56" s="112">
        <f>SUM(T55:T55)</f>
        <v>0</v>
      </c>
      <c r="U56" s="112">
        <f>SUM(U55:U55)</f>
        <v>0</v>
      </c>
      <c r="V56" s="112">
        <f>SUM(V55:V55)</f>
        <v>0</v>
      </c>
    </row>
    <row r="57" spans="1:22" ht="19.5" customHeight="1">
      <c r="A57" s="41" t="s">
        <v>121</v>
      </c>
      <c r="B57" s="41"/>
      <c r="C57" s="43"/>
      <c r="D57" s="44"/>
      <c r="E57" s="36">
        <f>37384.87/1.2</f>
        <v>31154.058333333338</v>
      </c>
      <c r="F57" s="36">
        <f>-E57*$F$10</f>
        <v>0</v>
      </c>
      <c r="G57" s="36">
        <f>E57*$G$10</f>
        <v>0</v>
      </c>
      <c r="H57" s="36"/>
      <c r="I57" s="36">
        <f>+E57+F57-G57-H57</f>
        <v>31154.058333333338</v>
      </c>
      <c r="J57" s="36">
        <f>+I57+(I57*$I$4)</f>
        <v>37384.87000000001</v>
      </c>
      <c r="K57" s="36">
        <v>37384.87000000001</v>
      </c>
      <c r="L57" s="37"/>
      <c r="M57" s="116"/>
      <c r="N57" s="92">
        <f>-IF(L57=0,,IF(M57=0,($C$10-L57),M57-L57))</f>
        <v>0</v>
      </c>
      <c r="O57" s="36">
        <f>+J57-K57</f>
        <v>0</v>
      </c>
      <c r="P57" s="36" t="e">
        <f>+IF($C$10&lt;L57,0,O57)</f>
        <v>#REF!</v>
      </c>
      <c r="Q57" s="39"/>
      <c r="R57" s="40">
        <f>IF(N57&gt;=0,0,(IF(-N57&lt;=60,O57,0)))</f>
        <v>0</v>
      </c>
      <c r="S57" s="40">
        <f>IF(N57&gt;=0,0,(IF(N57&gt;=-60,0,IF(-60&gt;=N57,IF(N57&gt;=-120,O57,0)))))</f>
        <v>0</v>
      </c>
      <c r="T57" s="40">
        <f>IF(N57&gt;=0,0,(IF(N57&gt;-60,0,IF(-60&gt;=N57,IF(N57&gt;=-120,0,IF(N57&gt;=-180,O57,0))))))</f>
        <v>0</v>
      </c>
      <c r="U57" s="40">
        <f>IF(N57&gt;=0,0,(IF(N57&gt;-60,0,IF(-60&gt;=N57,IF(N57&gt;-120,0,IF(N57&gt;=-180,0,IF(N57&gt;=-365,O57,0)))))))</f>
        <v>0</v>
      </c>
      <c r="V57" s="40">
        <f>IF(N57&gt;=0,0,IF(365&lt;-N57,O57,0))</f>
        <v>0</v>
      </c>
    </row>
    <row r="58" spans="1:22" s="99" customFormat="1" ht="19.5" customHeight="1">
      <c r="A58" s="104"/>
      <c r="B58" s="104"/>
      <c r="C58" s="106"/>
      <c r="D58" s="107"/>
      <c r="E58" s="108">
        <f t="shared" ref="E58:K58" si="34">SUM(E57:E57)</f>
        <v>31154.058333333338</v>
      </c>
      <c r="F58" s="108">
        <f t="shared" si="34"/>
        <v>0</v>
      </c>
      <c r="G58" s="108">
        <f t="shared" si="34"/>
        <v>0</v>
      </c>
      <c r="H58" s="108">
        <f t="shared" si="34"/>
        <v>0</v>
      </c>
      <c r="I58" s="108">
        <f t="shared" si="34"/>
        <v>31154.058333333338</v>
      </c>
      <c r="J58" s="113">
        <f t="shared" si="34"/>
        <v>37384.87000000001</v>
      </c>
      <c r="K58" s="113">
        <f t="shared" si="34"/>
        <v>37384.87000000001</v>
      </c>
      <c r="L58" s="109"/>
      <c r="M58" s="109"/>
      <c r="N58" s="110"/>
      <c r="O58" s="108">
        <f>SUM(O57:O57)</f>
        <v>0</v>
      </c>
      <c r="P58" s="108" t="e">
        <f>SUM(P57:P57)</f>
        <v>#REF!</v>
      </c>
      <c r="Q58" s="111"/>
      <c r="R58" s="112">
        <f>SUM(R57:R57)</f>
        <v>0</v>
      </c>
      <c r="S58" s="112">
        <f>SUM(S57:S57)</f>
        <v>0</v>
      </c>
      <c r="T58" s="112">
        <f>SUM(T57:T57)</f>
        <v>0</v>
      </c>
      <c r="U58" s="112">
        <f>SUM(U57:U57)</f>
        <v>0</v>
      </c>
      <c r="V58" s="112">
        <f>SUM(V57:V57)</f>
        <v>0</v>
      </c>
    </row>
    <row r="59" spans="1:22" ht="19.5" customHeight="1">
      <c r="A59" s="41" t="s">
        <v>122</v>
      </c>
      <c r="B59" s="41"/>
      <c r="C59" s="43"/>
      <c r="D59" s="44"/>
      <c r="E59" s="36">
        <f>1175880.07/1.2</f>
        <v>979900.05833333347</v>
      </c>
      <c r="F59" s="36">
        <f>-E59*$F$10</f>
        <v>0</v>
      </c>
      <c r="G59" s="36">
        <f>E59*$G$10</f>
        <v>0</v>
      </c>
      <c r="H59" s="36"/>
      <c r="I59" s="36">
        <f>+E59+F59-G59-H59</f>
        <v>979900.05833333347</v>
      </c>
      <c r="J59" s="36">
        <f>+I59+(I59*$I$4)</f>
        <v>1175880.0700000003</v>
      </c>
      <c r="K59" s="36">
        <v>1175880.0700000003</v>
      </c>
      <c r="L59" s="37"/>
      <c r="M59" s="116"/>
      <c r="N59" s="92">
        <f>-IF(L59=0,,IF(M59=0,($C$10-L59),M59-L59))</f>
        <v>0</v>
      </c>
      <c r="O59" s="36">
        <f>+J59-K59</f>
        <v>0</v>
      </c>
      <c r="P59" s="36" t="e">
        <f>+IF($C$10&lt;L59,0,O59)</f>
        <v>#REF!</v>
      </c>
      <c r="Q59" s="39"/>
      <c r="R59" s="40">
        <f>IF(N59&gt;=0,0,(IF(-N59&lt;=60,O59,0)))</f>
        <v>0</v>
      </c>
      <c r="S59" s="40">
        <f>IF(N59&gt;=0,0,(IF(N59&gt;=-60,0,IF(-60&gt;=N59,IF(N59&gt;=-120,O59,0)))))</f>
        <v>0</v>
      </c>
      <c r="T59" s="40">
        <f>IF(N59&gt;=0,0,(IF(N59&gt;-60,0,IF(-60&gt;=N59,IF(N59&gt;=-120,0,IF(N59&gt;=-180,O59,0))))))</f>
        <v>0</v>
      </c>
      <c r="U59" s="40">
        <f>IF(N59&gt;=0,0,(IF(N59&gt;-60,0,IF(-60&gt;=N59,IF(N59&gt;-120,0,IF(N59&gt;=-180,0,IF(N59&gt;=-365,O59,0)))))))</f>
        <v>0</v>
      </c>
      <c r="V59" s="40">
        <f>IF(N59&gt;=0,0,IF(365&lt;-N59,O59,0))</f>
        <v>0</v>
      </c>
    </row>
    <row r="60" spans="1:22" s="99" customFormat="1" ht="19.5" customHeight="1">
      <c r="A60" s="104"/>
      <c r="B60" s="104"/>
      <c r="C60" s="106"/>
      <c r="D60" s="107"/>
      <c r="E60" s="108">
        <f t="shared" ref="E60:K60" si="35">SUM(E59:E59)</f>
        <v>979900.05833333347</v>
      </c>
      <c r="F60" s="108">
        <f t="shared" si="35"/>
        <v>0</v>
      </c>
      <c r="G60" s="108">
        <f t="shared" si="35"/>
        <v>0</v>
      </c>
      <c r="H60" s="108">
        <f t="shared" si="35"/>
        <v>0</v>
      </c>
      <c r="I60" s="108">
        <f t="shared" si="35"/>
        <v>979900.05833333347</v>
      </c>
      <c r="J60" s="113">
        <f t="shared" si="35"/>
        <v>1175880.0700000003</v>
      </c>
      <c r="K60" s="113">
        <f t="shared" si="35"/>
        <v>1175880.0700000003</v>
      </c>
      <c r="L60" s="109"/>
      <c r="M60" s="109"/>
      <c r="N60" s="110"/>
      <c r="O60" s="108">
        <f>SUM(O59:O59)</f>
        <v>0</v>
      </c>
      <c r="P60" s="108" t="e">
        <f>SUM(P59:P59)</f>
        <v>#REF!</v>
      </c>
      <c r="Q60" s="111"/>
      <c r="R60" s="112">
        <f>SUM(R59:R59)</f>
        <v>0</v>
      </c>
      <c r="S60" s="112">
        <f>SUM(S59:S59)</f>
        <v>0</v>
      </c>
      <c r="T60" s="112">
        <f>SUM(T59:T59)</f>
        <v>0</v>
      </c>
      <c r="U60" s="112">
        <f>SUM(U59:U59)</f>
        <v>0</v>
      </c>
      <c r="V60" s="112">
        <f>SUM(V59:V59)</f>
        <v>0</v>
      </c>
    </row>
    <row r="61" spans="1:22" ht="19.5" customHeight="1">
      <c r="A61" s="41" t="s">
        <v>123</v>
      </c>
      <c r="B61" s="41"/>
      <c r="C61" s="43"/>
      <c r="D61" s="44"/>
      <c r="E61" s="36">
        <f>23716.77/1.2</f>
        <v>19763.975000000002</v>
      </c>
      <c r="F61" s="36">
        <f>-E61*$F$10</f>
        <v>0</v>
      </c>
      <c r="G61" s="36">
        <f>E61*$G$10</f>
        <v>0</v>
      </c>
      <c r="H61" s="36"/>
      <c r="I61" s="36">
        <f>+E61+F61-G61-H61</f>
        <v>19763.975000000002</v>
      </c>
      <c r="J61" s="36">
        <f>+I61+(I61*$I$4)</f>
        <v>23716.770000000004</v>
      </c>
      <c r="K61" s="36">
        <v>23716.770000000004</v>
      </c>
      <c r="L61" s="37"/>
      <c r="M61" s="116"/>
      <c r="N61" s="92">
        <f>-IF(L61=0,,IF(M61=0,($C$10-L61),M61-L61))</f>
        <v>0</v>
      </c>
      <c r="O61" s="36">
        <f>+J61-K61</f>
        <v>0</v>
      </c>
      <c r="P61" s="36" t="e">
        <f>+IF($C$10&lt;L61,0,O61)</f>
        <v>#REF!</v>
      </c>
      <c r="Q61" s="39"/>
      <c r="R61" s="40">
        <f>IF(N61&gt;=0,0,(IF(-N61&lt;=60,O61,0)))</f>
        <v>0</v>
      </c>
      <c r="S61" s="40">
        <f>IF(N61&gt;=0,0,(IF(N61&gt;=-60,0,IF(-60&gt;=N61,IF(N61&gt;=-120,O61,0)))))</f>
        <v>0</v>
      </c>
      <c r="T61" s="40">
        <f>IF(N61&gt;=0,0,(IF(N61&gt;-60,0,IF(-60&gt;=N61,IF(N61&gt;=-120,0,IF(N61&gt;=-180,O61,0))))))</f>
        <v>0</v>
      </c>
      <c r="U61" s="40">
        <f>IF(N61&gt;=0,0,(IF(N61&gt;-60,0,IF(-60&gt;=N61,IF(N61&gt;-120,0,IF(N61&gt;=-180,0,IF(N61&gt;=-365,O61,0)))))))</f>
        <v>0</v>
      </c>
      <c r="V61" s="40">
        <f>IF(N61&gt;=0,0,IF(365&lt;-N61,O61,0))</f>
        <v>0</v>
      </c>
    </row>
    <row r="62" spans="1:22" s="99" customFormat="1" ht="19.5" customHeight="1">
      <c r="A62" s="104"/>
      <c r="B62" s="104"/>
      <c r="C62" s="106"/>
      <c r="D62" s="107"/>
      <c r="E62" s="108">
        <f t="shared" ref="E62:K62" si="36">SUM(E61:E61)</f>
        <v>19763.975000000002</v>
      </c>
      <c r="F62" s="108">
        <f t="shared" si="36"/>
        <v>0</v>
      </c>
      <c r="G62" s="108">
        <f t="shared" si="36"/>
        <v>0</v>
      </c>
      <c r="H62" s="108">
        <f t="shared" si="36"/>
        <v>0</v>
      </c>
      <c r="I62" s="108">
        <f t="shared" si="36"/>
        <v>19763.975000000002</v>
      </c>
      <c r="J62" s="113">
        <f t="shared" si="36"/>
        <v>23716.770000000004</v>
      </c>
      <c r="K62" s="113">
        <f t="shared" si="36"/>
        <v>23716.770000000004</v>
      </c>
      <c r="L62" s="109"/>
      <c r="M62" s="109"/>
      <c r="N62" s="110"/>
      <c r="O62" s="108">
        <f>SUM(O61:O61)</f>
        <v>0</v>
      </c>
      <c r="P62" s="108" t="e">
        <f>SUM(P61:P61)</f>
        <v>#REF!</v>
      </c>
      <c r="Q62" s="111"/>
      <c r="R62" s="112">
        <f>SUM(R61:R61)</f>
        <v>0</v>
      </c>
      <c r="S62" s="112">
        <f>SUM(S61:S61)</f>
        <v>0</v>
      </c>
      <c r="T62" s="112">
        <f>SUM(T61:T61)</f>
        <v>0</v>
      </c>
      <c r="U62" s="112">
        <f>SUM(U61:U61)</f>
        <v>0</v>
      </c>
      <c r="V62" s="112">
        <f>SUM(V61:V61)</f>
        <v>0</v>
      </c>
    </row>
    <row r="63" spans="1:22" ht="19.5" customHeight="1">
      <c r="A63" s="41" t="s">
        <v>124</v>
      </c>
      <c r="B63" s="41"/>
      <c r="C63" s="43"/>
      <c r="D63" s="44"/>
      <c r="E63" s="36">
        <f>49684.81/1.2</f>
        <v>41404.008333333331</v>
      </c>
      <c r="F63" s="36">
        <f>-E63*$F$10</f>
        <v>0</v>
      </c>
      <c r="G63" s="36">
        <f>E63*$G$10</f>
        <v>0</v>
      </c>
      <c r="H63" s="36"/>
      <c r="I63" s="36">
        <f>+E63+F63-G63-H63</f>
        <v>41404.008333333331</v>
      </c>
      <c r="J63" s="36">
        <f>+I63+(I63*$I$4)</f>
        <v>49684.81</v>
      </c>
      <c r="K63" s="36">
        <v>49684.81</v>
      </c>
      <c r="L63" s="37"/>
      <c r="M63" s="116"/>
      <c r="N63" s="92">
        <f>-IF(L63=0,,IF(M63=0,($C$10-L63),M63-L63))</f>
        <v>0</v>
      </c>
      <c r="O63" s="36">
        <f>+J63-K63</f>
        <v>0</v>
      </c>
      <c r="P63" s="36" t="e">
        <f>+IF($C$10&lt;L63,0,O63)</f>
        <v>#REF!</v>
      </c>
      <c r="Q63" s="39"/>
      <c r="R63" s="40">
        <f>IF(N63&gt;=0,0,(IF(-N63&lt;=60,O63,0)))</f>
        <v>0</v>
      </c>
      <c r="S63" s="40">
        <f>IF(N63&gt;=0,0,(IF(N63&gt;=-60,0,IF(-60&gt;=N63,IF(N63&gt;=-120,O63,0)))))</f>
        <v>0</v>
      </c>
      <c r="T63" s="40">
        <f>IF(N63&gt;=0,0,(IF(N63&gt;-60,0,IF(-60&gt;=N63,IF(N63&gt;=-120,0,IF(N63&gt;=-180,O63,0))))))</f>
        <v>0</v>
      </c>
      <c r="U63" s="40">
        <f>IF(N63&gt;=0,0,(IF(N63&gt;-60,0,IF(-60&gt;=N63,IF(N63&gt;-120,0,IF(N63&gt;=-180,0,IF(N63&gt;=-365,O63,0)))))))</f>
        <v>0</v>
      </c>
      <c r="V63" s="40">
        <f>IF(N63&gt;=0,0,IF(365&lt;-N63,O63,0))</f>
        <v>0</v>
      </c>
    </row>
    <row r="64" spans="1:22" s="99" customFormat="1" ht="19.5" customHeight="1">
      <c r="A64" s="104"/>
      <c r="B64" s="104"/>
      <c r="C64" s="106"/>
      <c r="D64" s="107"/>
      <c r="E64" s="108">
        <f t="shared" ref="E64:K64" si="37">SUM(E63:E63)</f>
        <v>41404.008333333331</v>
      </c>
      <c r="F64" s="108">
        <f t="shared" si="37"/>
        <v>0</v>
      </c>
      <c r="G64" s="108">
        <f t="shared" si="37"/>
        <v>0</v>
      </c>
      <c r="H64" s="108">
        <f t="shared" si="37"/>
        <v>0</v>
      </c>
      <c r="I64" s="108">
        <f t="shared" si="37"/>
        <v>41404.008333333331</v>
      </c>
      <c r="J64" s="113">
        <f t="shared" si="37"/>
        <v>49684.81</v>
      </c>
      <c r="K64" s="113">
        <f t="shared" si="37"/>
        <v>49684.81</v>
      </c>
      <c r="L64" s="109"/>
      <c r="M64" s="109"/>
      <c r="N64" s="110"/>
      <c r="O64" s="108">
        <f>SUM(O63:O63)</f>
        <v>0</v>
      </c>
      <c r="P64" s="108" t="e">
        <f>SUM(P63:P63)</f>
        <v>#REF!</v>
      </c>
      <c r="Q64" s="111"/>
      <c r="R64" s="112">
        <f>SUM(R63:R63)</f>
        <v>0</v>
      </c>
      <c r="S64" s="112">
        <f>SUM(S63:S63)</f>
        <v>0</v>
      </c>
      <c r="T64" s="112">
        <f>SUM(T63:T63)</f>
        <v>0</v>
      </c>
      <c r="U64" s="112">
        <f>SUM(U63:U63)</f>
        <v>0</v>
      </c>
      <c r="V64" s="112">
        <f>SUM(V63:V63)</f>
        <v>0</v>
      </c>
    </row>
    <row r="65" spans="1:22" ht="19.5" customHeight="1">
      <c r="A65" s="41" t="s">
        <v>125</v>
      </c>
      <c r="B65" s="41"/>
      <c r="C65" s="43"/>
      <c r="D65" s="44"/>
      <c r="E65" s="36">
        <f>353902.38/1.2</f>
        <v>294918.65000000002</v>
      </c>
      <c r="F65" s="36">
        <f>-E65*$F$10</f>
        <v>0</v>
      </c>
      <c r="G65" s="36">
        <f>E65*$G$10</f>
        <v>0</v>
      </c>
      <c r="H65" s="36"/>
      <c r="I65" s="36">
        <f>+E65+F65-G65-H65</f>
        <v>294918.65000000002</v>
      </c>
      <c r="J65" s="36">
        <f>+I65+(I65*$I$4)</f>
        <v>353902.38</v>
      </c>
      <c r="K65" s="36">
        <v>353902.38</v>
      </c>
      <c r="L65" s="37"/>
      <c r="M65" s="116"/>
      <c r="N65" s="92">
        <f>-IF(L65=0,,IF(M65=0,($C$10-L65),M65-L65))</f>
        <v>0</v>
      </c>
      <c r="O65" s="36">
        <f>+J65-K65</f>
        <v>0</v>
      </c>
      <c r="P65" s="36" t="e">
        <f>+IF($C$10&lt;L65,0,O65)</f>
        <v>#REF!</v>
      </c>
      <c r="Q65" s="39"/>
      <c r="R65" s="40">
        <f>IF(N65&gt;=0,0,(IF(-N65&lt;=60,O65,0)))</f>
        <v>0</v>
      </c>
      <c r="S65" s="40">
        <f>IF(N65&gt;=0,0,(IF(N65&gt;=-60,0,IF(-60&gt;=N65,IF(N65&gt;=-120,O65,0)))))</f>
        <v>0</v>
      </c>
      <c r="T65" s="40">
        <f>IF(N65&gt;=0,0,(IF(N65&gt;-60,0,IF(-60&gt;=N65,IF(N65&gt;=-120,0,IF(N65&gt;=-180,O65,0))))))</f>
        <v>0</v>
      </c>
      <c r="U65" s="40">
        <f>IF(N65&gt;=0,0,(IF(N65&gt;-60,0,IF(-60&gt;=N65,IF(N65&gt;-120,0,IF(N65&gt;=-180,0,IF(N65&gt;=-365,O65,0)))))))</f>
        <v>0</v>
      </c>
      <c r="V65" s="40">
        <f>IF(N65&gt;=0,0,IF(365&lt;-N65,O65,0))</f>
        <v>0</v>
      </c>
    </row>
    <row r="66" spans="1:22" s="99" customFormat="1" ht="19.5" customHeight="1">
      <c r="A66" s="104"/>
      <c r="B66" s="104"/>
      <c r="C66" s="106"/>
      <c r="D66" s="107"/>
      <c r="E66" s="108">
        <f t="shared" ref="E66:K66" si="38">SUM(E65:E65)</f>
        <v>294918.65000000002</v>
      </c>
      <c r="F66" s="108">
        <f t="shared" si="38"/>
        <v>0</v>
      </c>
      <c r="G66" s="108">
        <f t="shared" si="38"/>
        <v>0</v>
      </c>
      <c r="H66" s="108">
        <f t="shared" si="38"/>
        <v>0</v>
      </c>
      <c r="I66" s="108">
        <f t="shared" si="38"/>
        <v>294918.65000000002</v>
      </c>
      <c r="J66" s="113">
        <f t="shared" si="38"/>
        <v>353902.38</v>
      </c>
      <c r="K66" s="113">
        <f t="shared" si="38"/>
        <v>353902.38</v>
      </c>
      <c r="L66" s="109"/>
      <c r="M66" s="109"/>
      <c r="N66" s="110"/>
      <c r="O66" s="108">
        <f>SUM(O65:O65)</f>
        <v>0</v>
      </c>
      <c r="P66" s="108" t="e">
        <f>SUM(P65:P65)</f>
        <v>#REF!</v>
      </c>
      <c r="Q66" s="111"/>
      <c r="R66" s="112">
        <f>SUM(R65:R65)</f>
        <v>0</v>
      </c>
      <c r="S66" s="112">
        <f>SUM(S65:S65)</f>
        <v>0</v>
      </c>
      <c r="T66" s="112">
        <f>SUM(T65:T65)</f>
        <v>0</v>
      </c>
      <c r="U66" s="112">
        <f>SUM(U65:U65)</f>
        <v>0</v>
      </c>
      <c r="V66" s="112">
        <f>SUM(V65:V65)</f>
        <v>0</v>
      </c>
    </row>
    <row r="67" spans="1:22" ht="19.5" customHeight="1">
      <c r="A67" s="41" t="s">
        <v>126</v>
      </c>
      <c r="B67" s="41"/>
      <c r="C67" s="43"/>
      <c r="D67" s="44"/>
      <c r="E67" s="36">
        <f>54148.8/1.2</f>
        <v>45124.000000000007</v>
      </c>
      <c r="F67" s="36">
        <f>-E67*$F$10</f>
        <v>0</v>
      </c>
      <c r="G67" s="36">
        <f>E67*$G$10</f>
        <v>0</v>
      </c>
      <c r="H67" s="36"/>
      <c r="I67" s="36">
        <f>+E67+F67-G67-H67</f>
        <v>45124.000000000007</v>
      </c>
      <c r="J67" s="36">
        <f>+I67+(I67*$I$4)</f>
        <v>54148.80000000001</v>
      </c>
      <c r="K67" s="36">
        <v>54148.80000000001</v>
      </c>
      <c r="L67" s="37"/>
      <c r="M67" s="37"/>
      <c r="N67" s="92">
        <f>-IF(L67=0,,IF(M67=0,($C$10-L67),M67-L67))</f>
        <v>0</v>
      </c>
      <c r="O67" s="36">
        <f>+J67-K67</f>
        <v>0</v>
      </c>
      <c r="P67" s="36" t="e">
        <f>+IF($C$10&lt;L67,0,O67)</f>
        <v>#REF!</v>
      </c>
      <c r="Q67" s="39"/>
      <c r="R67" s="40">
        <f>IF(N67&gt;=0,0,(IF(-N67&lt;=60,O67,0)))</f>
        <v>0</v>
      </c>
      <c r="S67" s="40">
        <f>IF(N67&gt;=0,0,(IF(N67&gt;=-60,0,IF(-60&gt;=N67,IF(N67&gt;=-120,O67,0)))))</f>
        <v>0</v>
      </c>
      <c r="T67" s="40">
        <f>IF(N67&gt;=0,0,(IF(N67&gt;-60,0,IF(-60&gt;=N67,IF(N67&gt;=-120,0,IF(N67&gt;=-180,O67,0))))))</f>
        <v>0</v>
      </c>
      <c r="U67" s="40">
        <f>IF(N67&gt;=0,0,(IF(N67&gt;-60,0,IF(-60&gt;=N67,IF(N67&gt;-120,0,IF(N67&gt;=-180,0,IF(N67&gt;=-365,O67,0)))))))</f>
        <v>0</v>
      </c>
      <c r="V67" s="40">
        <f>IF(N67&gt;=0,0,IF(365&lt;-N67,O67,0))</f>
        <v>0</v>
      </c>
    </row>
    <row r="68" spans="1:22" s="99" customFormat="1" ht="19.5" customHeight="1">
      <c r="A68" s="104"/>
      <c r="B68" s="104"/>
      <c r="C68" s="106"/>
      <c r="D68" s="107"/>
      <c r="E68" s="108">
        <f t="shared" ref="E68:K68" si="39">SUM(E67:E67)</f>
        <v>45124.000000000007</v>
      </c>
      <c r="F68" s="108">
        <f t="shared" si="39"/>
        <v>0</v>
      </c>
      <c r="G68" s="108">
        <f t="shared" si="39"/>
        <v>0</v>
      </c>
      <c r="H68" s="108">
        <f t="shared" si="39"/>
        <v>0</v>
      </c>
      <c r="I68" s="108">
        <f t="shared" si="39"/>
        <v>45124.000000000007</v>
      </c>
      <c r="J68" s="113">
        <f t="shared" si="39"/>
        <v>54148.80000000001</v>
      </c>
      <c r="K68" s="113">
        <f t="shared" si="39"/>
        <v>54148.80000000001</v>
      </c>
      <c r="L68" s="109"/>
      <c r="M68" s="109"/>
      <c r="N68" s="110"/>
      <c r="O68" s="108">
        <f>SUM(O67:O67)</f>
        <v>0</v>
      </c>
      <c r="P68" s="108" t="e">
        <f>SUM(P67:P67)</f>
        <v>#REF!</v>
      </c>
      <c r="Q68" s="111"/>
      <c r="R68" s="112">
        <f>SUM(R67:R67)</f>
        <v>0</v>
      </c>
      <c r="S68" s="112">
        <f>SUM(S67:S67)</f>
        <v>0</v>
      </c>
      <c r="T68" s="112">
        <f>SUM(T67:T67)</f>
        <v>0</v>
      </c>
      <c r="U68" s="112">
        <f>SUM(U67:U67)</f>
        <v>0</v>
      </c>
      <c r="V68" s="112">
        <f>SUM(V67:V67)</f>
        <v>0</v>
      </c>
    </row>
    <row r="69" spans="1:22" ht="19.5" customHeight="1">
      <c r="A69" s="41" t="s">
        <v>127</v>
      </c>
      <c r="B69" s="41"/>
      <c r="C69" s="43"/>
      <c r="D69" s="44"/>
      <c r="E69" s="36">
        <f>40759.74/1.2</f>
        <v>33966.449999999997</v>
      </c>
      <c r="F69" s="36">
        <f>-E69*$F$10</f>
        <v>0</v>
      </c>
      <c r="G69" s="36">
        <f>E69*$G$10</f>
        <v>0</v>
      </c>
      <c r="H69" s="36"/>
      <c r="I69" s="36">
        <f>+E69+F69-G69-H69</f>
        <v>33966.449999999997</v>
      </c>
      <c r="J69" s="36">
        <f>+I69+(I69*$I$4)</f>
        <v>40759.74</v>
      </c>
      <c r="K69" s="36">
        <v>40759.74</v>
      </c>
      <c r="L69" s="37"/>
      <c r="M69" s="37"/>
      <c r="N69" s="92">
        <f>-IF(L69=0,,IF(M69=0,($C$10-L69),M69-L69))</f>
        <v>0</v>
      </c>
      <c r="O69" s="36">
        <f>+J69-K69</f>
        <v>0</v>
      </c>
      <c r="P69" s="36" t="e">
        <f>+IF($C$10&lt;L69,0,O69)</f>
        <v>#REF!</v>
      </c>
      <c r="Q69" s="39"/>
      <c r="R69" s="40">
        <f>IF(N69&gt;=0,0,(IF(-N69&lt;=60,O69,0)))</f>
        <v>0</v>
      </c>
      <c r="S69" s="40">
        <f>IF(N69&gt;=0,0,(IF(N69&gt;=-60,0,IF(-60&gt;=N69,IF(N69&gt;=-120,O69,0)))))</f>
        <v>0</v>
      </c>
      <c r="T69" s="40">
        <f>IF(N69&gt;=0,0,(IF(N69&gt;-60,0,IF(-60&gt;=N69,IF(N69&gt;=-120,0,IF(N69&gt;=-180,O69,0))))))</f>
        <v>0</v>
      </c>
      <c r="U69" s="40">
        <f>IF(N69&gt;=0,0,(IF(N69&gt;-60,0,IF(-60&gt;=N69,IF(N69&gt;-120,0,IF(N69&gt;=-180,0,IF(N69&gt;=-365,O69,0)))))))</f>
        <v>0</v>
      </c>
      <c r="V69" s="40">
        <f>IF(N69&gt;=0,0,IF(365&lt;-N69,O69,0))</f>
        <v>0</v>
      </c>
    </row>
    <row r="70" spans="1:22" s="99" customFormat="1" ht="19.5" customHeight="1">
      <c r="A70" s="104"/>
      <c r="B70" s="104"/>
      <c r="C70" s="106"/>
      <c r="D70" s="107"/>
      <c r="E70" s="108">
        <f t="shared" ref="E70:K70" si="40">SUM(E69:E69)</f>
        <v>33966.449999999997</v>
      </c>
      <c r="F70" s="108">
        <f t="shared" si="40"/>
        <v>0</v>
      </c>
      <c r="G70" s="108">
        <f t="shared" si="40"/>
        <v>0</v>
      </c>
      <c r="H70" s="108">
        <f t="shared" si="40"/>
        <v>0</v>
      </c>
      <c r="I70" s="108">
        <f t="shared" si="40"/>
        <v>33966.449999999997</v>
      </c>
      <c r="J70" s="113">
        <f t="shared" si="40"/>
        <v>40759.74</v>
      </c>
      <c r="K70" s="113">
        <f t="shared" si="40"/>
        <v>40759.74</v>
      </c>
      <c r="L70" s="109"/>
      <c r="M70" s="109"/>
      <c r="N70" s="110"/>
      <c r="O70" s="108">
        <f>SUM(O69:O69)</f>
        <v>0</v>
      </c>
      <c r="P70" s="108" t="e">
        <f>SUM(P69:P69)</f>
        <v>#REF!</v>
      </c>
      <c r="Q70" s="111"/>
      <c r="R70" s="112">
        <f>SUM(R69:R69)</f>
        <v>0</v>
      </c>
      <c r="S70" s="112">
        <f>SUM(S69:S69)</f>
        <v>0</v>
      </c>
      <c r="T70" s="112">
        <f>SUM(T69:T69)</f>
        <v>0</v>
      </c>
      <c r="U70" s="112">
        <f>SUM(U69:U69)</f>
        <v>0</v>
      </c>
      <c r="V70" s="112">
        <f>SUM(V69:V69)</f>
        <v>0</v>
      </c>
    </row>
    <row r="71" spans="1:22" ht="19.5" customHeight="1">
      <c r="A71" s="41" t="s">
        <v>128</v>
      </c>
      <c r="B71" s="41"/>
      <c r="C71" s="43"/>
      <c r="D71" s="44"/>
      <c r="E71" s="36">
        <f>151170.78/1.2</f>
        <v>125975.65000000001</v>
      </c>
      <c r="F71" s="36">
        <f>-E71*$F$10</f>
        <v>0</v>
      </c>
      <c r="G71" s="36">
        <f>E71*$G$10</f>
        <v>0</v>
      </c>
      <c r="H71" s="36"/>
      <c r="I71" s="36">
        <f>+E71+F71-G71-H71</f>
        <v>125975.65000000001</v>
      </c>
      <c r="J71" s="36">
        <f>+I71+(I71*$I$4)</f>
        <v>151170.78000000003</v>
      </c>
      <c r="K71" s="36">
        <v>151170.78000000003</v>
      </c>
      <c r="L71" s="37"/>
      <c r="M71" s="37"/>
      <c r="N71" s="92">
        <f>-IF(L71=0,,IF(M71=0,($C$10-L71),M71-L71))</f>
        <v>0</v>
      </c>
      <c r="O71" s="36">
        <f>+J71-K71</f>
        <v>0</v>
      </c>
      <c r="P71" s="36" t="e">
        <f>+IF($C$10&lt;L71,0,O71)</f>
        <v>#REF!</v>
      </c>
      <c r="Q71" s="39"/>
      <c r="R71" s="40">
        <f>IF(N71&gt;=0,0,(IF(-N71&lt;=60,O71,0)))</f>
        <v>0</v>
      </c>
      <c r="S71" s="40">
        <f>IF(N71&gt;=0,0,(IF(N71&gt;=-60,0,IF(-60&gt;=N71,IF(N71&gt;=-120,O71,0)))))</f>
        <v>0</v>
      </c>
      <c r="T71" s="40">
        <f>IF(N71&gt;=0,0,(IF(N71&gt;-60,0,IF(-60&gt;=N71,IF(N71&gt;=-120,0,IF(N71&gt;=-180,O71,0))))))</f>
        <v>0</v>
      </c>
      <c r="U71" s="40">
        <f>IF(N71&gt;=0,0,(IF(N71&gt;-60,0,IF(-60&gt;=N71,IF(N71&gt;-120,0,IF(N71&gt;=-180,0,IF(N71&gt;=-365,O71,0)))))))</f>
        <v>0</v>
      </c>
      <c r="V71" s="40">
        <f>IF(N71&gt;=0,0,IF(365&lt;-N71,O71,0))</f>
        <v>0</v>
      </c>
    </row>
    <row r="72" spans="1:22" s="99" customFormat="1" ht="19.5" customHeight="1">
      <c r="A72" s="104"/>
      <c r="B72" s="104"/>
      <c r="C72" s="106"/>
      <c r="D72" s="107"/>
      <c r="E72" s="108">
        <f t="shared" ref="E72:K72" si="41">SUM(E71:E71)</f>
        <v>125975.65000000001</v>
      </c>
      <c r="F72" s="108">
        <f t="shared" si="41"/>
        <v>0</v>
      </c>
      <c r="G72" s="108">
        <f t="shared" si="41"/>
        <v>0</v>
      </c>
      <c r="H72" s="108">
        <f t="shared" si="41"/>
        <v>0</v>
      </c>
      <c r="I72" s="108">
        <f t="shared" si="41"/>
        <v>125975.65000000001</v>
      </c>
      <c r="J72" s="113">
        <f t="shared" si="41"/>
        <v>151170.78000000003</v>
      </c>
      <c r="K72" s="113">
        <f t="shared" si="41"/>
        <v>151170.78000000003</v>
      </c>
      <c r="L72" s="109"/>
      <c r="M72" s="109"/>
      <c r="N72" s="110"/>
      <c r="O72" s="108">
        <f>SUM(O71:O71)</f>
        <v>0</v>
      </c>
      <c r="P72" s="108" t="e">
        <f>SUM(P71:P71)</f>
        <v>#REF!</v>
      </c>
      <c r="Q72" s="111"/>
      <c r="R72" s="112">
        <f>SUM(R71:R71)</f>
        <v>0</v>
      </c>
      <c r="S72" s="112">
        <f>SUM(S71:S71)</f>
        <v>0</v>
      </c>
      <c r="T72" s="112">
        <f>SUM(T71:T71)</f>
        <v>0</v>
      </c>
      <c r="U72" s="112">
        <f>SUM(U71:U71)</f>
        <v>0</v>
      </c>
      <c r="V72" s="112">
        <f>SUM(V71:V71)</f>
        <v>0</v>
      </c>
    </row>
    <row r="73" spans="1:22" ht="19.5" customHeight="1">
      <c r="A73" s="41" t="s">
        <v>129</v>
      </c>
      <c r="B73" s="41"/>
      <c r="C73" s="43"/>
      <c r="D73" s="44"/>
      <c r="E73" s="36">
        <f>33203.52/1.2</f>
        <v>27669.599999999999</v>
      </c>
      <c r="F73" s="36">
        <f>-E73*$F$10</f>
        <v>0</v>
      </c>
      <c r="G73" s="36">
        <f>E73*$G$10</f>
        <v>0</v>
      </c>
      <c r="H73" s="36"/>
      <c r="I73" s="36">
        <f>+E73+F73-G73-H73</f>
        <v>27669.599999999999</v>
      </c>
      <c r="J73" s="36">
        <f>+I73+(I73*$I$4)</f>
        <v>33203.519999999997</v>
      </c>
      <c r="K73" s="36">
        <v>33203.519999999997</v>
      </c>
      <c r="L73" s="37"/>
      <c r="M73" s="37"/>
      <c r="N73" s="92">
        <f>-IF(L73=0,,IF(M73=0,($C$10-L73),M73-L73))</f>
        <v>0</v>
      </c>
      <c r="O73" s="36">
        <f>+J73-K73</f>
        <v>0</v>
      </c>
      <c r="P73" s="36" t="e">
        <f>+IF($C$10&lt;L73,0,O73)</f>
        <v>#REF!</v>
      </c>
      <c r="Q73" s="39"/>
      <c r="R73" s="40">
        <f>IF(N73&gt;=0,0,(IF(-N73&lt;=60,O73,0)))</f>
        <v>0</v>
      </c>
      <c r="S73" s="40">
        <f>IF(N73&gt;=0,0,(IF(N73&gt;=-60,0,IF(-60&gt;=N73,IF(N73&gt;=-120,O73,0)))))</f>
        <v>0</v>
      </c>
      <c r="T73" s="40">
        <f>IF(N73&gt;=0,0,(IF(N73&gt;-60,0,IF(-60&gt;=N73,IF(N73&gt;=-120,0,IF(N73&gt;=-180,O73,0))))))</f>
        <v>0</v>
      </c>
      <c r="U73" s="40">
        <f>IF(N73&gt;=0,0,(IF(N73&gt;-60,0,IF(-60&gt;=N73,IF(N73&gt;-120,0,IF(N73&gt;=-180,0,IF(N73&gt;=-365,O73,0)))))))</f>
        <v>0</v>
      </c>
      <c r="V73" s="40">
        <f>IF(N73&gt;=0,0,IF(365&lt;-N73,O73,0))</f>
        <v>0</v>
      </c>
    </row>
    <row r="74" spans="1:22" s="99" customFormat="1" ht="19.5" customHeight="1">
      <c r="A74" s="104"/>
      <c r="B74" s="104"/>
      <c r="C74" s="106"/>
      <c r="D74" s="107"/>
      <c r="E74" s="108">
        <f t="shared" ref="E74:K74" si="42">SUM(E73:E73)</f>
        <v>27669.599999999999</v>
      </c>
      <c r="F74" s="108">
        <f t="shared" si="42"/>
        <v>0</v>
      </c>
      <c r="G74" s="108">
        <f t="shared" si="42"/>
        <v>0</v>
      </c>
      <c r="H74" s="108">
        <f t="shared" si="42"/>
        <v>0</v>
      </c>
      <c r="I74" s="108">
        <f t="shared" si="42"/>
        <v>27669.599999999999</v>
      </c>
      <c r="J74" s="113">
        <f t="shared" si="42"/>
        <v>33203.519999999997</v>
      </c>
      <c r="K74" s="113">
        <f t="shared" si="42"/>
        <v>33203.519999999997</v>
      </c>
      <c r="L74" s="109"/>
      <c r="M74" s="109"/>
      <c r="N74" s="110"/>
      <c r="O74" s="108">
        <f>SUM(O73:O73)</f>
        <v>0</v>
      </c>
      <c r="P74" s="108" t="e">
        <f>SUM(P73:P73)</f>
        <v>#REF!</v>
      </c>
      <c r="Q74" s="111"/>
      <c r="R74" s="112">
        <f>SUM(R73:R73)</f>
        <v>0</v>
      </c>
      <c r="S74" s="112">
        <f>SUM(S73:S73)</f>
        <v>0</v>
      </c>
      <c r="T74" s="112">
        <f>SUM(T73:T73)</f>
        <v>0</v>
      </c>
      <c r="U74" s="112">
        <f>SUM(U73:U73)</f>
        <v>0</v>
      </c>
      <c r="V74" s="112">
        <f>SUM(V73:V73)</f>
        <v>0</v>
      </c>
    </row>
    <row r="75" spans="1:22" ht="19.5" customHeight="1">
      <c r="A75" s="41" t="s">
        <v>219</v>
      </c>
      <c r="B75" s="41"/>
      <c r="C75" s="43"/>
      <c r="D75" s="44"/>
      <c r="E75" s="36">
        <f>16465.68/1.2</f>
        <v>13721.400000000001</v>
      </c>
      <c r="F75" s="36">
        <f>-E75*$F$10</f>
        <v>0</v>
      </c>
      <c r="G75" s="36">
        <f>E75*$G$10</f>
        <v>0</v>
      </c>
      <c r="H75" s="36"/>
      <c r="I75" s="36">
        <f>+E75+F75-G75-H75</f>
        <v>13721.400000000001</v>
      </c>
      <c r="J75" s="36">
        <f>+I75+(I75*$I$4)</f>
        <v>16465.68</v>
      </c>
      <c r="K75" s="36">
        <v>16465.68</v>
      </c>
      <c r="L75" s="37"/>
      <c r="M75" s="37"/>
      <c r="N75" s="92">
        <f>-IF(L75=0,,IF(M75=0,($C$10-L75),M75-L75))</f>
        <v>0</v>
      </c>
      <c r="O75" s="36">
        <f>+J75-K75</f>
        <v>0</v>
      </c>
      <c r="P75" s="36" t="e">
        <f>+IF($C$10&lt;L75,0,O75)</f>
        <v>#REF!</v>
      </c>
      <c r="Q75" s="39"/>
      <c r="R75" s="40">
        <f>IF(N75&gt;=0,0,(IF(-N75&lt;=60,O75,0)))</f>
        <v>0</v>
      </c>
      <c r="S75" s="40">
        <f>IF(N75&gt;=0,0,(IF(N75&gt;=-60,0,IF(-60&gt;=N75,IF(N75&gt;=-120,O75,0)))))</f>
        <v>0</v>
      </c>
      <c r="T75" s="40">
        <f>IF(N75&gt;=0,0,(IF(N75&gt;-60,0,IF(-60&gt;=N75,IF(N75&gt;=-120,0,IF(N75&gt;=-180,O75,0))))))</f>
        <v>0</v>
      </c>
      <c r="U75" s="40">
        <f>IF(N75&gt;=0,0,(IF(N75&gt;-60,0,IF(-60&gt;=N75,IF(N75&gt;-120,0,IF(N75&gt;=-180,0,IF(N75&gt;=-365,O75,0)))))))</f>
        <v>0</v>
      </c>
      <c r="V75" s="40">
        <f>IF(N75&gt;=0,0,IF(365&lt;-N75,O75,0))</f>
        <v>0</v>
      </c>
    </row>
    <row r="76" spans="1:22" s="99" customFormat="1" ht="19.5" customHeight="1">
      <c r="A76" s="104"/>
      <c r="B76" s="104"/>
      <c r="C76" s="106"/>
      <c r="D76" s="107"/>
      <c r="E76" s="108">
        <f t="shared" ref="E76:K76" si="43">SUM(E75:E75)</f>
        <v>13721.400000000001</v>
      </c>
      <c r="F76" s="108">
        <f t="shared" si="43"/>
        <v>0</v>
      </c>
      <c r="G76" s="108">
        <f t="shared" si="43"/>
        <v>0</v>
      </c>
      <c r="H76" s="108">
        <f t="shared" si="43"/>
        <v>0</v>
      </c>
      <c r="I76" s="108">
        <f t="shared" si="43"/>
        <v>13721.400000000001</v>
      </c>
      <c r="J76" s="113">
        <f t="shared" si="43"/>
        <v>16465.68</v>
      </c>
      <c r="K76" s="113">
        <f t="shared" si="43"/>
        <v>16465.68</v>
      </c>
      <c r="L76" s="109"/>
      <c r="M76" s="109"/>
      <c r="N76" s="110"/>
      <c r="O76" s="108">
        <f>SUM(O75:O75)</f>
        <v>0</v>
      </c>
      <c r="P76" s="108" t="e">
        <f>SUM(P75:P75)</f>
        <v>#REF!</v>
      </c>
      <c r="Q76" s="111"/>
      <c r="R76" s="112">
        <f>SUM(R75:R75)</f>
        <v>0</v>
      </c>
      <c r="S76" s="112">
        <f>SUM(S75:S75)</f>
        <v>0</v>
      </c>
      <c r="T76" s="112">
        <f>SUM(T75:T75)</f>
        <v>0</v>
      </c>
      <c r="U76" s="112">
        <f>SUM(U75:U75)</f>
        <v>0</v>
      </c>
      <c r="V76" s="112">
        <f>SUM(V75:V75)</f>
        <v>0</v>
      </c>
    </row>
    <row r="77" spans="1:22" ht="19.5" customHeight="1">
      <c r="A77" s="41" t="s">
        <v>130</v>
      </c>
      <c r="B77" s="41"/>
      <c r="C77" s="43"/>
      <c r="D77" s="44"/>
      <c r="E77" s="36">
        <f>190993.99/1.2</f>
        <v>159161.65833333333</v>
      </c>
      <c r="F77" s="36">
        <f>-E77*$F$10</f>
        <v>0</v>
      </c>
      <c r="G77" s="36">
        <f>E77*$G$10</f>
        <v>0</v>
      </c>
      <c r="H77" s="36"/>
      <c r="I77" s="36">
        <f>+E77+F77-G77-H77</f>
        <v>159161.65833333333</v>
      </c>
      <c r="J77" s="36">
        <f>+I77+(I77*$I$4)</f>
        <v>190993.99</v>
      </c>
      <c r="K77" s="36">
        <v>190993.99</v>
      </c>
      <c r="L77" s="37"/>
      <c r="M77" s="37"/>
      <c r="N77" s="92">
        <f>-IF(L77=0,,IF(M77=0,($C$10-L77),M77-L77))</f>
        <v>0</v>
      </c>
      <c r="O77" s="36">
        <f>+J77-K77</f>
        <v>0</v>
      </c>
      <c r="P77" s="36" t="e">
        <f>+IF($C$10&lt;L77,0,O77)</f>
        <v>#REF!</v>
      </c>
      <c r="Q77" s="39"/>
      <c r="R77" s="40">
        <f>IF(N77&gt;=0,0,(IF(-N77&lt;=60,O77,0)))</f>
        <v>0</v>
      </c>
      <c r="S77" s="40">
        <f>IF(N77&gt;=0,0,(IF(N77&gt;=-60,0,IF(-60&gt;=N77,IF(N77&gt;=-120,O77,0)))))</f>
        <v>0</v>
      </c>
      <c r="T77" s="40">
        <f>IF(N77&gt;=0,0,(IF(N77&gt;-60,0,IF(-60&gt;=N77,IF(N77&gt;=-120,0,IF(N77&gt;=-180,O77,0))))))</f>
        <v>0</v>
      </c>
      <c r="U77" s="40">
        <f>IF(N77&gt;=0,0,(IF(N77&gt;-60,0,IF(-60&gt;=N77,IF(N77&gt;-120,0,IF(N77&gt;=-180,0,IF(N77&gt;=-365,O77,0)))))))</f>
        <v>0</v>
      </c>
      <c r="V77" s="40">
        <f>IF(N77&gt;=0,0,IF(365&lt;-N77,O77,0))</f>
        <v>0</v>
      </c>
    </row>
    <row r="78" spans="1:22" s="99" customFormat="1" ht="19.5" customHeight="1">
      <c r="A78" s="104"/>
      <c r="B78" s="104"/>
      <c r="C78" s="106"/>
      <c r="D78" s="107"/>
      <c r="E78" s="108">
        <f t="shared" ref="E78:K78" si="44">SUM(E77:E77)</f>
        <v>159161.65833333333</v>
      </c>
      <c r="F78" s="108">
        <f t="shared" si="44"/>
        <v>0</v>
      </c>
      <c r="G78" s="108">
        <f t="shared" si="44"/>
        <v>0</v>
      </c>
      <c r="H78" s="108">
        <f t="shared" si="44"/>
        <v>0</v>
      </c>
      <c r="I78" s="108">
        <f t="shared" si="44"/>
        <v>159161.65833333333</v>
      </c>
      <c r="J78" s="113">
        <f t="shared" si="44"/>
        <v>190993.99</v>
      </c>
      <c r="K78" s="113">
        <f t="shared" si="44"/>
        <v>190993.99</v>
      </c>
      <c r="L78" s="109"/>
      <c r="M78" s="109"/>
      <c r="N78" s="110"/>
      <c r="O78" s="108">
        <f>SUM(O77:O77)</f>
        <v>0</v>
      </c>
      <c r="P78" s="108" t="e">
        <f>SUM(P77:P77)</f>
        <v>#REF!</v>
      </c>
      <c r="Q78" s="111"/>
      <c r="R78" s="112">
        <f>SUM(R77:R77)</f>
        <v>0</v>
      </c>
      <c r="S78" s="112">
        <f>SUM(S77:S77)</f>
        <v>0</v>
      </c>
      <c r="T78" s="112">
        <f>SUM(T77:T77)</f>
        <v>0</v>
      </c>
      <c r="U78" s="112">
        <f>SUM(U77:U77)</f>
        <v>0</v>
      </c>
      <c r="V78" s="112">
        <f>SUM(V77:V77)</f>
        <v>0</v>
      </c>
    </row>
    <row r="79" spans="1:22" ht="19.5" customHeight="1">
      <c r="A79" s="41" t="s">
        <v>131</v>
      </c>
      <c r="B79" s="41"/>
      <c r="C79" s="43"/>
      <c r="D79" s="44"/>
      <c r="E79" s="36">
        <f>64022.4/1.2</f>
        <v>53352</v>
      </c>
      <c r="F79" s="36">
        <f>-E79*$F$10</f>
        <v>0</v>
      </c>
      <c r="G79" s="36">
        <f>E79*$G$10</f>
        <v>0</v>
      </c>
      <c r="H79" s="36"/>
      <c r="I79" s="36">
        <f>+E79+F79-G79-H79</f>
        <v>53352</v>
      </c>
      <c r="J79" s="36">
        <f>+I79+(I79*$I$4)</f>
        <v>64022.400000000001</v>
      </c>
      <c r="K79" s="36">
        <v>64022.400000000001</v>
      </c>
      <c r="L79" s="37"/>
      <c r="M79" s="37"/>
      <c r="N79" s="92">
        <f>-IF(L79=0,,IF(M79=0,($C$10-L79),M79-L79))</f>
        <v>0</v>
      </c>
      <c r="O79" s="36">
        <f>+J79-K79</f>
        <v>0</v>
      </c>
      <c r="P79" s="36" t="e">
        <f>+IF($C$10&lt;L79,0,O79)</f>
        <v>#REF!</v>
      </c>
      <c r="Q79" s="39"/>
      <c r="R79" s="40">
        <f>IF(N79&gt;=0,0,(IF(-N79&lt;=60,O79,0)))</f>
        <v>0</v>
      </c>
      <c r="S79" s="40">
        <f>IF(N79&gt;=0,0,(IF(N79&gt;=-60,0,IF(-60&gt;=N79,IF(N79&gt;=-120,O79,0)))))</f>
        <v>0</v>
      </c>
      <c r="T79" s="40">
        <f>IF(N79&gt;=0,0,(IF(N79&gt;-60,0,IF(-60&gt;=N79,IF(N79&gt;=-120,0,IF(N79&gt;=-180,O79,0))))))</f>
        <v>0</v>
      </c>
      <c r="U79" s="40">
        <f>IF(N79&gt;=0,0,(IF(N79&gt;-60,0,IF(-60&gt;=N79,IF(N79&gt;-120,0,IF(N79&gt;=-180,0,IF(N79&gt;=-365,O79,0)))))))</f>
        <v>0</v>
      </c>
      <c r="V79" s="40">
        <f>IF(N79&gt;=0,0,IF(365&lt;-N79,O79,0))</f>
        <v>0</v>
      </c>
    </row>
    <row r="80" spans="1:22" s="99" customFormat="1" ht="19.5" customHeight="1">
      <c r="A80" s="104"/>
      <c r="B80" s="104"/>
      <c r="C80" s="106"/>
      <c r="D80" s="107"/>
      <c r="E80" s="108">
        <f t="shared" ref="E80:K80" si="45">SUM(E79:E79)</f>
        <v>53352</v>
      </c>
      <c r="F80" s="108">
        <f t="shared" si="45"/>
        <v>0</v>
      </c>
      <c r="G80" s="108">
        <f t="shared" si="45"/>
        <v>0</v>
      </c>
      <c r="H80" s="108">
        <f t="shared" si="45"/>
        <v>0</v>
      </c>
      <c r="I80" s="108">
        <f t="shared" si="45"/>
        <v>53352</v>
      </c>
      <c r="J80" s="113">
        <f t="shared" si="45"/>
        <v>64022.400000000001</v>
      </c>
      <c r="K80" s="113">
        <f t="shared" si="45"/>
        <v>64022.400000000001</v>
      </c>
      <c r="L80" s="109"/>
      <c r="M80" s="109"/>
      <c r="N80" s="110"/>
      <c r="O80" s="108">
        <f>SUM(O79:O79)</f>
        <v>0</v>
      </c>
      <c r="P80" s="108" t="e">
        <f>SUM(P79:P79)</f>
        <v>#REF!</v>
      </c>
      <c r="Q80" s="111"/>
      <c r="R80" s="112">
        <f>SUM(R79:R79)</f>
        <v>0</v>
      </c>
      <c r="S80" s="112">
        <f>SUM(S79:S79)</f>
        <v>0</v>
      </c>
      <c r="T80" s="112">
        <f>SUM(T79:T79)</f>
        <v>0</v>
      </c>
      <c r="U80" s="112">
        <f>SUM(U79:U79)</f>
        <v>0</v>
      </c>
      <c r="V80" s="112">
        <f>SUM(V79:V79)</f>
        <v>0</v>
      </c>
    </row>
    <row r="81" spans="1:22" ht="19.5" customHeight="1">
      <c r="A81" s="41" t="s">
        <v>132</v>
      </c>
      <c r="B81" s="41"/>
      <c r="C81" s="43"/>
      <c r="D81" s="44"/>
      <c r="E81" s="36">
        <f>134702.4/1.2</f>
        <v>112252</v>
      </c>
      <c r="F81" s="36">
        <f>-E81*$F$10</f>
        <v>0</v>
      </c>
      <c r="G81" s="36">
        <f>E81*$G$10</f>
        <v>0</v>
      </c>
      <c r="H81" s="36"/>
      <c r="I81" s="36">
        <f>+E81+F81-G81-H81</f>
        <v>112252</v>
      </c>
      <c r="J81" s="36">
        <f>+I81+(I81*$I$4)</f>
        <v>134702.39999999999</v>
      </c>
      <c r="K81" s="36">
        <v>134702.39999999999</v>
      </c>
      <c r="L81" s="37"/>
      <c r="M81" s="37"/>
      <c r="N81" s="92">
        <f>-IF(L81=0,,IF(M81=0,($C$10-L81),M81-L81))</f>
        <v>0</v>
      </c>
      <c r="O81" s="36">
        <f>+J81-K81</f>
        <v>0</v>
      </c>
      <c r="P81" s="36" t="e">
        <f>+IF($C$10&lt;L81,0,O81)</f>
        <v>#REF!</v>
      </c>
      <c r="Q81" s="39"/>
      <c r="R81" s="40">
        <f>IF(N81&gt;=0,0,(IF(-N81&lt;=60,O81,0)))</f>
        <v>0</v>
      </c>
      <c r="S81" s="40">
        <f>IF(N81&gt;=0,0,(IF(N81&gt;=-60,0,IF(-60&gt;=N81,IF(N81&gt;=-120,O81,0)))))</f>
        <v>0</v>
      </c>
      <c r="T81" s="40">
        <f>IF(N81&gt;=0,0,(IF(N81&gt;-60,0,IF(-60&gt;=N81,IF(N81&gt;=-120,0,IF(N81&gt;=-180,O81,0))))))</f>
        <v>0</v>
      </c>
      <c r="U81" s="40">
        <f>IF(N81&gt;=0,0,(IF(N81&gt;-60,0,IF(-60&gt;=N81,IF(N81&gt;-120,0,IF(N81&gt;=-180,0,IF(N81&gt;=-365,O81,0)))))))</f>
        <v>0</v>
      </c>
      <c r="V81" s="40">
        <f>IF(N81&gt;=0,0,IF(365&lt;-N81,O81,0))</f>
        <v>0</v>
      </c>
    </row>
    <row r="82" spans="1:22" s="99" customFormat="1" ht="19.5" customHeight="1">
      <c r="A82" s="104"/>
      <c r="B82" s="104"/>
      <c r="C82" s="106"/>
      <c r="D82" s="107"/>
      <c r="E82" s="108">
        <f t="shared" ref="E82:K82" si="46">SUM(E81:E81)</f>
        <v>112252</v>
      </c>
      <c r="F82" s="108">
        <f t="shared" si="46"/>
        <v>0</v>
      </c>
      <c r="G82" s="108">
        <f t="shared" si="46"/>
        <v>0</v>
      </c>
      <c r="H82" s="108">
        <f t="shared" si="46"/>
        <v>0</v>
      </c>
      <c r="I82" s="108">
        <f t="shared" si="46"/>
        <v>112252</v>
      </c>
      <c r="J82" s="113">
        <f t="shared" si="46"/>
        <v>134702.39999999999</v>
      </c>
      <c r="K82" s="113">
        <f t="shared" si="46"/>
        <v>134702.39999999999</v>
      </c>
      <c r="L82" s="109"/>
      <c r="M82" s="109"/>
      <c r="N82" s="110"/>
      <c r="O82" s="108">
        <f>SUM(O81:O81)</f>
        <v>0</v>
      </c>
      <c r="P82" s="108" t="e">
        <f>SUM(P81:P81)</f>
        <v>#REF!</v>
      </c>
      <c r="Q82" s="111"/>
      <c r="R82" s="112">
        <f>SUM(R81:R81)</f>
        <v>0</v>
      </c>
      <c r="S82" s="112">
        <f>SUM(S81:S81)</f>
        <v>0</v>
      </c>
      <c r="T82" s="112">
        <f>SUM(T81:T81)</f>
        <v>0</v>
      </c>
      <c r="U82" s="112">
        <f>SUM(U81:U81)</f>
        <v>0</v>
      </c>
      <c r="V82" s="112">
        <f>SUM(V81:V81)</f>
        <v>0</v>
      </c>
    </row>
    <row r="83" spans="1:22" ht="19.5" customHeight="1">
      <c r="A83" s="41" t="s">
        <v>68</v>
      </c>
      <c r="B83" s="41"/>
      <c r="C83" s="43"/>
      <c r="D83" s="44"/>
      <c r="E83" s="36">
        <f>414123.36/1.2</f>
        <v>345102.8</v>
      </c>
      <c r="F83" s="36">
        <f>-E83*$F$10</f>
        <v>0</v>
      </c>
      <c r="G83" s="36">
        <f>E83*$G$10</f>
        <v>0</v>
      </c>
      <c r="H83" s="36"/>
      <c r="I83" s="36">
        <f>+E83+F83-G83-H83</f>
        <v>345102.8</v>
      </c>
      <c r="J83" s="36">
        <f>+I83+(I83*$I$4)</f>
        <v>414123.36</v>
      </c>
      <c r="K83" s="36">
        <v>414123.36</v>
      </c>
      <c r="L83" s="37"/>
      <c r="M83" s="37"/>
      <c r="N83" s="92">
        <f>-IF(L83=0,,IF(M83=0,($C$10-L83),M83-L83))</f>
        <v>0</v>
      </c>
      <c r="O83" s="36">
        <f>+J83-K83</f>
        <v>0</v>
      </c>
      <c r="P83" s="36" t="e">
        <f>+IF($C$10&lt;L83,0,O83)</f>
        <v>#REF!</v>
      </c>
      <c r="Q83" s="39"/>
      <c r="R83" s="40">
        <f>IF(N83&gt;=0,0,(IF(-N83&lt;=60,O83,0)))</f>
        <v>0</v>
      </c>
      <c r="S83" s="40">
        <f>IF(N83&gt;=0,0,(IF(N83&gt;=-60,0,IF(-60&gt;=N83,IF(N83&gt;=-120,O83,0)))))</f>
        <v>0</v>
      </c>
      <c r="T83" s="40">
        <f>IF(N83&gt;=0,0,(IF(N83&gt;-60,0,IF(-60&gt;=N83,IF(N83&gt;=-120,0,IF(N83&gt;=-180,O83,0))))))</f>
        <v>0</v>
      </c>
      <c r="U83" s="40">
        <f>IF(N83&gt;=0,0,(IF(N83&gt;-60,0,IF(-60&gt;=N83,IF(N83&gt;-120,0,IF(N83&gt;=-180,0,IF(N83&gt;=-365,O83,0)))))))</f>
        <v>0</v>
      </c>
      <c r="V83" s="40">
        <f>IF(N83&gt;=0,0,IF(365&lt;-N83,O83,0))</f>
        <v>0</v>
      </c>
    </row>
    <row r="84" spans="1:22" s="99" customFormat="1" ht="19.5" customHeight="1">
      <c r="A84" s="104"/>
      <c r="B84" s="104"/>
      <c r="C84" s="106"/>
      <c r="D84" s="107"/>
      <c r="E84" s="108">
        <f t="shared" ref="E84:K84" si="47">SUM(E83:E83)</f>
        <v>345102.8</v>
      </c>
      <c r="F84" s="108">
        <f t="shared" si="47"/>
        <v>0</v>
      </c>
      <c r="G84" s="108">
        <f t="shared" si="47"/>
        <v>0</v>
      </c>
      <c r="H84" s="108">
        <f t="shared" si="47"/>
        <v>0</v>
      </c>
      <c r="I84" s="108">
        <f t="shared" si="47"/>
        <v>345102.8</v>
      </c>
      <c r="J84" s="113">
        <f t="shared" si="47"/>
        <v>414123.36</v>
      </c>
      <c r="K84" s="113">
        <f t="shared" si="47"/>
        <v>414123.36</v>
      </c>
      <c r="L84" s="109"/>
      <c r="M84" s="109"/>
      <c r="N84" s="110"/>
      <c r="O84" s="108">
        <f>SUM(O83:O83)</f>
        <v>0</v>
      </c>
      <c r="P84" s="108" t="e">
        <f>SUM(P83:P83)</f>
        <v>#REF!</v>
      </c>
      <c r="Q84" s="111"/>
      <c r="R84" s="112">
        <f>SUM(R83:R83)</f>
        <v>0</v>
      </c>
      <c r="S84" s="112">
        <f>SUM(S83:S83)</f>
        <v>0</v>
      </c>
      <c r="T84" s="112">
        <f>SUM(T83:T83)</f>
        <v>0</v>
      </c>
      <c r="U84" s="112">
        <f>SUM(U83:U83)</f>
        <v>0</v>
      </c>
      <c r="V84" s="112">
        <f>SUM(V83:V83)</f>
        <v>0</v>
      </c>
    </row>
    <row r="85" spans="1:22" ht="19.5" customHeight="1">
      <c r="A85" s="41" t="s">
        <v>133</v>
      </c>
      <c r="B85" s="41"/>
      <c r="C85" s="43"/>
      <c r="D85" s="44"/>
      <c r="E85" s="36">
        <f>42504/1.2</f>
        <v>35420</v>
      </c>
      <c r="F85" s="36">
        <f>-E85*$F$10</f>
        <v>0</v>
      </c>
      <c r="G85" s="36">
        <f>E85*$G$10</f>
        <v>0</v>
      </c>
      <c r="H85" s="36"/>
      <c r="I85" s="36">
        <f>+E85+F85-G85-H85</f>
        <v>35420</v>
      </c>
      <c r="J85" s="36">
        <f>+I85+(I85*$I$4)</f>
        <v>42504</v>
      </c>
      <c r="K85" s="36">
        <v>42504</v>
      </c>
      <c r="L85" s="37"/>
      <c r="M85" s="37"/>
      <c r="N85" s="92">
        <f>-IF(L85=0,,IF(M85=0,($C$10-L85),M85-L85))</f>
        <v>0</v>
      </c>
      <c r="O85" s="36">
        <f>+J85-K85</f>
        <v>0</v>
      </c>
      <c r="P85" s="36" t="e">
        <f>+IF($C$10&lt;L85,0,O85)</f>
        <v>#REF!</v>
      </c>
      <c r="Q85" s="39"/>
      <c r="R85" s="40">
        <f>IF(N85&gt;=0,0,(IF(-N85&lt;=60,O85,0)))</f>
        <v>0</v>
      </c>
      <c r="S85" s="40">
        <f>IF(N85&gt;=0,0,(IF(N85&gt;=-60,0,IF(-60&gt;=N85,IF(N85&gt;=-120,O85,0)))))</f>
        <v>0</v>
      </c>
      <c r="T85" s="40">
        <f>IF(N85&gt;=0,0,(IF(N85&gt;-60,0,IF(-60&gt;=N85,IF(N85&gt;=-120,0,IF(N85&gt;=-180,O85,0))))))</f>
        <v>0</v>
      </c>
      <c r="U85" s="40">
        <f>IF(N85&gt;=0,0,(IF(N85&gt;-60,0,IF(-60&gt;=N85,IF(N85&gt;-120,0,IF(N85&gt;=-180,0,IF(N85&gt;=-365,O85,0)))))))</f>
        <v>0</v>
      </c>
      <c r="V85" s="40">
        <f>IF(N85&gt;=0,0,IF(365&lt;-N85,O85,0))</f>
        <v>0</v>
      </c>
    </row>
    <row r="86" spans="1:22" s="99" customFormat="1" ht="19.5" customHeight="1">
      <c r="A86" s="104"/>
      <c r="B86" s="104"/>
      <c r="C86" s="106"/>
      <c r="D86" s="107"/>
      <c r="E86" s="108">
        <f t="shared" ref="E86:K86" si="48">SUM(E85:E85)</f>
        <v>35420</v>
      </c>
      <c r="F86" s="108">
        <f t="shared" si="48"/>
        <v>0</v>
      </c>
      <c r="G86" s="108">
        <f t="shared" si="48"/>
        <v>0</v>
      </c>
      <c r="H86" s="108">
        <f t="shared" si="48"/>
        <v>0</v>
      </c>
      <c r="I86" s="108">
        <f t="shared" si="48"/>
        <v>35420</v>
      </c>
      <c r="J86" s="113">
        <f t="shared" si="48"/>
        <v>42504</v>
      </c>
      <c r="K86" s="113">
        <f t="shared" si="48"/>
        <v>42504</v>
      </c>
      <c r="L86" s="109"/>
      <c r="M86" s="109"/>
      <c r="N86" s="110"/>
      <c r="O86" s="108">
        <f>SUM(O85:O85)</f>
        <v>0</v>
      </c>
      <c r="P86" s="108" t="e">
        <f>SUM(P85:P85)</f>
        <v>#REF!</v>
      </c>
      <c r="Q86" s="111"/>
      <c r="R86" s="112">
        <f>SUM(R85:R85)</f>
        <v>0</v>
      </c>
      <c r="S86" s="112">
        <f>SUM(S85:S85)</f>
        <v>0</v>
      </c>
      <c r="T86" s="112">
        <f>SUM(T85:T85)</f>
        <v>0</v>
      </c>
      <c r="U86" s="112">
        <f>SUM(U85:U85)</f>
        <v>0</v>
      </c>
      <c r="V86" s="112">
        <f>SUM(V85:V85)</f>
        <v>0</v>
      </c>
    </row>
    <row r="87" spans="1:22" ht="19.5" customHeight="1">
      <c r="A87" s="41" t="s">
        <v>134</v>
      </c>
      <c r="B87" s="41"/>
      <c r="C87" s="43"/>
      <c r="D87" s="44"/>
      <c r="E87" s="36">
        <f>1223425.56/1.2</f>
        <v>1019521.3</v>
      </c>
      <c r="F87" s="36">
        <f>-E87*$F$10</f>
        <v>0</v>
      </c>
      <c r="G87" s="36">
        <f>E87*$G$10</f>
        <v>0</v>
      </c>
      <c r="H87" s="36"/>
      <c r="I87" s="36">
        <f>+E87+F87-G87-H87</f>
        <v>1019521.3</v>
      </c>
      <c r="J87" s="36">
        <f>+I87+(I87*$I$4)</f>
        <v>1223425.56</v>
      </c>
      <c r="K87" s="36">
        <v>1223425.56</v>
      </c>
      <c r="L87" s="37"/>
      <c r="M87" s="37"/>
      <c r="N87" s="92">
        <f>-IF(L87=0,,IF(M87=0,($C$10-L87),M87-L87))</f>
        <v>0</v>
      </c>
      <c r="O87" s="36">
        <f>+J87-K87</f>
        <v>0</v>
      </c>
      <c r="P87" s="36" t="e">
        <f>+IF($C$10&lt;L87,0,O87)</f>
        <v>#REF!</v>
      </c>
      <c r="Q87" s="39"/>
      <c r="R87" s="40">
        <f>IF(N87&gt;=0,0,(IF(-N87&lt;=60,O87,0)))</f>
        <v>0</v>
      </c>
      <c r="S87" s="40">
        <f>IF(N87&gt;=0,0,(IF(N87&gt;=-60,0,IF(-60&gt;=N87,IF(N87&gt;=-120,O87,0)))))</f>
        <v>0</v>
      </c>
      <c r="T87" s="40">
        <f>IF(N87&gt;=0,0,(IF(N87&gt;-60,0,IF(-60&gt;=N87,IF(N87&gt;=-120,0,IF(N87&gt;=-180,O87,0))))))</f>
        <v>0</v>
      </c>
      <c r="U87" s="40">
        <f>IF(N87&gt;=0,0,(IF(N87&gt;-60,0,IF(-60&gt;=N87,IF(N87&gt;-120,0,IF(N87&gt;=-180,0,IF(N87&gt;=-365,O87,0)))))))</f>
        <v>0</v>
      </c>
      <c r="V87" s="40">
        <f>IF(N87&gt;=0,0,IF(365&lt;-N87,O87,0))</f>
        <v>0</v>
      </c>
    </row>
    <row r="88" spans="1:22" s="99" customFormat="1" ht="19.5" customHeight="1">
      <c r="A88" s="104"/>
      <c r="B88" s="104"/>
      <c r="C88" s="106"/>
      <c r="D88" s="107"/>
      <c r="E88" s="108">
        <f t="shared" ref="E88:K88" si="49">SUM(E87:E87)</f>
        <v>1019521.3</v>
      </c>
      <c r="F88" s="108">
        <f t="shared" si="49"/>
        <v>0</v>
      </c>
      <c r="G88" s="108">
        <f t="shared" si="49"/>
        <v>0</v>
      </c>
      <c r="H88" s="108">
        <f t="shared" si="49"/>
        <v>0</v>
      </c>
      <c r="I88" s="108">
        <f t="shared" si="49"/>
        <v>1019521.3</v>
      </c>
      <c r="J88" s="113">
        <f t="shared" si="49"/>
        <v>1223425.56</v>
      </c>
      <c r="K88" s="113">
        <f t="shared" si="49"/>
        <v>1223425.56</v>
      </c>
      <c r="L88" s="109"/>
      <c r="M88" s="109"/>
      <c r="N88" s="110"/>
      <c r="O88" s="108">
        <f>SUM(O87:O87)</f>
        <v>0</v>
      </c>
      <c r="P88" s="108" t="e">
        <f>SUM(P87:P87)</f>
        <v>#REF!</v>
      </c>
      <c r="Q88" s="111"/>
      <c r="R88" s="112">
        <f>SUM(R87:R87)</f>
        <v>0</v>
      </c>
      <c r="S88" s="112">
        <f>SUM(S87:S87)</f>
        <v>0</v>
      </c>
      <c r="T88" s="112">
        <f>SUM(T87:T87)</f>
        <v>0</v>
      </c>
      <c r="U88" s="112">
        <f>SUM(U87:U87)</f>
        <v>0</v>
      </c>
      <c r="V88" s="112">
        <f>SUM(V87:V87)</f>
        <v>0</v>
      </c>
    </row>
    <row r="89" spans="1:22" ht="19.5" customHeight="1">
      <c r="A89" s="41" t="s">
        <v>220</v>
      </c>
      <c r="B89" s="41"/>
      <c r="C89" s="43"/>
      <c r="D89" s="44"/>
      <c r="E89" s="36">
        <f>55064.05/1.2</f>
        <v>45886.708333333336</v>
      </c>
      <c r="F89" s="36">
        <f>-E89*$F$10</f>
        <v>0</v>
      </c>
      <c r="G89" s="36">
        <f>E89*$G$10</f>
        <v>0</v>
      </c>
      <c r="H89" s="36"/>
      <c r="I89" s="36">
        <f>+E89+F89-G89-H89</f>
        <v>45886.708333333336</v>
      </c>
      <c r="J89" s="36">
        <f>+I89+(I89*$I$4)</f>
        <v>55064.05</v>
      </c>
      <c r="K89" s="36">
        <v>55064.05</v>
      </c>
      <c r="L89" s="37"/>
      <c r="M89" s="37"/>
      <c r="N89" s="92">
        <f>-IF(L89=0,,IF(M89=0,($C$10-L89),M89-L89))</f>
        <v>0</v>
      </c>
      <c r="O89" s="36">
        <f>+J89-K89</f>
        <v>0</v>
      </c>
      <c r="P89" s="36" t="e">
        <f>+IF($C$10&lt;L89,0,O89)</f>
        <v>#REF!</v>
      </c>
      <c r="Q89" s="39"/>
      <c r="R89" s="40">
        <f>IF(N89&gt;=0,0,(IF(-N89&lt;=60,O89,0)))</f>
        <v>0</v>
      </c>
      <c r="S89" s="40">
        <f>IF(N89&gt;=0,0,(IF(N89&gt;=-60,0,IF(-60&gt;=N89,IF(N89&gt;=-120,O89,0)))))</f>
        <v>0</v>
      </c>
      <c r="T89" s="40">
        <f>IF(N89&gt;=0,0,(IF(N89&gt;-60,0,IF(-60&gt;=N89,IF(N89&gt;=-120,0,IF(N89&gt;=-180,O89,0))))))</f>
        <v>0</v>
      </c>
      <c r="U89" s="40">
        <f>IF(N89&gt;=0,0,(IF(N89&gt;-60,0,IF(-60&gt;=N89,IF(N89&gt;-120,0,IF(N89&gt;=-180,0,IF(N89&gt;=-365,O89,0)))))))</f>
        <v>0</v>
      </c>
      <c r="V89" s="40">
        <f>IF(N89&gt;=0,0,IF(365&lt;-N89,O89,0))</f>
        <v>0</v>
      </c>
    </row>
    <row r="90" spans="1:22" s="99" customFormat="1" ht="19.5" customHeight="1">
      <c r="A90" s="104"/>
      <c r="B90" s="104"/>
      <c r="C90" s="106"/>
      <c r="D90" s="107"/>
      <c r="E90" s="108">
        <f t="shared" ref="E90:K90" si="50">SUM(E89:E89)</f>
        <v>45886.708333333336</v>
      </c>
      <c r="F90" s="108">
        <f t="shared" si="50"/>
        <v>0</v>
      </c>
      <c r="G90" s="108">
        <f t="shared" si="50"/>
        <v>0</v>
      </c>
      <c r="H90" s="108">
        <f t="shared" si="50"/>
        <v>0</v>
      </c>
      <c r="I90" s="108">
        <f t="shared" si="50"/>
        <v>45886.708333333336</v>
      </c>
      <c r="J90" s="113">
        <f t="shared" si="50"/>
        <v>55064.05</v>
      </c>
      <c r="K90" s="113">
        <f t="shared" si="50"/>
        <v>55064.05</v>
      </c>
      <c r="L90" s="109"/>
      <c r="M90" s="109"/>
      <c r="N90" s="110"/>
      <c r="O90" s="108">
        <f>SUM(O89:O89)</f>
        <v>0</v>
      </c>
      <c r="P90" s="108" t="e">
        <f>SUM(P89:P89)</f>
        <v>#REF!</v>
      </c>
      <c r="Q90" s="111"/>
      <c r="R90" s="112">
        <f>SUM(R89:R89)</f>
        <v>0</v>
      </c>
      <c r="S90" s="112">
        <f>SUM(S89:S89)</f>
        <v>0</v>
      </c>
      <c r="T90" s="112">
        <f>SUM(T89:T89)</f>
        <v>0</v>
      </c>
      <c r="U90" s="112">
        <f>SUM(U89:U89)</f>
        <v>0</v>
      </c>
      <c r="V90" s="112">
        <f>SUM(V89:V89)</f>
        <v>0</v>
      </c>
    </row>
    <row r="91" spans="1:22" ht="19.5" customHeight="1">
      <c r="A91" s="41" t="s">
        <v>221</v>
      </c>
      <c r="B91" s="41"/>
      <c r="C91" s="43"/>
      <c r="D91" s="44"/>
      <c r="E91" s="36">
        <f>53432.86/1.2</f>
        <v>44527.383333333339</v>
      </c>
      <c r="F91" s="36">
        <f>-E91*$F$10</f>
        <v>0</v>
      </c>
      <c r="G91" s="36">
        <f>E91*$G$10</f>
        <v>0</v>
      </c>
      <c r="H91" s="36"/>
      <c r="I91" s="36">
        <f>+E91+F91-G91-H91</f>
        <v>44527.383333333339</v>
      </c>
      <c r="J91" s="36">
        <f>+I91+(I91*$I$4)</f>
        <v>53432.860000000008</v>
      </c>
      <c r="K91" s="36">
        <v>53432.860000000008</v>
      </c>
      <c r="L91" s="37"/>
      <c r="M91" s="37"/>
      <c r="N91" s="92">
        <f>-IF(L91=0,,IF(M91=0,($C$10-L91),M91-L91))</f>
        <v>0</v>
      </c>
      <c r="O91" s="36">
        <f>+J91-K91</f>
        <v>0</v>
      </c>
      <c r="P91" s="36" t="e">
        <f>+IF($C$10&lt;L91,0,O91)</f>
        <v>#REF!</v>
      </c>
      <c r="Q91" s="39"/>
      <c r="R91" s="40">
        <f>IF(N91&gt;=0,0,(IF(-N91&lt;=60,O91,0)))</f>
        <v>0</v>
      </c>
      <c r="S91" s="40">
        <f>IF(N91&gt;=0,0,(IF(N91&gt;=-60,0,IF(-60&gt;=N91,IF(N91&gt;=-120,O91,0)))))</f>
        <v>0</v>
      </c>
      <c r="T91" s="40">
        <f>IF(N91&gt;=0,0,(IF(N91&gt;-60,0,IF(-60&gt;=N91,IF(N91&gt;=-120,0,IF(N91&gt;=-180,O91,0))))))</f>
        <v>0</v>
      </c>
      <c r="U91" s="40">
        <f>IF(N91&gt;=0,0,(IF(N91&gt;-60,0,IF(-60&gt;=N91,IF(N91&gt;-120,0,IF(N91&gt;=-180,0,IF(N91&gt;=-365,O91,0)))))))</f>
        <v>0</v>
      </c>
      <c r="V91" s="40">
        <f>IF(N91&gt;=0,0,IF(365&lt;-N91,O91,0))</f>
        <v>0</v>
      </c>
    </row>
    <row r="92" spans="1:22" s="99" customFormat="1" ht="19.5" customHeight="1">
      <c r="A92" s="104"/>
      <c r="B92" s="104"/>
      <c r="C92" s="106"/>
      <c r="D92" s="107"/>
      <c r="E92" s="108">
        <f t="shared" ref="E92:K92" si="51">SUM(E91:E91)</f>
        <v>44527.383333333339</v>
      </c>
      <c r="F92" s="108">
        <f t="shared" si="51"/>
        <v>0</v>
      </c>
      <c r="G92" s="108">
        <f t="shared" si="51"/>
        <v>0</v>
      </c>
      <c r="H92" s="108">
        <f t="shared" si="51"/>
        <v>0</v>
      </c>
      <c r="I92" s="108">
        <f t="shared" si="51"/>
        <v>44527.383333333339</v>
      </c>
      <c r="J92" s="113">
        <f t="shared" si="51"/>
        <v>53432.860000000008</v>
      </c>
      <c r="K92" s="113">
        <f t="shared" si="51"/>
        <v>53432.860000000008</v>
      </c>
      <c r="L92" s="109"/>
      <c r="M92" s="109"/>
      <c r="N92" s="110"/>
      <c r="O92" s="108">
        <f>SUM(O91:O91)</f>
        <v>0</v>
      </c>
      <c r="P92" s="108" t="e">
        <f>SUM(P91:P91)</f>
        <v>#REF!</v>
      </c>
      <c r="Q92" s="111"/>
      <c r="R92" s="112">
        <f>SUM(R91:R91)</f>
        <v>0</v>
      </c>
      <c r="S92" s="112">
        <f>SUM(S91:S91)</f>
        <v>0</v>
      </c>
      <c r="T92" s="112">
        <f>SUM(T91:T91)</f>
        <v>0</v>
      </c>
      <c r="U92" s="112">
        <f>SUM(U91:U91)</f>
        <v>0</v>
      </c>
      <c r="V92" s="112">
        <f>SUM(V91:V91)</f>
        <v>0</v>
      </c>
    </row>
    <row r="93" spans="1:22" ht="19.5" customHeight="1">
      <c r="A93" s="41" t="s">
        <v>222</v>
      </c>
      <c r="B93" s="41"/>
      <c r="C93" s="43"/>
      <c r="D93" s="44"/>
      <c r="E93" s="36">
        <f>338330.4/1.2</f>
        <v>281942.00000000006</v>
      </c>
      <c r="F93" s="36">
        <f>-E93*$F$10</f>
        <v>0</v>
      </c>
      <c r="G93" s="36">
        <f>E93*$G$10</f>
        <v>0</v>
      </c>
      <c r="H93" s="36"/>
      <c r="I93" s="36">
        <f>+E93+F93-G93-H93</f>
        <v>281942.00000000006</v>
      </c>
      <c r="J93" s="36">
        <f>+I93+(I93*$I$4)</f>
        <v>338330.40000000008</v>
      </c>
      <c r="K93" s="36">
        <v>338330.40000000008</v>
      </c>
      <c r="L93" s="37"/>
      <c r="M93" s="37"/>
      <c r="N93" s="92">
        <f>-IF(L93=0,,IF(M93=0,($C$10-L93),M93-L93))</f>
        <v>0</v>
      </c>
      <c r="O93" s="36">
        <f>+J93-K93</f>
        <v>0</v>
      </c>
      <c r="P93" s="36" t="e">
        <f>+IF($C$10&lt;L93,0,O93)</f>
        <v>#REF!</v>
      </c>
      <c r="Q93" s="39"/>
      <c r="R93" s="40">
        <f>IF(N93&gt;=0,0,(IF(-N93&lt;=60,O93,0)))</f>
        <v>0</v>
      </c>
      <c r="S93" s="40">
        <f>IF(N93&gt;=0,0,(IF(N93&gt;=-60,0,IF(-60&gt;=N93,IF(N93&gt;=-120,O93,0)))))</f>
        <v>0</v>
      </c>
      <c r="T93" s="40">
        <f>IF(N93&gt;=0,0,(IF(N93&gt;-60,0,IF(-60&gt;=N93,IF(N93&gt;=-120,0,IF(N93&gt;=-180,O93,0))))))</f>
        <v>0</v>
      </c>
      <c r="U93" s="40">
        <f>IF(N93&gt;=0,0,(IF(N93&gt;-60,0,IF(-60&gt;=N93,IF(N93&gt;-120,0,IF(N93&gt;=-180,0,IF(N93&gt;=-365,O93,0)))))))</f>
        <v>0</v>
      </c>
      <c r="V93" s="40">
        <f>IF(N93&gt;=0,0,IF(365&lt;-N93,O93,0))</f>
        <v>0</v>
      </c>
    </row>
    <row r="94" spans="1:22" s="99" customFormat="1" ht="19.5" customHeight="1">
      <c r="A94" s="104"/>
      <c r="B94" s="104"/>
      <c r="C94" s="106"/>
      <c r="D94" s="107"/>
      <c r="E94" s="108">
        <f t="shared" ref="E94:K94" si="52">SUM(E93:E93)</f>
        <v>281942.00000000006</v>
      </c>
      <c r="F94" s="108">
        <f t="shared" si="52"/>
        <v>0</v>
      </c>
      <c r="G94" s="108">
        <f t="shared" si="52"/>
        <v>0</v>
      </c>
      <c r="H94" s="108">
        <f t="shared" si="52"/>
        <v>0</v>
      </c>
      <c r="I94" s="108">
        <f t="shared" si="52"/>
        <v>281942.00000000006</v>
      </c>
      <c r="J94" s="113">
        <f t="shared" si="52"/>
        <v>338330.40000000008</v>
      </c>
      <c r="K94" s="113">
        <f t="shared" si="52"/>
        <v>338330.40000000008</v>
      </c>
      <c r="L94" s="109"/>
      <c r="M94" s="109"/>
      <c r="N94" s="110"/>
      <c r="O94" s="108">
        <f>SUM(O93:O93)</f>
        <v>0</v>
      </c>
      <c r="P94" s="108" t="e">
        <f>SUM(P93:P93)</f>
        <v>#REF!</v>
      </c>
      <c r="Q94" s="111"/>
      <c r="R94" s="112">
        <f>SUM(R93:R93)</f>
        <v>0</v>
      </c>
      <c r="S94" s="112">
        <f>SUM(S93:S93)</f>
        <v>0</v>
      </c>
      <c r="T94" s="112">
        <f>SUM(T93:T93)</f>
        <v>0</v>
      </c>
      <c r="U94" s="112">
        <f>SUM(U93:U93)</f>
        <v>0</v>
      </c>
      <c r="V94" s="112">
        <f>SUM(V93:V93)</f>
        <v>0</v>
      </c>
    </row>
    <row r="95" spans="1:22" ht="19.5" customHeight="1">
      <c r="A95" s="41" t="s">
        <v>223</v>
      </c>
      <c r="B95" s="41"/>
      <c r="C95" s="43"/>
      <c r="D95" s="44"/>
      <c r="E95" s="36">
        <f>63472.29/1.2</f>
        <v>52893.575000000004</v>
      </c>
      <c r="F95" s="36">
        <f>-E95*$F$10</f>
        <v>0</v>
      </c>
      <c r="G95" s="36">
        <f>E95*$G$10</f>
        <v>0</v>
      </c>
      <c r="H95" s="36"/>
      <c r="I95" s="36">
        <f>+E95+F95-G95-H95</f>
        <v>52893.575000000004</v>
      </c>
      <c r="J95" s="36">
        <f>+I95+(I95*$I$4)</f>
        <v>63472.290000000008</v>
      </c>
      <c r="K95" s="36">
        <v>63472.290000000008</v>
      </c>
      <c r="L95" s="37"/>
      <c r="M95" s="37"/>
      <c r="N95" s="92">
        <f>-IF(L95=0,,IF(M95=0,($C$10-L95),M95-L95))</f>
        <v>0</v>
      </c>
      <c r="O95" s="36">
        <f>+J95-K95</f>
        <v>0</v>
      </c>
      <c r="P95" s="36" t="e">
        <f>+IF($C$10&lt;L95,0,O95)</f>
        <v>#REF!</v>
      </c>
      <c r="Q95" s="39"/>
      <c r="R95" s="40">
        <f>IF(N95&gt;=0,0,(IF(-N95&lt;=60,O95,0)))</f>
        <v>0</v>
      </c>
      <c r="S95" s="40">
        <f>IF(N95&gt;=0,0,(IF(N95&gt;=-60,0,IF(-60&gt;=N95,IF(N95&gt;=-120,O95,0)))))</f>
        <v>0</v>
      </c>
      <c r="T95" s="40">
        <f>IF(N95&gt;=0,0,(IF(N95&gt;-60,0,IF(-60&gt;=N95,IF(N95&gt;=-120,0,IF(N95&gt;=-180,O95,0))))))</f>
        <v>0</v>
      </c>
      <c r="U95" s="40">
        <f>IF(N95&gt;=0,0,(IF(N95&gt;-60,0,IF(-60&gt;=N95,IF(N95&gt;-120,0,IF(N95&gt;=-180,0,IF(N95&gt;=-365,O95,0)))))))</f>
        <v>0</v>
      </c>
      <c r="V95" s="40">
        <f>IF(N95&gt;=0,0,IF(365&lt;-N95,O95,0))</f>
        <v>0</v>
      </c>
    </row>
    <row r="96" spans="1:22" s="99" customFormat="1" ht="19.5" customHeight="1">
      <c r="A96" s="104"/>
      <c r="B96" s="104"/>
      <c r="C96" s="106"/>
      <c r="D96" s="107"/>
      <c r="E96" s="108">
        <f t="shared" ref="E96:K96" si="53">SUM(E95:E95)</f>
        <v>52893.575000000004</v>
      </c>
      <c r="F96" s="108">
        <f t="shared" si="53"/>
        <v>0</v>
      </c>
      <c r="G96" s="108">
        <f t="shared" si="53"/>
        <v>0</v>
      </c>
      <c r="H96" s="108">
        <f t="shared" si="53"/>
        <v>0</v>
      </c>
      <c r="I96" s="108">
        <f t="shared" si="53"/>
        <v>52893.575000000004</v>
      </c>
      <c r="J96" s="113">
        <f t="shared" si="53"/>
        <v>63472.290000000008</v>
      </c>
      <c r="K96" s="113">
        <f t="shared" si="53"/>
        <v>63472.290000000008</v>
      </c>
      <c r="L96" s="109"/>
      <c r="M96" s="109"/>
      <c r="N96" s="110"/>
      <c r="O96" s="108">
        <f>SUM(O95:O95)</f>
        <v>0</v>
      </c>
      <c r="P96" s="108" t="e">
        <f>SUM(P95:P95)</f>
        <v>#REF!</v>
      </c>
      <c r="Q96" s="111"/>
      <c r="R96" s="112">
        <f>SUM(R95:R95)</f>
        <v>0</v>
      </c>
      <c r="S96" s="112">
        <f>SUM(S95:S95)</f>
        <v>0</v>
      </c>
      <c r="T96" s="112">
        <f>SUM(T95:T95)</f>
        <v>0</v>
      </c>
      <c r="U96" s="112">
        <f>SUM(U95:U95)</f>
        <v>0</v>
      </c>
      <c r="V96" s="112">
        <f>SUM(V95:V95)</f>
        <v>0</v>
      </c>
    </row>
    <row r="97" spans="1:22" ht="19.5" customHeight="1">
      <c r="A97" s="41" t="s">
        <v>136</v>
      </c>
      <c r="B97" s="41"/>
      <c r="C97" s="43"/>
      <c r="D97" s="44"/>
      <c r="E97" s="36">
        <f>179253.25/1.2</f>
        <v>149377.70833333334</v>
      </c>
      <c r="F97" s="36">
        <f>-E97*$F$10</f>
        <v>0</v>
      </c>
      <c r="G97" s="36">
        <f>E97*$G$10</f>
        <v>0</v>
      </c>
      <c r="H97" s="36"/>
      <c r="I97" s="36">
        <f>+E97+F97-G97-H97</f>
        <v>149377.70833333334</v>
      </c>
      <c r="J97" s="36">
        <f>+I97+(I97*$I$4)</f>
        <v>179253.25</v>
      </c>
      <c r="K97" s="36">
        <v>179253.25</v>
      </c>
      <c r="L97" s="37"/>
      <c r="M97" s="37"/>
      <c r="N97" s="92">
        <f>-IF(L97=0,,IF(M97=0,($C$10-L97),M97-L97))</f>
        <v>0</v>
      </c>
      <c r="O97" s="36">
        <f>+J97-K97</f>
        <v>0</v>
      </c>
      <c r="P97" s="36" t="e">
        <f>+IF($C$10&lt;L97,0,O97)</f>
        <v>#REF!</v>
      </c>
      <c r="Q97" s="39"/>
      <c r="R97" s="40">
        <f>IF(N97&gt;=0,0,(IF(-N97&lt;=60,O97,0)))</f>
        <v>0</v>
      </c>
      <c r="S97" s="40">
        <f>IF(N97&gt;=0,0,(IF(N97&gt;=-60,0,IF(-60&gt;=N97,IF(N97&gt;=-120,O97,0)))))</f>
        <v>0</v>
      </c>
      <c r="T97" s="40">
        <f>IF(N97&gt;=0,0,(IF(N97&gt;-60,0,IF(-60&gt;=N97,IF(N97&gt;=-120,0,IF(N97&gt;=-180,O97,0))))))</f>
        <v>0</v>
      </c>
      <c r="U97" s="40">
        <f>IF(N97&gt;=0,0,(IF(N97&gt;-60,0,IF(-60&gt;=N97,IF(N97&gt;-120,0,IF(N97&gt;=-180,0,IF(N97&gt;=-365,O97,0)))))))</f>
        <v>0</v>
      </c>
      <c r="V97" s="40">
        <f>IF(N97&gt;=0,0,IF(365&lt;-N97,O97,0))</f>
        <v>0</v>
      </c>
    </row>
    <row r="98" spans="1:22" s="99" customFormat="1" ht="19.5" customHeight="1">
      <c r="A98" s="104"/>
      <c r="B98" s="104"/>
      <c r="C98" s="106"/>
      <c r="D98" s="107"/>
      <c r="E98" s="108">
        <f t="shared" ref="E98:K98" si="54">SUM(E97:E97)</f>
        <v>149377.70833333334</v>
      </c>
      <c r="F98" s="108">
        <f t="shared" si="54"/>
        <v>0</v>
      </c>
      <c r="G98" s="108">
        <f t="shared" si="54"/>
        <v>0</v>
      </c>
      <c r="H98" s="108">
        <f t="shared" si="54"/>
        <v>0</v>
      </c>
      <c r="I98" s="108">
        <f t="shared" si="54"/>
        <v>149377.70833333334</v>
      </c>
      <c r="J98" s="113">
        <f t="shared" si="54"/>
        <v>179253.25</v>
      </c>
      <c r="K98" s="113">
        <f t="shared" si="54"/>
        <v>179253.25</v>
      </c>
      <c r="L98" s="109"/>
      <c r="M98" s="109"/>
      <c r="N98" s="110"/>
      <c r="O98" s="108">
        <f>SUM(O97:O97)</f>
        <v>0</v>
      </c>
      <c r="P98" s="108" t="e">
        <f>SUM(P97:P97)</f>
        <v>#REF!</v>
      </c>
      <c r="Q98" s="111"/>
      <c r="R98" s="112">
        <f>SUM(R97:R97)</f>
        <v>0</v>
      </c>
      <c r="S98" s="112">
        <f>SUM(S97:S97)</f>
        <v>0</v>
      </c>
      <c r="T98" s="112">
        <f>SUM(T97:T97)</f>
        <v>0</v>
      </c>
      <c r="U98" s="112">
        <f>SUM(U97:U97)</f>
        <v>0</v>
      </c>
      <c r="V98" s="112">
        <f>SUM(V97:V97)</f>
        <v>0</v>
      </c>
    </row>
    <row r="99" spans="1:22" ht="19.5" customHeight="1">
      <c r="A99" s="41" t="s">
        <v>137</v>
      </c>
      <c r="B99" s="41"/>
      <c r="C99" s="43"/>
      <c r="D99" s="44"/>
      <c r="E99" s="36">
        <f>99610.49/1.2</f>
        <v>83008.741666666669</v>
      </c>
      <c r="F99" s="36">
        <f>-E99*$F$10</f>
        <v>0</v>
      </c>
      <c r="G99" s="36">
        <f>E99*$G$10</f>
        <v>0</v>
      </c>
      <c r="H99" s="36"/>
      <c r="I99" s="36">
        <f>+E99+F99-G99-H99</f>
        <v>83008.741666666669</v>
      </c>
      <c r="J99" s="36">
        <f>+I99+(I99*$I$4)</f>
        <v>99610.49</v>
      </c>
      <c r="K99" s="36">
        <v>99610.49</v>
      </c>
      <c r="L99" s="37"/>
      <c r="M99" s="37"/>
      <c r="N99" s="92">
        <f>-IF(L99=0,,IF(M99=0,($C$10-L99),M99-L99))</f>
        <v>0</v>
      </c>
      <c r="O99" s="36">
        <f>+J99-K99</f>
        <v>0</v>
      </c>
      <c r="P99" s="36" t="e">
        <f>+IF($C$10&lt;L99,0,O99)</f>
        <v>#REF!</v>
      </c>
      <c r="Q99" s="39"/>
      <c r="R99" s="40">
        <f>IF(N99&gt;=0,0,(IF(-N99&lt;=60,O99,0)))</f>
        <v>0</v>
      </c>
      <c r="S99" s="40">
        <f>IF(N99&gt;=0,0,(IF(N99&gt;=-60,0,IF(-60&gt;=N99,IF(N99&gt;=-120,O99,0)))))</f>
        <v>0</v>
      </c>
      <c r="T99" s="40">
        <f>IF(N99&gt;=0,0,(IF(N99&gt;-60,0,IF(-60&gt;=N99,IF(N99&gt;=-120,0,IF(N99&gt;=-180,O99,0))))))</f>
        <v>0</v>
      </c>
      <c r="U99" s="40">
        <f>IF(N99&gt;=0,0,(IF(N99&gt;-60,0,IF(-60&gt;=N99,IF(N99&gt;-120,0,IF(N99&gt;=-180,0,IF(N99&gt;=-365,O99,0)))))))</f>
        <v>0</v>
      </c>
      <c r="V99" s="40">
        <f>IF(N99&gt;=0,0,IF(365&lt;-N99,O99,0))</f>
        <v>0</v>
      </c>
    </row>
    <row r="100" spans="1:22" s="99" customFormat="1" ht="19.5" customHeight="1">
      <c r="A100" s="104"/>
      <c r="B100" s="104"/>
      <c r="C100" s="106"/>
      <c r="D100" s="107"/>
      <c r="E100" s="108">
        <f t="shared" ref="E100:K100" si="55">SUM(E99:E99)</f>
        <v>83008.741666666669</v>
      </c>
      <c r="F100" s="108">
        <f t="shared" si="55"/>
        <v>0</v>
      </c>
      <c r="G100" s="108">
        <f t="shared" si="55"/>
        <v>0</v>
      </c>
      <c r="H100" s="108">
        <f t="shared" si="55"/>
        <v>0</v>
      </c>
      <c r="I100" s="108">
        <f t="shared" si="55"/>
        <v>83008.741666666669</v>
      </c>
      <c r="J100" s="113">
        <f t="shared" si="55"/>
        <v>99610.49</v>
      </c>
      <c r="K100" s="113">
        <f t="shared" si="55"/>
        <v>99610.49</v>
      </c>
      <c r="L100" s="109"/>
      <c r="M100" s="109"/>
      <c r="N100" s="110"/>
      <c r="O100" s="108">
        <f>SUM(O99:O99)</f>
        <v>0</v>
      </c>
      <c r="P100" s="108" t="e">
        <f>SUM(P99:P99)</f>
        <v>#REF!</v>
      </c>
      <c r="Q100" s="111"/>
      <c r="R100" s="112">
        <f>SUM(R99:R99)</f>
        <v>0</v>
      </c>
      <c r="S100" s="112">
        <f>SUM(S99:S99)</f>
        <v>0</v>
      </c>
      <c r="T100" s="112">
        <f>SUM(T99:T99)</f>
        <v>0</v>
      </c>
      <c r="U100" s="112">
        <f>SUM(U99:U99)</f>
        <v>0</v>
      </c>
      <c r="V100" s="112">
        <f>SUM(V99:V99)</f>
        <v>0</v>
      </c>
    </row>
    <row r="101" spans="1:22" ht="19.5" customHeight="1">
      <c r="A101" s="41" t="s">
        <v>138</v>
      </c>
      <c r="B101" s="41"/>
      <c r="C101" s="43"/>
      <c r="D101" s="44"/>
      <c r="E101" s="36">
        <f>297058.77/1.2</f>
        <v>247548.97500000003</v>
      </c>
      <c r="F101" s="36">
        <f>-E101*$F$10</f>
        <v>0</v>
      </c>
      <c r="G101" s="36">
        <f>E101*$G$10</f>
        <v>0</v>
      </c>
      <c r="H101" s="36"/>
      <c r="I101" s="36">
        <f>+E101+F101-G101-H101</f>
        <v>247548.97500000003</v>
      </c>
      <c r="J101" s="36">
        <f>+I101+(I101*$I$4)</f>
        <v>297058.77</v>
      </c>
      <c r="K101" s="36">
        <v>297058.77</v>
      </c>
      <c r="L101" s="37"/>
      <c r="M101" s="37"/>
      <c r="N101" s="92">
        <f>-IF(L101=0,,IF(M101=0,($C$10-L101),M101-L101))</f>
        <v>0</v>
      </c>
      <c r="O101" s="36">
        <f>+J101-K101</f>
        <v>0</v>
      </c>
      <c r="P101" s="36" t="e">
        <f>+IF($C$10&lt;L101,0,O101)</f>
        <v>#REF!</v>
      </c>
      <c r="Q101" s="39"/>
      <c r="R101" s="40">
        <f>IF(N101&gt;=0,0,(IF(-N101&lt;=60,O101,0)))</f>
        <v>0</v>
      </c>
      <c r="S101" s="40">
        <f>IF(N101&gt;=0,0,(IF(N101&gt;=-60,0,IF(-60&gt;=N101,IF(N101&gt;=-120,O101,0)))))</f>
        <v>0</v>
      </c>
      <c r="T101" s="40">
        <f>IF(N101&gt;=0,0,(IF(N101&gt;-60,0,IF(-60&gt;=N101,IF(N101&gt;=-120,0,IF(N101&gt;=-180,O101,0))))))</f>
        <v>0</v>
      </c>
      <c r="U101" s="40">
        <f>IF(N101&gt;=0,0,(IF(N101&gt;-60,0,IF(-60&gt;=N101,IF(N101&gt;-120,0,IF(N101&gt;=-180,0,IF(N101&gt;=-365,O101,0)))))))</f>
        <v>0</v>
      </c>
      <c r="V101" s="40">
        <f>IF(N101&gt;=0,0,IF(365&lt;-N101,O101,0))</f>
        <v>0</v>
      </c>
    </row>
    <row r="102" spans="1:22" s="99" customFormat="1" ht="19.5" customHeight="1">
      <c r="A102" s="104"/>
      <c r="B102" s="104"/>
      <c r="C102" s="106"/>
      <c r="D102" s="107"/>
      <c r="E102" s="108">
        <f t="shared" ref="E102:K102" si="56">SUM(E101:E101)</f>
        <v>247548.97500000003</v>
      </c>
      <c r="F102" s="108">
        <f t="shared" si="56"/>
        <v>0</v>
      </c>
      <c r="G102" s="108">
        <f t="shared" si="56"/>
        <v>0</v>
      </c>
      <c r="H102" s="108">
        <f t="shared" si="56"/>
        <v>0</v>
      </c>
      <c r="I102" s="108">
        <f t="shared" si="56"/>
        <v>247548.97500000003</v>
      </c>
      <c r="J102" s="113">
        <f t="shared" si="56"/>
        <v>297058.77</v>
      </c>
      <c r="K102" s="113">
        <f t="shared" si="56"/>
        <v>297058.77</v>
      </c>
      <c r="L102" s="109"/>
      <c r="M102" s="109"/>
      <c r="N102" s="110"/>
      <c r="O102" s="108">
        <f>SUM(O101:O101)</f>
        <v>0</v>
      </c>
      <c r="P102" s="108" t="e">
        <f>SUM(P101:P101)</f>
        <v>#REF!</v>
      </c>
      <c r="Q102" s="111"/>
      <c r="R102" s="112">
        <f>SUM(R101:R101)</f>
        <v>0</v>
      </c>
      <c r="S102" s="112">
        <f>SUM(S101:S101)</f>
        <v>0</v>
      </c>
      <c r="T102" s="112">
        <f>SUM(T101:T101)</f>
        <v>0</v>
      </c>
      <c r="U102" s="112">
        <f>SUM(U101:U101)</f>
        <v>0</v>
      </c>
      <c r="V102" s="112">
        <f>SUM(V101:V101)</f>
        <v>0</v>
      </c>
    </row>
    <row r="103" spans="1:22" ht="19.5" customHeight="1">
      <c r="A103" s="41" t="s">
        <v>139</v>
      </c>
      <c r="B103" s="41"/>
      <c r="C103" s="43"/>
      <c r="D103" s="44"/>
      <c r="E103" s="36">
        <f>10243.58/1.2</f>
        <v>8536.3166666666675</v>
      </c>
      <c r="F103" s="36">
        <f>-E103*$F$10</f>
        <v>0</v>
      </c>
      <c r="G103" s="36">
        <f>E103*$G$10</f>
        <v>0</v>
      </c>
      <c r="H103" s="36"/>
      <c r="I103" s="36">
        <f>+E103+F103-G103-H103</f>
        <v>8536.3166666666675</v>
      </c>
      <c r="J103" s="36">
        <f>+I103+(I103*$I$4)</f>
        <v>10243.580000000002</v>
      </c>
      <c r="K103" s="36">
        <v>10243.580000000002</v>
      </c>
      <c r="L103" s="37"/>
      <c r="M103" s="37"/>
      <c r="N103" s="92">
        <f>-IF(L103=0,,IF(M103=0,($C$10-L103),M103-L103))</f>
        <v>0</v>
      </c>
      <c r="O103" s="36">
        <f>+J103-K103</f>
        <v>0</v>
      </c>
      <c r="P103" s="36" t="e">
        <f>+IF($C$10&lt;L103,0,O103)</f>
        <v>#REF!</v>
      </c>
      <c r="Q103" s="39"/>
      <c r="R103" s="40">
        <f>IF(N103&gt;=0,0,(IF(-N103&lt;=60,O103,0)))</f>
        <v>0</v>
      </c>
      <c r="S103" s="40">
        <f>IF(N103&gt;=0,0,(IF(N103&gt;=-60,0,IF(-60&gt;=N103,IF(N103&gt;=-120,O103,0)))))</f>
        <v>0</v>
      </c>
      <c r="T103" s="40">
        <f>IF(N103&gt;=0,0,(IF(N103&gt;-60,0,IF(-60&gt;=N103,IF(N103&gt;=-120,0,IF(N103&gt;=-180,O103,0))))))</f>
        <v>0</v>
      </c>
      <c r="U103" s="40">
        <f>IF(N103&gt;=0,0,(IF(N103&gt;-60,0,IF(-60&gt;=N103,IF(N103&gt;-120,0,IF(N103&gt;=-180,0,IF(N103&gt;=-365,O103,0)))))))</f>
        <v>0</v>
      </c>
      <c r="V103" s="40">
        <f>IF(N103&gt;=0,0,IF(365&lt;-N103,O103,0))</f>
        <v>0</v>
      </c>
    </row>
    <row r="104" spans="1:22" s="99" customFormat="1" ht="19.5" customHeight="1">
      <c r="A104" s="104"/>
      <c r="B104" s="104"/>
      <c r="C104" s="106"/>
      <c r="D104" s="107"/>
      <c r="E104" s="108">
        <f t="shared" ref="E104:K104" si="57">SUM(E103:E103)</f>
        <v>8536.3166666666675</v>
      </c>
      <c r="F104" s="108">
        <f t="shared" si="57"/>
        <v>0</v>
      </c>
      <c r="G104" s="108">
        <f t="shared" si="57"/>
        <v>0</v>
      </c>
      <c r="H104" s="108">
        <f t="shared" si="57"/>
        <v>0</v>
      </c>
      <c r="I104" s="108">
        <f t="shared" si="57"/>
        <v>8536.3166666666675</v>
      </c>
      <c r="J104" s="113">
        <f t="shared" si="57"/>
        <v>10243.580000000002</v>
      </c>
      <c r="K104" s="113">
        <f t="shared" si="57"/>
        <v>10243.580000000002</v>
      </c>
      <c r="L104" s="109"/>
      <c r="M104" s="109"/>
      <c r="N104" s="110"/>
      <c r="O104" s="108">
        <f>SUM(O103:O103)</f>
        <v>0</v>
      </c>
      <c r="P104" s="108" t="e">
        <f>SUM(P103:P103)</f>
        <v>#REF!</v>
      </c>
      <c r="Q104" s="111"/>
      <c r="R104" s="112">
        <f>SUM(R103:R103)</f>
        <v>0</v>
      </c>
      <c r="S104" s="112">
        <f>SUM(S103:S103)</f>
        <v>0</v>
      </c>
      <c r="T104" s="112">
        <f>SUM(T103:T103)</f>
        <v>0</v>
      </c>
      <c r="U104" s="112">
        <f>SUM(U103:U103)</f>
        <v>0</v>
      </c>
      <c r="V104" s="112">
        <f>SUM(V103:V103)</f>
        <v>0</v>
      </c>
    </row>
    <row r="105" spans="1:22" ht="19.5" customHeight="1">
      <c r="A105" s="41" t="s">
        <v>140</v>
      </c>
      <c r="B105" s="41"/>
      <c r="C105" s="43"/>
      <c r="D105" s="44"/>
      <c r="E105" s="36">
        <f>202992/1.2</f>
        <v>169160</v>
      </c>
      <c r="F105" s="36">
        <f>-E105*$F$10</f>
        <v>0</v>
      </c>
      <c r="G105" s="36">
        <f>E105*$G$10</f>
        <v>0</v>
      </c>
      <c r="H105" s="36"/>
      <c r="I105" s="36">
        <f>+E105+F105-G105-H105</f>
        <v>169160</v>
      </c>
      <c r="J105" s="36">
        <f>+I105+(I105*$I$4)</f>
        <v>202992</v>
      </c>
      <c r="K105" s="36">
        <v>202992</v>
      </c>
      <c r="L105" s="37"/>
      <c r="M105" s="37"/>
      <c r="N105" s="92">
        <f>-IF(L105=0,,IF(M105=0,($C$10-L105),M105-L105))</f>
        <v>0</v>
      </c>
      <c r="O105" s="36">
        <f>+J105-K105</f>
        <v>0</v>
      </c>
      <c r="P105" s="36" t="e">
        <f>+IF($C$10&lt;L105,0,O105)</f>
        <v>#REF!</v>
      </c>
      <c r="Q105" s="39"/>
      <c r="R105" s="40">
        <f>IF(N105&gt;=0,0,(IF(-N105&lt;=60,O105,0)))</f>
        <v>0</v>
      </c>
      <c r="S105" s="40">
        <f>IF(N105&gt;=0,0,(IF(N105&gt;=-60,0,IF(-60&gt;=N105,IF(N105&gt;=-120,O105,0)))))</f>
        <v>0</v>
      </c>
      <c r="T105" s="40">
        <f>IF(N105&gt;=0,0,(IF(N105&gt;-60,0,IF(-60&gt;=N105,IF(N105&gt;=-120,0,IF(N105&gt;=-180,O105,0))))))</f>
        <v>0</v>
      </c>
      <c r="U105" s="40">
        <f>IF(N105&gt;=0,0,(IF(N105&gt;-60,0,IF(-60&gt;=N105,IF(N105&gt;-120,0,IF(N105&gt;=-180,0,IF(N105&gt;=-365,O105,0)))))))</f>
        <v>0</v>
      </c>
      <c r="V105" s="40">
        <f>IF(N105&gt;=0,0,IF(365&lt;-N105,O105,0))</f>
        <v>0</v>
      </c>
    </row>
    <row r="106" spans="1:22" s="99" customFormat="1" ht="19.5" customHeight="1">
      <c r="A106" s="104"/>
      <c r="B106" s="104"/>
      <c r="C106" s="106"/>
      <c r="D106" s="107"/>
      <c r="E106" s="108">
        <f t="shared" ref="E106:K106" si="58">SUM(E105:E105)</f>
        <v>169160</v>
      </c>
      <c r="F106" s="108">
        <f t="shared" si="58"/>
        <v>0</v>
      </c>
      <c r="G106" s="108">
        <f t="shared" si="58"/>
        <v>0</v>
      </c>
      <c r="H106" s="108">
        <f t="shared" si="58"/>
        <v>0</v>
      </c>
      <c r="I106" s="108">
        <f t="shared" si="58"/>
        <v>169160</v>
      </c>
      <c r="J106" s="113">
        <f t="shared" si="58"/>
        <v>202992</v>
      </c>
      <c r="K106" s="113">
        <f t="shared" si="58"/>
        <v>202992</v>
      </c>
      <c r="L106" s="109"/>
      <c r="M106" s="109"/>
      <c r="N106" s="110"/>
      <c r="O106" s="108">
        <f>SUM(O105:O105)</f>
        <v>0</v>
      </c>
      <c r="P106" s="108" t="e">
        <f>SUM(P105:P105)</f>
        <v>#REF!</v>
      </c>
      <c r="Q106" s="111"/>
      <c r="R106" s="112">
        <f>SUM(R105:R105)</f>
        <v>0</v>
      </c>
      <c r="S106" s="112">
        <f>SUM(S105:S105)</f>
        <v>0</v>
      </c>
      <c r="T106" s="112">
        <f>SUM(T105:T105)</f>
        <v>0</v>
      </c>
      <c r="U106" s="112">
        <f>SUM(U105:U105)</f>
        <v>0</v>
      </c>
      <c r="V106" s="112">
        <f>SUM(V105:V105)</f>
        <v>0</v>
      </c>
    </row>
    <row r="107" spans="1:22" ht="19.5" customHeight="1">
      <c r="A107" s="41" t="s">
        <v>141</v>
      </c>
      <c r="B107" s="41"/>
      <c r="C107" s="43"/>
      <c r="D107" s="44"/>
      <c r="E107" s="36">
        <f>67571.52/1.2</f>
        <v>56309.600000000006</v>
      </c>
      <c r="F107" s="36">
        <f>-E107*$F$10</f>
        <v>0</v>
      </c>
      <c r="G107" s="36">
        <f>E107*$G$10</f>
        <v>0</v>
      </c>
      <c r="H107" s="36"/>
      <c r="I107" s="36">
        <f>+E107+F107-G107-H107</f>
        <v>56309.600000000006</v>
      </c>
      <c r="J107" s="36">
        <f>+I107+(I107*$I$4)</f>
        <v>67571.520000000004</v>
      </c>
      <c r="K107" s="36">
        <v>67571.520000000004</v>
      </c>
      <c r="L107" s="37"/>
      <c r="M107" s="37"/>
      <c r="N107" s="92">
        <f>-IF(L107=0,,IF(M107=0,($C$10-L107),M107-L107))</f>
        <v>0</v>
      </c>
      <c r="O107" s="36">
        <f>+J107-K107</f>
        <v>0</v>
      </c>
      <c r="P107" s="36" t="e">
        <f>+IF($C$10&lt;L107,0,O107)</f>
        <v>#REF!</v>
      </c>
      <c r="Q107" s="39"/>
      <c r="R107" s="40">
        <f>IF(N107&gt;=0,0,(IF(-N107&lt;=60,O107,0)))</f>
        <v>0</v>
      </c>
      <c r="S107" s="40">
        <f>IF(N107&gt;=0,0,(IF(N107&gt;=-60,0,IF(-60&gt;=N107,IF(N107&gt;=-120,O107,0)))))</f>
        <v>0</v>
      </c>
      <c r="T107" s="40">
        <f>IF(N107&gt;=0,0,(IF(N107&gt;-60,0,IF(-60&gt;=N107,IF(N107&gt;=-120,0,IF(N107&gt;=-180,O107,0))))))</f>
        <v>0</v>
      </c>
      <c r="U107" s="40">
        <f>IF(N107&gt;=0,0,(IF(N107&gt;-60,0,IF(-60&gt;=N107,IF(N107&gt;-120,0,IF(N107&gt;=-180,0,IF(N107&gt;=-365,O107,0)))))))</f>
        <v>0</v>
      </c>
      <c r="V107" s="40">
        <f>IF(N107&gt;=0,0,IF(365&lt;-N107,O107,0))</f>
        <v>0</v>
      </c>
    </row>
    <row r="108" spans="1:22" s="99" customFormat="1" ht="19.5" customHeight="1">
      <c r="A108" s="104"/>
      <c r="B108" s="104"/>
      <c r="C108" s="106"/>
      <c r="D108" s="107"/>
      <c r="E108" s="108">
        <f t="shared" ref="E108:K108" si="59">SUM(E107:E107)</f>
        <v>56309.600000000006</v>
      </c>
      <c r="F108" s="108">
        <f t="shared" si="59"/>
        <v>0</v>
      </c>
      <c r="G108" s="108">
        <f t="shared" si="59"/>
        <v>0</v>
      </c>
      <c r="H108" s="108">
        <f t="shared" si="59"/>
        <v>0</v>
      </c>
      <c r="I108" s="108">
        <f t="shared" si="59"/>
        <v>56309.600000000006</v>
      </c>
      <c r="J108" s="113">
        <f t="shared" si="59"/>
        <v>67571.520000000004</v>
      </c>
      <c r="K108" s="113">
        <f t="shared" si="59"/>
        <v>67571.520000000004</v>
      </c>
      <c r="L108" s="109"/>
      <c r="M108" s="109"/>
      <c r="N108" s="110"/>
      <c r="O108" s="108">
        <f>SUM(O107:O107)</f>
        <v>0</v>
      </c>
      <c r="P108" s="108" t="e">
        <f>SUM(P107:P107)</f>
        <v>#REF!</v>
      </c>
      <c r="Q108" s="111"/>
      <c r="R108" s="112">
        <f>SUM(R107:R107)</f>
        <v>0</v>
      </c>
      <c r="S108" s="112">
        <f>SUM(S107:S107)</f>
        <v>0</v>
      </c>
      <c r="T108" s="112">
        <f>SUM(T107:T107)</f>
        <v>0</v>
      </c>
      <c r="U108" s="112">
        <f>SUM(U107:U107)</f>
        <v>0</v>
      </c>
      <c r="V108" s="112">
        <f>SUM(V107:V107)</f>
        <v>0</v>
      </c>
    </row>
    <row r="109" spans="1:22" ht="19.5" customHeight="1">
      <c r="A109" s="41" t="s">
        <v>142</v>
      </c>
      <c r="B109" s="41"/>
      <c r="C109" s="43"/>
      <c r="D109" s="44"/>
      <c r="E109" s="36">
        <f>488959.23/1.2</f>
        <v>407466.02500000002</v>
      </c>
      <c r="F109" s="36">
        <f>-E109*$F$10</f>
        <v>0</v>
      </c>
      <c r="G109" s="36">
        <f>E109*$G$10</f>
        <v>0</v>
      </c>
      <c r="H109" s="36"/>
      <c r="I109" s="36">
        <f>+E109+F109-G109-H109</f>
        <v>407466.02500000002</v>
      </c>
      <c r="J109" s="36">
        <f>+I109+(I109*$I$4)</f>
        <v>488959.23000000004</v>
      </c>
      <c r="K109" s="36">
        <v>488959.23000000004</v>
      </c>
      <c r="L109" s="37"/>
      <c r="M109" s="37"/>
      <c r="N109" s="92">
        <f>-IF(L109=0,,IF(M109=0,($C$10-L109),M109-L109))</f>
        <v>0</v>
      </c>
      <c r="O109" s="36">
        <f>+J109-K109</f>
        <v>0</v>
      </c>
      <c r="P109" s="36" t="e">
        <f>+IF($C$10&lt;L109,0,O109)</f>
        <v>#REF!</v>
      </c>
      <c r="Q109" s="39"/>
      <c r="R109" s="40">
        <f>IF(N109&gt;=0,0,(IF(-N109&lt;=60,O109,0)))</f>
        <v>0</v>
      </c>
      <c r="S109" s="40">
        <f>IF(N109&gt;=0,0,(IF(N109&gt;=-60,0,IF(-60&gt;=N109,IF(N109&gt;=-120,O109,0)))))</f>
        <v>0</v>
      </c>
      <c r="T109" s="40">
        <f>IF(N109&gt;=0,0,(IF(N109&gt;-60,0,IF(-60&gt;=N109,IF(N109&gt;=-120,0,IF(N109&gt;=-180,O109,0))))))</f>
        <v>0</v>
      </c>
      <c r="U109" s="40">
        <f>IF(N109&gt;=0,0,(IF(N109&gt;-60,0,IF(-60&gt;=N109,IF(N109&gt;-120,0,IF(N109&gt;=-180,0,IF(N109&gt;=-365,O109,0)))))))</f>
        <v>0</v>
      </c>
      <c r="V109" s="40">
        <f>IF(N109&gt;=0,0,IF(365&lt;-N109,O109,0))</f>
        <v>0</v>
      </c>
    </row>
    <row r="110" spans="1:22" s="99" customFormat="1" ht="13.5" customHeight="1">
      <c r="A110" s="104"/>
      <c r="B110" s="105"/>
      <c r="C110" s="106"/>
      <c r="D110" s="107"/>
      <c r="E110" s="108">
        <f t="shared" ref="E110:K110" si="60">SUM(E109:E109)</f>
        <v>407466.02500000002</v>
      </c>
      <c r="F110" s="108">
        <f t="shared" si="60"/>
        <v>0</v>
      </c>
      <c r="G110" s="108">
        <f t="shared" si="60"/>
        <v>0</v>
      </c>
      <c r="H110" s="108">
        <f t="shared" si="60"/>
        <v>0</v>
      </c>
      <c r="I110" s="108">
        <f t="shared" si="60"/>
        <v>407466.02500000002</v>
      </c>
      <c r="J110" s="113">
        <f t="shared" si="60"/>
        <v>488959.23000000004</v>
      </c>
      <c r="K110" s="113">
        <f t="shared" si="60"/>
        <v>488959.23000000004</v>
      </c>
      <c r="L110" s="109"/>
      <c r="M110" s="109"/>
      <c r="N110" s="110"/>
      <c r="O110" s="108">
        <f>SUM(O109:O109)</f>
        <v>0</v>
      </c>
      <c r="P110" s="108" t="e">
        <f>SUM(P109:P109)</f>
        <v>#REF!</v>
      </c>
      <c r="Q110" s="111"/>
      <c r="R110" s="112">
        <f>SUM(R109:R109)</f>
        <v>0</v>
      </c>
      <c r="S110" s="112">
        <f>SUM(S109:S109)</f>
        <v>0</v>
      </c>
      <c r="T110" s="112">
        <f>SUM(T109:T109)</f>
        <v>0</v>
      </c>
      <c r="U110" s="112">
        <f>SUM(U109:U109)</f>
        <v>0</v>
      </c>
      <c r="V110" s="112">
        <f>SUM(V109:V109)</f>
        <v>0</v>
      </c>
    </row>
    <row r="111" spans="1:22" ht="19.5" customHeight="1">
      <c r="A111" s="41" t="s">
        <v>143</v>
      </c>
      <c r="B111" s="41"/>
      <c r="C111" s="43"/>
      <c r="D111" s="44"/>
      <c r="E111" s="36">
        <f>1145550.99/1.2</f>
        <v>954625.82500000007</v>
      </c>
      <c r="F111" s="36">
        <f>-E111*$F$10</f>
        <v>0</v>
      </c>
      <c r="G111" s="36">
        <f>E111*$G$10</f>
        <v>0</v>
      </c>
      <c r="H111" s="36"/>
      <c r="I111" s="36">
        <f>+E111+F111-G111-H111</f>
        <v>954625.82500000007</v>
      </c>
      <c r="J111" s="36">
        <f>+I111+(I111*$I$4)</f>
        <v>1145550.9900000002</v>
      </c>
      <c r="K111" s="36">
        <v>1145550.9900000002</v>
      </c>
      <c r="L111" s="37"/>
      <c r="M111" s="37"/>
      <c r="N111" s="92">
        <f>-IF(L111=0,,IF(M111=0,($C$10-L111),M111-L111))</f>
        <v>0</v>
      </c>
      <c r="O111" s="36">
        <f>+J111-K111</f>
        <v>0</v>
      </c>
      <c r="P111" s="36" t="e">
        <f>+IF($C$10&lt;L111,0,O111)</f>
        <v>#REF!</v>
      </c>
      <c r="Q111" s="39"/>
      <c r="R111" s="40">
        <f>IF(N111&gt;=0,0,(IF(-N111&lt;=60,O111,0)))</f>
        <v>0</v>
      </c>
      <c r="S111" s="40">
        <f>IF(N111&gt;=0,0,(IF(N111&gt;=-60,0,IF(-60&gt;=N111,IF(N111&gt;=-120,O111,0)))))</f>
        <v>0</v>
      </c>
      <c r="T111" s="40">
        <f>IF(N111&gt;=0,0,(IF(N111&gt;-60,0,IF(-60&gt;=N111,IF(N111&gt;=-120,0,IF(N111&gt;=-180,O111,0))))))</f>
        <v>0</v>
      </c>
      <c r="U111" s="40">
        <f>IF(N111&gt;=0,0,(IF(N111&gt;-60,0,IF(-60&gt;=N111,IF(N111&gt;-120,0,IF(N111&gt;=-180,0,IF(N111&gt;=-365,O111,0)))))))</f>
        <v>0</v>
      </c>
      <c r="V111" s="40">
        <f>IF(N111&gt;=0,0,IF(365&lt;-N111,O111,0))</f>
        <v>0</v>
      </c>
    </row>
    <row r="112" spans="1:22" s="99" customFormat="1" ht="13.5" customHeight="1">
      <c r="A112" s="104"/>
      <c r="B112" s="105"/>
      <c r="C112" s="106"/>
      <c r="D112" s="107"/>
      <c r="E112" s="108">
        <f t="shared" ref="E112:K112" si="61">SUM(E111:E111)</f>
        <v>954625.82500000007</v>
      </c>
      <c r="F112" s="108">
        <f t="shared" si="61"/>
        <v>0</v>
      </c>
      <c r="G112" s="108">
        <f t="shared" si="61"/>
        <v>0</v>
      </c>
      <c r="H112" s="108">
        <f t="shared" si="61"/>
        <v>0</v>
      </c>
      <c r="I112" s="108">
        <f t="shared" si="61"/>
        <v>954625.82500000007</v>
      </c>
      <c r="J112" s="113">
        <f t="shared" si="61"/>
        <v>1145550.9900000002</v>
      </c>
      <c r="K112" s="113">
        <f t="shared" si="61"/>
        <v>1145550.9900000002</v>
      </c>
      <c r="L112" s="109"/>
      <c r="M112" s="109"/>
      <c r="N112" s="110"/>
      <c r="O112" s="108">
        <f>SUM(O111:O111)</f>
        <v>0</v>
      </c>
      <c r="P112" s="108" t="e">
        <f>SUM(P111:P111)</f>
        <v>#REF!</v>
      </c>
      <c r="Q112" s="111"/>
      <c r="R112" s="112">
        <f>SUM(R111:R111)</f>
        <v>0</v>
      </c>
      <c r="S112" s="112">
        <f>SUM(S111:S111)</f>
        <v>0</v>
      </c>
      <c r="T112" s="112">
        <f>SUM(T111:T111)</f>
        <v>0</v>
      </c>
      <c r="U112" s="112">
        <f>SUM(U111:U111)</f>
        <v>0</v>
      </c>
      <c r="V112" s="112">
        <f>SUM(V111:V111)</f>
        <v>0</v>
      </c>
    </row>
    <row r="113" spans="1:22" ht="19.5" customHeight="1">
      <c r="A113" s="41" t="s">
        <v>144</v>
      </c>
      <c r="B113" s="41"/>
      <c r="C113" s="43"/>
      <c r="D113" s="44"/>
      <c r="E113" s="36">
        <f>2429941.66/1.2</f>
        <v>2024951.3833333335</v>
      </c>
      <c r="F113" s="36">
        <f>-E113*$F$10</f>
        <v>0</v>
      </c>
      <c r="G113" s="36">
        <f>E113*$G$10</f>
        <v>0</v>
      </c>
      <c r="H113" s="36"/>
      <c r="I113" s="36">
        <f>+E113+F113-G113-H113</f>
        <v>2024951.3833333335</v>
      </c>
      <c r="J113" s="36">
        <f>+I113+(I113*$I$4)</f>
        <v>2429941.66</v>
      </c>
      <c r="K113" s="36">
        <v>2429941.66</v>
      </c>
      <c r="L113" s="37"/>
      <c r="M113" s="37"/>
      <c r="N113" s="92">
        <f>-IF(L113=0,,IF(M113=0,($C$10-L113),M113-L113))</f>
        <v>0</v>
      </c>
      <c r="O113" s="36">
        <f>+J113-K113</f>
        <v>0</v>
      </c>
      <c r="P113" s="36" t="e">
        <f>+IF($C$10&lt;L113,0,O113)</f>
        <v>#REF!</v>
      </c>
      <c r="Q113" s="39"/>
      <c r="R113" s="40">
        <f>IF(N113&gt;=0,0,(IF(-N113&lt;=60,O113,0)))</f>
        <v>0</v>
      </c>
      <c r="S113" s="40">
        <f>IF(N113&gt;=0,0,(IF(N113&gt;=-60,0,IF(-60&gt;=N113,IF(N113&gt;=-120,O113,0)))))</f>
        <v>0</v>
      </c>
      <c r="T113" s="40">
        <f>IF(N113&gt;=0,0,(IF(N113&gt;-60,0,IF(-60&gt;=N113,IF(N113&gt;=-120,0,IF(N113&gt;=-180,O113,0))))))</f>
        <v>0</v>
      </c>
      <c r="U113" s="40">
        <f>IF(N113&gt;=0,0,(IF(N113&gt;-60,0,IF(-60&gt;=N113,IF(N113&gt;-120,0,IF(N113&gt;=-180,0,IF(N113&gt;=-365,O113,0)))))))</f>
        <v>0</v>
      </c>
      <c r="V113" s="40">
        <f>IF(N113&gt;=0,0,IF(365&lt;-N113,O113,0))</f>
        <v>0</v>
      </c>
    </row>
    <row r="114" spans="1:22" s="99" customFormat="1" ht="13.5" customHeight="1">
      <c r="A114" s="104"/>
      <c r="B114" s="105"/>
      <c r="C114" s="106"/>
      <c r="D114" s="107"/>
      <c r="E114" s="108">
        <f t="shared" ref="E114:K114" si="62">SUM(E113:E113)</f>
        <v>2024951.3833333335</v>
      </c>
      <c r="F114" s="108">
        <f t="shared" si="62"/>
        <v>0</v>
      </c>
      <c r="G114" s="108">
        <f t="shared" si="62"/>
        <v>0</v>
      </c>
      <c r="H114" s="108">
        <f t="shared" si="62"/>
        <v>0</v>
      </c>
      <c r="I114" s="108">
        <f t="shared" si="62"/>
        <v>2024951.3833333335</v>
      </c>
      <c r="J114" s="113">
        <f t="shared" si="62"/>
        <v>2429941.66</v>
      </c>
      <c r="K114" s="113">
        <f t="shared" si="62"/>
        <v>2429941.66</v>
      </c>
      <c r="L114" s="109"/>
      <c r="M114" s="109"/>
      <c r="N114" s="110"/>
      <c r="O114" s="108">
        <f>SUM(O113:O113)</f>
        <v>0</v>
      </c>
      <c r="P114" s="108" t="e">
        <f>SUM(P113:P113)</f>
        <v>#REF!</v>
      </c>
      <c r="Q114" s="111"/>
      <c r="R114" s="112">
        <f>SUM(R113:R113)</f>
        <v>0</v>
      </c>
      <c r="S114" s="112">
        <f>SUM(S113:S113)</f>
        <v>0</v>
      </c>
      <c r="T114" s="112">
        <f>SUM(T113:T113)</f>
        <v>0</v>
      </c>
      <c r="U114" s="112">
        <f>SUM(U113:U113)</f>
        <v>0</v>
      </c>
      <c r="V114" s="112">
        <f>SUM(V113:V113)</f>
        <v>0</v>
      </c>
    </row>
    <row r="115" spans="1:22" ht="19.5" customHeight="1">
      <c r="A115" s="41" t="s">
        <v>145</v>
      </c>
      <c r="B115" s="41"/>
      <c r="C115" s="43"/>
      <c r="D115" s="44"/>
      <c r="E115" s="36">
        <v>19900</v>
      </c>
      <c r="F115" s="36">
        <f>-E115*$F$10</f>
        <v>0</v>
      </c>
      <c r="G115" s="36">
        <f>E115*$G$10</f>
        <v>0</v>
      </c>
      <c r="H115" s="36"/>
      <c r="I115" s="36">
        <f>+E115+F115-G115-H115</f>
        <v>19900</v>
      </c>
      <c r="J115" s="36">
        <f>+I115+(I115*$I$4)</f>
        <v>23880</v>
      </c>
      <c r="K115" s="36">
        <v>23880</v>
      </c>
      <c r="L115" s="37"/>
      <c r="M115" s="37"/>
      <c r="N115" s="92">
        <f>-IF(L115=0,,IF(M115=0,($C$10-L115),M115-L115))</f>
        <v>0</v>
      </c>
      <c r="O115" s="36">
        <f>+J115-K115</f>
        <v>0</v>
      </c>
      <c r="P115" s="36" t="e">
        <f>+IF($C$10&lt;L115,0,O115)</f>
        <v>#REF!</v>
      </c>
      <c r="Q115" s="39"/>
      <c r="R115" s="40">
        <f>IF(N115&gt;=0,0,(IF(-N115&lt;=60,O115,0)))</f>
        <v>0</v>
      </c>
      <c r="S115" s="40">
        <f>IF(N115&gt;=0,0,(IF(N115&gt;=-60,0,IF(-60&gt;=N115,IF(N115&gt;=-120,O115,0)))))</f>
        <v>0</v>
      </c>
      <c r="T115" s="40">
        <f>IF(N115&gt;=0,0,(IF(N115&gt;-60,0,IF(-60&gt;=N115,IF(N115&gt;=-120,0,IF(N115&gt;=-180,O115,0))))))</f>
        <v>0</v>
      </c>
      <c r="U115" s="40">
        <f>IF(N115&gt;=0,0,(IF(N115&gt;-60,0,IF(-60&gt;=N115,IF(N115&gt;-120,0,IF(N115&gt;=-180,0,IF(N115&gt;=-365,O115,0)))))))</f>
        <v>0</v>
      </c>
      <c r="V115" s="40">
        <f>IF(N115&gt;=0,0,IF(365&lt;-N115,O115,0))</f>
        <v>0</v>
      </c>
    </row>
    <row r="116" spans="1:22" s="99" customFormat="1" ht="13.5" customHeight="1">
      <c r="A116" s="104"/>
      <c r="B116" s="105"/>
      <c r="C116" s="106"/>
      <c r="D116" s="107"/>
      <c r="E116" s="108">
        <f t="shared" ref="E116:K116" si="63">SUM(E115:E115)</f>
        <v>19900</v>
      </c>
      <c r="F116" s="108">
        <f t="shared" si="63"/>
        <v>0</v>
      </c>
      <c r="G116" s="108">
        <f t="shared" si="63"/>
        <v>0</v>
      </c>
      <c r="H116" s="108">
        <f t="shared" si="63"/>
        <v>0</v>
      </c>
      <c r="I116" s="108">
        <f t="shared" si="63"/>
        <v>19900</v>
      </c>
      <c r="J116" s="113">
        <f t="shared" si="63"/>
        <v>23880</v>
      </c>
      <c r="K116" s="113">
        <f t="shared" si="63"/>
        <v>23880</v>
      </c>
      <c r="L116" s="109"/>
      <c r="M116" s="109"/>
      <c r="N116" s="110"/>
      <c r="O116" s="108">
        <f>SUM(O115:O115)</f>
        <v>0</v>
      </c>
      <c r="P116" s="108" t="e">
        <f>SUM(P115:P115)</f>
        <v>#REF!</v>
      </c>
      <c r="Q116" s="111"/>
      <c r="R116" s="112">
        <f>SUM(R115:R115)</f>
        <v>0</v>
      </c>
      <c r="S116" s="112">
        <f>SUM(S115:S115)</f>
        <v>0</v>
      </c>
      <c r="T116" s="112">
        <f>SUM(T115:T115)</f>
        <v>0</v>
      </c>
      <c r="U116" s="112">
        <f>SUM(U115:U115)</f>
        <v>0</v>
      </c>
      <c r="V116" s="112">
        <f>SUM(V115:V115)</f>
        <v>0</v>
      </c>
    </row>
    <row r="117" spans="1:22" ht="19.5" customHeight="1">
      <c r="A117" s="41" t="s">
        <v>146</v>
      </c>
      <c r="B117" s="41"/>
      <c r="C117" s="43"/>
      <c r="D117" s="44"/>
      <c r="E117" s="36">
        <f>338689.28/1.2</f>
        <v>282241.06666666671</v>
      </c>
      <c r="F117" s="36">
        <f>-E117*$F$10</f>
        <v>0</v>
      </c>
      <c r="G117" s="36">
        <f>E117*$G$10</f>
        <v>0</v>
      </c>
      <c r="H117" s="36"/>
      <c r="I117" s="36">
        <f>+E117+F117-G117-H117</f>
        <v>282241.06666666671</v>
      </c>
      <c r="J117" s="36">
        <f>+I117+(I117*$I$4)</f>
        <v>338689.28000000003</v>
      </c>
      <c r="K117" s="36">
        <v>338689.28000000003</v>
      </c>
      <c r="L117" s="37"/>
      <c r="M117" s="37"/>
      <c r="N117" s="92">
        <f>-IF(L117=0,,IF(M117=0,($C$10-L117),M117-L117))</f>
        <v>0</v>
      </c>
      <c r="O117" s="36">
        <f>+J117-K117</f>
        <v>0</v>
      </c>
      <c r="P117" s="36" t="e">
        <f>+IF($C$10&lt;L117,0,O117)</f>
        <v>#REF!</v>
      </c>
      <c r="Q117" s="39"/>
      <c r="R117" s="40">
        <f>IF(N117&gt;=0,0,(IF(-N117&lt;=60,O117,0)))</f>
        <v>0</v>
      </c>
      <c r="S117" s="40">
        <f>IF(N117&gt;=0,0,(IF(N117&gt;=-60,0,IF(-60&gt;=N117,IF(N117&gt;=-120,O117,0)))))</f>
        <v>0</v>
      </c>
      <c r="T117" s="40">
        <f>IF(N117&gt;=0,0,(IF(N117&gt;-60,0,IF(-60&gt;=N117,IF(N117&gt;=-120,0,IF(N117&gt;=-180,O117,0))))))</f>
        <v>0</v>
      </c>
      <c r="U117" s="40">
        <f>IF(N117&gt;=0,0,(IF(N117&gt;-60,0,IF(-60&gt;=N117,IF(N117&gt;-120,0,IF(N117&gt;=-180,0,IF(N117&gt;=-365,O117,0)))))))</f>
        <v>0</v>
      </c>
      <c r="V117" s="40">
        <f>IF(N117&gt;=0,0,IF(365&lt;-N117,O117,0))</f>
        <v>0</v>
      </c>
    </row>
    <row r="118" spans="1:22" s="99" customFormat="1" ht="12.75" customHeight="1">
      <c r="A118" s="104"/>
      <c r="B118" s="104"/>
      <c r="C118" s="106"/>
      <c r="D118" s="107"/>
      <c r="E118" s="108">
        <f t="shared" ref="E118:K118" si="64">SUM(E117:E117)</f>
        <v>282241.06666666671</v>
      </c>
      <c r="F118" s="108">
        <f t="shared" si="64"/>
        <v>0</v>
      </c>
      <c r="G118" s="108">
        <f t="shared" si="64"/>
        <v>0</v>
      </c>
      <c r="H118" s="108">
        <f t="shared" si="64"/>
        <v>0</v>
      </c>
      <c r="I118" s="108">
        <f t="shared" si="64"/>
        <v>282241.06666666671</v>
      </c>
      <c r="J118" s="113">
        <f t="shared" si="64"/>
        <v>338689.28000000003</v>
      </c>
      <c r="K118" s="113">
        <f t="shared" si="64"/>
        <v>338689.28000000003</v>
      </c>
      <c r="L118" s="109"/>
      <c r="M118" s="109"/>
      <c r="N118" s="110"/>
      <c r="O118" s="108">
        <f>SUM(O117:O117)</f>
        <v>0</v>
      </c>
      <c r="P118" s="108" t="e">
        <f>SUM(P117:P117)</f>
        <v>#REF!</v>
      </c>
      <c r="Q118" s="111"/>
      <c r="R118" s="112">
        <f>SUM(R117:R117)</f>
        <v>0</v>
      </c>
      <c r="S118" s="112">
        <f>SUM(S117:S117)</f>
        <v>0</v>
      </c>
      <c r="T118" s="112">
        <f>SUM(T117:T117)</f>
        <v>0</v>
      </c>
      <c r="U118" s="112">
        <f>SUM(U117:U117)</f>
        <v>0</v>
      </c>
      <c r="V118" s="112">
        <f>SUM(V117:V117)</f>
        <v>0</v>
      </c>
    </row>
    <row r="119" spans="1:22" s="99" customFormat="1" ht="18.75" customHeight="1">
      <c r="A119" s="104"/>
      <c r="B119" s="155" t="s">
        <v>224</v>
      </c>
      <c r="C119" s="156"/>
      <c r="D119" s="157"/>
      <c r="E119" s="130">
        <f>SUM(E118,E116,E114,E112,E110,E108,E106,E104,E102,E100,E98,E96,E94,E92,E90,E88,E86,E84,E82,E80,E78,E76,E74,E72,E70,E68,E66,E64,E62,E60,E58,E56,E54,E52,E50,E48,E46,E44,E42,E40,E38,E36,E34,E32,E30,E28,E26,E24,E22,E20,E18,E16,E14)</f>
        <v>63617993.483333327</v>
      </c>
      <c r="F119" s="130">
        <f t="shared" ref="F119:K119" si="65">SUM(F118,F116,F114,F112,F110,F108,F106,F104,F102,F100,F98,F96,F94,F92,F90,F88,F86,F84,F82,F80,F78,F76,F74,F72,F70,F68,F66,F64,F62,F60,F58,F56,F54,F52,F50,F48,F46,F44,F42,F40,F38,F36,F34,F32,F30,F28,F26,F24,F22,F20,F18,F16,F14)</f>
        <v>0</v>
      </c>
      <c r="G119" s="130">
        <f t="shared" si="65"/>
        <v>0</v>
      </c>
      <c r="H119" s="130">
        <f t="shared" si="65"/>
        <v>0</v>
      </c>
      <c r="I119" s="130">
        <f t="shared" si="65"/>
        <v>63617993.483333327</v>
      </c>
      <c r="J119" s="130">
        <f t="shared" si="65"/>
        <v>76341592.179999992</v>
      </c>
      <c r="K119" s="130">
        <f t="shared" si="65"/>
        <v>76341592.179999992</v>
      </c>
      <c r="L119" s="109"/>
      <c r="M119" s="109"/>
      <c r="N119" s="110"/>
      <c r="O119" s="108"/>
      <c r="P119" s="108"/>
      <c r="Q119" s="111"/>
      <c r="R119" s="112"/>
      <c r="S119" s="112"/>
      <c r="T119" s="112"/>
      <c r="U119" s="112"/>
      <c r="V119" s="112"/>
    </row>
    <row r="120" spans="1:22" ht="19.5" customHeight="1">
      <c r="A120" s="135" t="s">
        <v>88</v>
      </c>
      <c r="B120" s="42"/>
      <c r="C120" s="43"/>
      <c r="D120" s="44"/>
      <c r="E120" s="36"/>
      <c r="F120" s="36"/>
      <c r="G120" s="36"/>
      <c r="H120" s="36"/>
      <c r="I120" s="36"/>
      <c r="J120" s="36"/>
      <c r="K120" s="36"/>
      <c r="L120" s="37"/>
      <c r="M120" s="37"/>
      <c r="N120" s="38"/>
      <c r="O120" s="36"/>
      <c r="P120" s="42" t="e">
        <f>+IF($C$10&lt;L120,0,O120)</f>
        <v>#REF!</v>
      </c>
      <c r="Q120" s="39"/>
      <c r="R120" s="97"/>
      <c r="S120" s="97"/>
      <c r="T120" s="97"/>
      <c r="U120" s="97"/>
      <c r="V120" s="97"/>
    </row>
    <row r="121" spans="1:22" ht="19.5" hidden="1" customHeight="1">
      <c r="A121" s="41" t="s">
        <v>89</v>
      </c>
      <c r="B121" s="42"/>
      <c r="C121" s="126"/>
      <c r="D121" s="44"/>
      <c r="E121" s="36">
        <v>44430.63</v>
      </c>
      <c r="F121" s="36">
        <v>0</v>
      </c>
      <c r="G121" s="36">
        <v>0</v>
      </c>
      <c r="H121" s="36"/>
      <c r="I121" s="36">
        <f>+E121+F121-G121-H121</f>
        <v>44430.63</v>
      </c>
      <c r="J121" s="36">
        <f>+I121+(I121*$I$4)</f>
        <v>53316.755999999994</v>
      </c>
      <c r="K121" s="36">
        <v>53316.755999999994</v>
      </c>
      <c r="L121" s="37"/>
      <c r="M121" s="37"/>
      <c r="N121" s="92">
        <f>-IF(L121=0,,IF(M121=0,($C$10-L121),M121-L121))</f>
        <v>0</v>
      </c>
      <c r="O121" s="36">
        <f>+J121-K121</f>
        <v>0</v>
      </c>
      <c r="P121" s="36" t="e">
        <f>+IF($C$10&lt;L121,0,O121)</f>
        <v>#REF!</v>
      </c>
      <c r="Q121" s="39"/>
      <c r="R121" s="40">
        <f>IF(N121&gt;=0,0,(IF(-N121&lt;=60,O121,0)))</f>
        <v>0</v>
      </c>
      <c r="S121" s="40">
        <f>IF(N121&gt;=0,0,(IF(N121&gt;=-60,0,IF(-60&gt;=N121,IF(N121&gt;=-120,O121,0)))))</f>
        <v>0</v>
      </c>
      <c r="T121" s="40">
        <f>IF(N121&gt;=0,0,(IF(N121&gt;-60,0,IF(-60&gt;=N121,IF(N121&gt;=-120,0,IF(N121&gt;=-180,O121,0))))))</f>
        <v>0</v>
      </c>
      <c r="U121" s="40">
        <f>IF(N121&gt;=0,0,(IF(N121&gt;-60,0,IF(-60&gt;=N121,IF(N121&gt;-120,0,IF(N121&gt;=-180,0,IF(N121&gt;=-365,O121,0)))))))</f>
        <v>0</v>
      </c>
      <c r="V121" s="40">
        <f>IF(N121&gt;=0,0,IF(365&lt;-N121,O121,0))</f>
        <v>0</v>
      </c>
    </row>
    <row r="122" spans="1:22" ht="19.5" hidden="1" customHeight="1">
      <c r="A122" s="41" t="s">
        <v>89</v>
      </c>
      <c r="B122" s="42"/>
      <c r="C122" s="126">
        <v>37195</v>
      </c>
      <c r="D122" s="44"/>
      <c r="E122" s="36">
        <f>54406.61/1.2</f>
        <v>45338.841666666667</v>
      </c>
      <c r="F122" s="36">
        <v>0</v>
      </c>
      <c r="G122" s="36">
        <v>0</v>
      </c>
      <c r="H122" s="36"/>
      <c r="I122" s="36">
        <f>+E122+F122-G122-H122</f>
        <v>45338.841666666667</v>
      </c>
      <c r="J122" s="36">
        <f>+I122+(I122*$I$4)</f>
        <v>54406.61</v>
      </c>
      <c r="K122" s="36">
        <v>54406.61</v>
      </c>
      <c r="L122" s="37"/>
      <c r="M122" s="37"/>
      <c r="N122" s="92">
        <f>-IF(L122=0,,IF(M122=0,($C$10-L122),M122-L122))</f>
        <v>0</v>
      </c>
      <c r="O122" s="36">
        <f>+J122-K122</f>
        <v>0</v>
      </c>
      <c r="P122" s="36" t="e">
        <f>+IF($C$10&lt;L122,0,O122)</f>
        <v>#REF!</v>
      </c>
      <c r="Q122" s="39"/>
      <c r="R122" s="40">
        <f>IF(N122&gt;=0,0,(IF(-N122&lt;=60,O122,0)))</f>
        <v>0</v>
      </c>
      <c r="S122" s="40">
        <f>IF(N122&gt;=0,0,(IF(N122&gt;=-60,0,IF(-60&gt;=N122,IF(N122&gt;=-120,O122,0)))))</f>
        <v>0</v>
      </c>
      <c r="T122" s="40">
        <f>IF(N122&gt;=0,0,(IF(N122&gt;-60,0,IF(-60&gt;=N122,IF(N122&gt;=-120,0,IF(N122&gt;=-180,O122,0))))))</f>
        <v>0</v>
      </c>
      <c r="U122" s="40">
        <f>IF(N122&gt;=0,0,(IF(N122&gt;-60,0,IF(-60&gt;=N122,IF(N122&gt;-120,0,IF(N122&gt;=-180,0,IF(N122&gt;=-365,O122,0)))))))</f>
        <v>0</v>
      </c>
      <c r="V122" s="40">
        <f>IF(N122&gt;=0,0,IF(365&lt;-N122,O122,0))</f>
        <v>0</v>
      </c>
    </row>
    <row r="123" spans="1:22" ht="19.5" customHeight="1">
      <c r="A123" s="41" t="s">
        <v>89</v>
      </c>
      <c r="B123" s="42"/>
      <c r="C123" s="126">
        <v>37225</v>
      </c>
      <c r="D123" s="44"/>
      <c r="E123" s="36">
        <f>147140.46/1.2</f>
        <v>122617.05</v>
      </c>
      <c r="F123" s="36">
        <v>0</v>
      </c>
      <c r="G123" s="36">
        <v>0</v>
      </c>
      <c r="H123" s="36"/>
      <c r="I123" s="36">
        <f t="shared" ref="I123:I124" si="66">+E123+F123-G123-H123</f>
        <v>122617.05</v>
      </c>
      <c r="J123" s="36">
        <f t="shared" ref="J123:J124" si="67">+I123+(I123*$I$4)</f>
        <v>147140.46000000002</v>
      </c>
      <c r="K123" s="36">
        <v>60000</v>
      </c>
      <c r="L123" s="37">
        <v>37376</v>
      </c>
      <c r="M123" s="37">
        <v>37376</v>
      </c>
      <c r="N123" s="92">
        <f t="shared" ref="N123:N124" si="68">-IF(L123=0,,IF(M123=0,($C$10-L123),M123-L123))</f>
        <v>0</v>
      </c>
      <c r="O123" s="36">
        <f t="shared" ref="O123:O124" si="69">+J123-K123</f>
        <v>87140.460000000021</v>
      </c>
      <c r="P123" s="36" t="e">
        <f t="shared" ref="P123:P124" si="70">+IF($C$10&lt;L123,0,O123)</f>
        <v>#REF!</v>
      </c>
      <c r="Q123" s="39"/>
      <c r="R123" s="40">
        <f t="shared" ref="R123:R124" si="71">IF(N123&gt;=0,0,(IF(-N123&lt;=60,O123,0)))</f>
        <v>0</v>
      </c>
      <c r="S123" s="40">
        <f t="shared" ref="S123:S124" si="72">IF(N123&gt;=0,0,(IF(N123&gt;=-60,0,IF(-60&gt;=N123,IF(N123&gt;=-120,O123,0)))))</f>
        <v>0</v>
      </c>
      <c r="T123" s="40">
        <f t="shared" ref="T123:T124" si="73">IF(N123&gt;=0,0,(IF(N123&gt;-60,0,IF(-60&gt;=N123,IF(N123&gt;=-120,0,IF(N123&gt;=-180,O123,0))))))</f>
        <v>0</v>
      </c>
      <c r="U123" s="40">
        <f t="shared" ref="U123:U124" si="74">IF(N123&gt;=0,0,(IF(N123&gt;-60,0,IF(-60&gt;=N123,IF(N123&gt;-120,0,IF(N123&gt;=-180,0,IF(N123&gt;=-365,O123,0)))))))</f>
        <v>0</v>
      </c>
      <c r="V123" s="40">
        <v>87140.46</v>
      </c>
    </row>
    <row r="124" spans="1:22" ht="19.5" customHeight="1">
      <c r="A124" s="41" t="s">
        <v>89</v>
      </c>
      <c r="B124" s="42"/>
      <c r="C124" s="126">
        <v>37255</v>
      </c>
      <c r="D124" s="44"/>
      <c r="E124" s="36">
        <f>80810.58/1.2</f>
        <v>67342.150000000009</v>
      </c>
      <c r="F124" s="36">
        <v>0</v>
      </c>
      <c r="G124" s="36">
        <v>0</v>
      </c>
      <c r="H124" s="36"/>
      <c r="I124" s="36">
        <f t="shared" si="66"/>
        <v>67342.150000000009</v>
      </c>
      <c r="J124" s="36">
        <f t="shared" si="67"/>
        <v>80810.580000000016</v>
      </c>
      <c r="K124" s="36"/>
      <c r="L124" s="37">
        <v>37325</v>
      </c>
      <c r="M124" s="37"/>
      <c r="N124" s="92" t="e">
        <f t="shared" si="68"/>
        <v>#REF!</v>
      </c>
      <c r="O124" s="36">
        <f t="shared" si="69"/>
        <v>80810.580000000016</v>
      </c>
      <c r="P124" s="36" t="e">
        <f t="shared" si="70"/>
        <v>#REF!</v>
      </c>
      <c r="Q124" s="39"/>
      <c r="R124" s="40" t="e">
        <f t="shared" si="71"/>
        <v>#REF!</v>
      </c>
      <c r="S124" s="40" t="e">
        <f t="shared" si="72"/>
        <v>#REF!</v>
      </c>
      <c r="T124" s="40" t="e">
        <f t="shared" si="73"/>
        <v>#REF!</v>
      </c>
      <c r="U124" s="40" t="e">
        <f t="shared" si="74"/>
        <v>#REF!</v>
      </c>
      <c r="V124" s="40" t="e">
        <f t="shared" ref="V124" si="75">IF(N124&gt;=0,0,IF(365&lt;-N124,O124,0))</f>
        <v>#REF!</v>
      </c>
    </row>
    <row r="125" spans="1:22" s="99" customFormat="1" ht="19.5" customHeight="1">
      <c r="A125" s="104"/>
      <c r="B125" s="105"/>
      <c r="C125" s="106"/>
      <c r="D125" s="107"/>
      <c r="E125" s="108">
        <f>SUM(E121:E124)</f>
        <v>279728.67166666669</v>
      </c>
      <c r="F125" s="108">
        <f t="shared" ref="F125:K125" si="76">SUM(F121:F124)</f>
        <v>0</v>
      </c>
      <c r="G125" s="108">
        <f t="shared" si="76"/>
        <v>0</v>
      </c>
      <c r="H125" s="108">
        <f t="shared" si="76"/>
        <v>0</v>
      </c>
      <c r="I125" s="108">
        <f t="shared" si="76"/>
        <v>279728.67166666669</v>
      </c>
      <c r="J125" s="108">
        <f t="shared" si="76"/>
        <v>335674.40600000002</v>
      </c>
      <c r="K125" s="108">
        <f t="shared" si="76"/>
        <v>167723.36599999998</v>
      </c>
      <c r="L125" s="109"/>
      <c r="M125" s="109"/>
      <c r="N125" s="110"/>
      <c r="O125" s="108">
        <f>SUM(O121:O124)</f>
        <v>167951.04000000004</v>
      </c>
      <c r="P125" s="108" t="e">
        <f>SUM(P121:P124)</f>
        <v>#REF!</v>
      </c>
      <c r="Q125" s="114"/>
      <c r="R125" s="115" t="e">
        <f>SUM(R121:R124)</f>
        <v>#REF!</v>
      </c>
      <c r="S125" s="115" t="e">
        <f t="shared" ref="S125:V125" si="77">SUM(S121:S124)</f>
        <v>#REF!</v>
      </c>
      <c r="T125" s="115" t="e">
        <f t="shared" si="77"/>
        <v>#REF!</v>
      </c>
      <c r="U125" s="115" t="e">
        <f t="shared" si="77"/>
        <v>#REF!</v>
      </c>
      <c r="V125" s="115" t="e">
        <f t="shared" si="77"/>
        <v>#REF!</v>
      </c>
    </row>
    <row r="126" spans="1:22" ht="19.5" customHeight="1">
      <c r="A126" s="41" t="s">
        <v>116</v>
      </c>
      <c r="B126" s="42"/>
      <c r="C126" s="125"/>
      <c r="D126" s="44"/>
      <c r="E126" s="36">
        <f>92663.8/1.2</f>
        <v>77219.833333333343</v>
      </c>
      <c r="F126" s="36">
        <f>-E126*$F$10</f>
        <v>0</v>
      </c>
      <c r="G126" s="36">
        <f>E126*$G$10</f>
        <v>0</v>
      </c>
      <c r="H126" s="36"/>
      <c r="I126" s="36">
        <f>+E126+F126-G126-H126</f>
        <v>77219.833333333343</v>
      </c>
      <c r="J126" s="36">
        <f>+I126+(I126*$I$4)</f>
        <v>92663.800000000017</v>
      </c>
      <c r="K126" s="36">
        <v>92663.800000000017</v>
      </c>
      <c r="L126" s="37"/>
      <c r="M126" s="37"/>
      <c r="N126" s="92">
        <f>-IF(L126=0,,IF(M126=0,($C$10-L126),M126-L126))</f>
        <v>0</v>
      </c>
      <c r="O126" s="36">
        <f>+J126-K126</f>
        <v>0</v>
      </c>
      <c r="P126" s="36" t="e">
        <f>+IF($C$10&lt;L126,0,O126)</f>
        <v>#REF!</v>
      </c>
      <c r="Q126" s="39"/>
      <c r="R126" s="40">
        <f>IF(N126&gt;=0,0,(IF(-N126&lt;=60,O126,0)))</f>
        <v>0</v>
      </c>
      <c r="S126" s="40">
        <f>IF(N126&gt;=0,0,(IF(N126&gt;=-60,0,IF(-60&gt;=N126,IF(N126&gt;=-120,O126,0)))))</f>
        <v>0</v>
      </c>
      <c r="T126" s="40">
        <f>IF(N126&gt;=0,0,(IF(N126&gt;-60,0,IF(-60&gt;=N126,IF(N126&gt;=-120,0,IF(N126&gt;=-180,O126,0))))))</f>
        <v>0</v>
      </c>
      <c r="U126" s="40">
        <f>IF(N126&gt;=0,0,(IF(N126&gt;-60,0,IF(-60&gt;=N126,IF(N126&gt;-120,0,IF(N126&gt;=-180,0,IF(N126&gt;=-365,O126,0)))))))</f>
        <v>0</v>
      </c>
      <c r="V126" s="40">
        <f>IF(N126&gt;=0,0,IF(365&lt;-N126,O126,0))</f>
        <v>0</v>
      </c>
    </row>
    <row r="127" spans="1:22" s="99" customFormat="1" ht="19.5" customHeight="1">
      <c r="A127" s="104"/>
      <c r="B127" s="105"/>
      <c r="C127" s="106"/>
      <c r="D127" s="107"/>
      <c r="E127" s="108">
        <f t="shared" ref="E127:K127" si="78">SUM(E126:E126)</f>
        <v>77219.833333333343</v>
      </c>
      <c r="F127" s="108">
        <f t="shared" si="78"/>
        <v>0</v>
      </c>
      <c r="G127" s="108">
        <f t="shared" si="78"/>
        <v>0</v>
      </c>
      <c r="H127" s="108">
        <f t="shared" si="78"/>
        <v>0</v>
      </c>
      <c r="I127" s="108">
        <f t="shared" si="78"/>
        <v>77219.833333333343</v>
      </c>
      <c r="J127" s="113">
        <f t="shared" si="78"/>
        <v>92663.800000000017</v>
      </c>
      <c r="K127" s="113">
        <f t="shared" si="78"/>
        <v>92663.800000000017</v>
      </c>
      <c r="L127" s="109"/>
      <c r="M127" s="109"/>
      <c r="N127" s="110"/>
      <c r="O127" s="108">
        <f>SUM(O126:O126)</f>
        <v>0</v>
      </c>
      <c r="P127" s="108" t="e">
        <f>SUM(P126:P126)</f>
        <v>#REF!</v>
      </c>
      <c r="Q127" s="114"/>
      <c r="R127" s="115">
        <f>SUM(R126:R126)</f>
        <v>0</v>
      </c>
      <c r="S127" s="115">
        <f>SUM(S126:S126)</f>
        <v>0</v>
      </c>
      <c r="T127" s="115">
        <f>SUM(T126:T126)</f>
        <v>0</v>
      </c>
      <c r="U127" s="115">
        <f>SUM(U126:U126)</f>
        <v>0</v>
      </c>
      <c r="V127" s="115">
        <f>SUM(V126:V126)</f>
        <v>0</v>
      </c>
    </row>
    <row r="128" spans="1:22" ht="19.5" customHeight="1">
      <c r="A128" s="41" t="s">
        <v>66</v>
      </c>
      <c r="B128" s="42"/>
      <c r="C128" s="125"/>
      <c r="D128" s="44"/>
      <c r="E128" s="36">
        <f>570350.12/1.2</f>
        <v>475291.76666666666</v>
      </c>
      <c r="F128" s="36">
        <f>-E128*$F$10</f>
        <v>0</v>
      </c>
      <c r="G128" s="36">
        <f>E128*$G$10</f>
        <v>0</v>
      </c>
      <c r="H128" s="36"/>
      <c r="I128" s="36">
        <f>+E128+F128-G128-H128</f>
        <v>475291.76666666666</v>
      </c>
      <c r="J128" s="36">
        <f>+I128+(I128*$I$4)</f>
        <v>570350.12</v>
      </c>
      <c r="K128" s="36">
        <v>570350.12</v>
      </c>
      <c r="L128" s="37"/>
      <c r="M128" s="37"/>
      <c r="N128" s="92">
        <f>-IF(L128=0,,IF(M128=0,($C$10-L128),M128-L128))</f>
        <v>0</v>
      </c>
      <c r="O128" s="36">
        <f>+J128-K128</f>
        <v>0</v>
      </c>
      <c r="P128" s="36" t="e">
        <f>+IF($C$10&lt;L128,0,O128)</f>
        <v>#REF!</v>
      </c>
      <c r="Q128" s="39"/>
      <c r="R128" s="40">
        <f>IF(N128&gt;=0,0,(IF(-N128&lt;=60,O128,0)))</f>
        <v>0</v>
      </c>
      <c r="S128" s="40">
        <f>IF(N128&gt;=0,0,(IF(N128&gt;=-60,0,IF(-60&gt;=N128,IF(N128&gt;=-120,O128,0)))))</f>
        <v>0</v>
      </c>
      <c r="T128" s="40">
        <f>IF(N128&gt;=0,0,(IF(N128&gt;-60,0,IF(-60&gt;=N128,IF(N128&gt;=-120,0,IF(N128&gt;=-180,O128,0))))))</f>
        <v>0</v>
      </c>
      <c r="U128" s="40">
        <f>IF(N128&gt;=0,0,(IF(N128&gt;-60,0,IF(-60&gt;=N128,IF(N128&gt;-120,0,IF(N128&gt;=-180,0,IF(N128&gt;=-365,O128,0)))))))</f>
        <v>0</v>
      </c>
      <c r="V128" s="40">
        <f>IF(N128&gt;=0,0,IF(365&lt;-N128,O128,0))</f>
        <v>0</v>
      </c>
    </row>
    <row r="129" spans="1:22" s="99" customFormat="1" ht="19.5" customHeight="1">
      <c r="A129" s="104"/>
      <c r="B129" s="105"/>
      <c r="C129" s="106"/>
      <c r="D129" s="107"/>
      <c r="E129" s="108">
        <f t="shared" ref="E129:K129" si="79">SUM(E128:E128)</f>
        <v>475291.76666666666</v>
      </c>
      <c r="F129" s="108">
        <f t="shared" si="79"/>
        <v>0</v>
      </c>
      <c r="G129" s="108">
        <f t="shared" si="79"/>
        <v>0</v>
      </c>
      <c r="H129" s="108">
        <f t="shared" si="79"/>
        <v>0</v>
      </c>
      <c r="I129" s="108">
        <f t="shared" si="79"/>
        <v>475291.76666666666</v>
      </c>
      <c r="J129" s="113">
        <f t="shared" si="79"/>
        <v>570350.12</v>
      </c>
      <c r="K129" s="113">
        <f t="shared" si="79"/>
        <v>570350.12</v>
      </c>
      <c r="L129" s="109"/>
      <c r="M129" s="109"/>
      <c r="N129" s="110"/>
      <c r="O129" s="108">
        <f>SUM(O128:O128)</f>
        <v>0</v>
      </c>
      <c r="P129" s="108" t="e">
        <f>SUM(P128:P128)</f>
        <v>#REF!</v>
      </c>
      <c r="Q129" s="114"/>
      <c r="R129" s="115">
        <f>SUM(R128:R128)</f>
        <v>0</v>
      </c>
      <c r="S129" s="115">
        <f>SUM(S128:S128)</f>
        <v>0</v>
      </c>
      <c r="T129" s="115">
        <f>SUM(T128:T128)</f>
        <v>0</v>
      </c>
      <c r="U129" s="115">
        <f>SUM(U128:U128)</f>
        <v>0</v>
      </c>
      <c r="V129" s="115">
        <f>SUM(V128:V128)</f>
        <v>0</v>
      </c>
    </row>
    <row r="130" spans="1:22" ht="19.5" customHeight="1">
      <c r="A130" s="41" t="s">
        <v>148</v>
      </c>
      <c r="B130" s="42"/>
      <c r="C130" s="125"/>
      <c r="D130" s="44"/>
      <c r="E130" s="36">
        <f>150687.886/1.2</f>
        <v>125573.23833333334</v>
      </c>
      <c r="F130" s="36">
        <f>-E130*$F$10</f>
        <v>0</v>
      </c>
      <c r="G130" s="36">
        <f>E130*$G$10</f>
        <v>0</v>
      </c>
      <c r="H130" s="36"/>
      <c r="I130" s="36">
        <f>+E130+F130-G130-H130</f>
        <v>125573.23833333334</v>
      </c>
      <c r="J130" s="36">
        <f>+I130+(I130*$I$4)</f>
        <v>150687.886</v>
      </c>
      <c r="K130" s="36">
        <v>150687.886</v>
      </c>
      <c r="L130" s="37"/>
      <c r="M130" s="37"/>
      <c r="N130" s="92">
        <f>-IF(L130=0,,IF(M130=0,($C$10-L130),M130-L130))</f>
        <v>0</v>
      </c>
      <c r="O130" s="36">
        <f>+J130-K130</f>
        <v>0</v>
      </c>
      <c r="P130" s="36" t="e">
        <f>+IF($C$10&lt;L130,0,O130)</f>
        <v>#REF!</v>
      </c>
      <c r="Q130" s="39"/>
      <c r="R130" s="40">
        <f>IF(N130&gt;=0,0,(IF(-N130&lt;=60,O130,0)))</f>
        <v>0</v>
      </c>
      <c r="S130" s="40">
        <f>IF(N130&gt;=0,0,(IF(N130&gt;=-60,0,IF(-60&gt;=N130,IF(N130&gt;=-120,O130,0)))))</f>
        <v>0</v>
      </c>
      <c r="T130" s="40">
        <f>IF(N130&gt;=0,0,(IF(N130&gt;-60,0,IF(-60&gt;=N130,IF(N130&gt;=-120,0,IF(N130&gt;=-180,O130,0))))))</f>
        <v>0</v>
      </c>
      <c r="U130" s="40">
        <f>IF(N130&gt;=0,0,(IF(N130&gt;-60,0,IF(-60&gt;=N130,IF(N130&gt;-120,0,IF(N130&gt;=-180,0,IF(N130&gt;=-365,O130,0)))))))</f>
        <v>0</v>
      </c>
      <c r="V130" s="40">
        <f>IF(N130&gt;=0,0,IF(365&lt;-N130,O130,0))</f>
        <v>0</v>
      </c>
    </row>
    <row r="131" spans="1:22" s="99" customFormat="1" ht="19.5" customHeight="1">
      <c r="A131" s="104"/>
      <c r="B131" s="105"/>
      <c r="C131" s="106"/>
      <c r="D131" s="107"/>
      <c r="E131" s="108">
        <f t="shared" ref="E131:K131" si="80">SUM(E130:E130)</f>
        <v>125573.23833333334</v>
      </c>
      <c r="F131" s="108">
        <f t="shared" si="80"/>
        <v>0</v>
      </c>
      <c r="G131" s="108">
        <f t="shared" si="80"/>
        <v>0</v>
      </c>
      <c r="H131" s="108">
        <f t="shared" si="80"/>
        <v>0</v>
      </c>
      <c r="I131" s="108">
        <f t="shared" si="80"/>
        <v>125573.23833333334</v>
      </c>
      <c r="J131" s="113">
        <f t="shared" si="80"/>
        <v>150687.886</v>
      </c>
      <c r="K131" s="113">
        <f t="shared" si="80"/>
        <v>150687.886</v>
      </c>
      <c r="L131" s="109"/>
      <c r="M131" s="109"/>
      <c r="N131" s="110"/>
      <c r="O131" s="108">
        <f>SUM(O130:O130)</f>
        <v>0</v>
      </c>
      <c r="P131" s="108" t="e">
        <f>SUM(P130:P130)</f>
        <v>#REF!</v>
      </c>
      <c r="Q131" s="114"/>
      <c r="R131" s="115">
        <f>SUM(R130:R130)</f>
        <v>0</v>
      </c>
      <c r="S131" s="115">
        <f>SUM(S130:S130)</f>
        <v>0</v>
      </c>
      <c r="T131" s="115">
        <f>SUM(T130:T130)</f>
        <v>0</v>
      </c>
      <c r="U131" s="115">
        <f>SUM(U130:U130)</f>
        <v>0</v>
      </c>
      <c r="V131" s="115">
        <f>SUM(V130:V130)</f>
        <v>0</v>
      </c>
    </row>
    <row r="132" spans="1:22" ht="19.5" customHeight="1">
      <c r="A132" s="41" t="s">
        <v>117</v>
      </c>
      <c r="B132" s="42"/>
      <c r="C132" s="125"/>
      <c r="D132" s="44"/>
      <c r="E132" s="36">
        <f>468579.48/1.2</f>
        <v>390482.9</v>
      </c>
      <c r="F132" s="36">
        <f>-E132*$F$10</f>
        <v>0</v>
      </c>
      <c r="G132" s="36">
        <f>E132*$G$10</f>
        <v>0</v>
      </c>
      <c r="H132" s="36"/>
      <c r="I132" s="36">
        <f>+E132+F132-G132-H132</f>
        <v>390482.9</v>
      </c>
      <c r="J132" s="36">
        <f>+I132+(I132*$I$4)</f>
        <v>468579.48000000004</v>
      </c>
      <c r="K132" s="36">
        <v>468579.48000000004</v>
      </c>
      <c r="L132" s="37"/>
      <c r="M132" s="37"/>
      <c r="N132" s="92">
        <f>-IF(L132=0,,IF(M132=0,($C$10-L132),M132-L132))</f>
        <v>0</v>
      </c>
      <c r="O132" s="36">
        <f>+J132-K132</f>
        <v>0</v>
      </c>
      <c r="P132" s="36" t="e">
        <f>+IF($C$10&lt;L132,0,O132)</f>
        <v>#REF!</v>
      </c>
      <c r="Q132" s="39"/>
      <c r="R132" s="40">
        <f>IF(N132&gt;=0,0,(IF(-N132&lt;=60,O132,0)))</f>
        <v>0</v>
      </c>
      <c r="S132" s="40">
        <f>IF(N132&gt;=0,0,(IF(N132&gt;=-60,0,IF(-60&gt;=N132,IF(N132&gt;=-120,O132,0)))))</f>
        <v>0</v>
      </c>
      <c r="T132" s="40">
        <f>IF(N132&gt;=0,0,(IF(N132&gt;-60,0,IF(-60&gt;=N132,IF(N132&gt;=-120,0,IF(N132&gt;=-180,O132,0))))))</f>
        <v>0</v>
      </c>
      <c r="U132" s="40">
        <f>IF(N132&gt;=0,0,(IF(N132&gt;-60,0,IF(-60&gt;=N132,IF(N132&gt;-120,0,IF(N132&gt;=-180,0,IF(N132&gt;=-365,O132,0)))))))</f>
        <v>0</v>
      </c>
      <c r="V132" s="40">
        <f>IF(N132&gt;=0,0,IF(365&lt;-N132,O132,0))</f>
        <v>0</v>
      </c>
    </row>
    <row r="133" spans="1:22" s="99" customFormat="1" ht="19.5" customHeight="1">
      <c r="A133" s="104"/>
      <c r="B133" s="105"/>
      <c r="C133" s="106"/>
      <c r="D133" s="107"/>
      <c r="E133" s="108">
        <f t="shared" ref="E133:K133" si="81">SUM(E132:E132)</f>
        <v>390482.9</v>
      </c>
      <c r="F133" s="108">
        <f t="shared" si="81"/>
        <v>0</v>
      </c>
      <c r="G133" s="108">
        <f t="shared" si="81"/>
        <v>0</v>
      </c>
      <c r="H133" s="108">
        <f t="shared" si="81"/>
        <v>0</v>
      </c>
      <c r="I133" s="108">
        <f t="shared" si="81"/>
        <v>390482.9</v>
      </c>
      <c r="J133" s="113">
        <f t="shared" si="81"/>
        <v>468579.48000000004</v>
      </c>
      <c r="K133" s="113">
        <f t="shared" si="81"/>
        <v>468579.48000000004</v>
      </c>
      <c r="L133" s="109"/>
      <c r="M133" s="109"/>
      <c r="N133" s="110"/>
      <c r="O133" s="108">
        <f>SUM(O132:O132)</f>
        <v>0</v>
      </c>
      <c r="P133" s="108" t="e">
        <f>SUM(P132:P132)</f>
        <v>#REF!</v>
      </c>
      <c r="Q133" s="114"/>
      <c r="R133" s="115">
        <f>SUM(R132:R132)</f>
        <v>0</v>
      </c>
      <c r="S133" s="115">
        <f>SUM(S132:S132)</f>
        <v>0</v>
      </c>
      <c r="T133" s="115">
        <f>SUM(T132:T132)</f>
        <v>0</v>
      </c>
      <c r="U133" s="115">
        <f>SUM(U132:U132)</f>
        <v>0</v>
      </c>
      <c r="V133" s="115">
        <f>SUM(V132:V132)</f>
        <v>0</v>
      </c>
    </row>
    <row r="134" spans="1:22" ht="19.5" customHeight="1">
      <c r="A134" s="41" t="s">
        <v>149</v>
      </c>
      <c r="B134" s="42"/>
      <c r="C134" s="43"/>
      <c r="D134" s="44"/>
      <c r="E134" s="36">
        <f>47563.46/1.2</f>
        <v>39636.216666666667</v>
      </c>
      <c r="F134" s="36">
        <f>-E134*$F$10</f>
        <v>0</v>
      </c>
      <c r="G134" s="36">
        <f>E134*$G$10</f>
        <v>0</v>
      </c>
      <c r="H134" s="36"/>
      <c r="I134" s="36">
        <f>+E134+F134-G134-H134</f>
        <v>39636.216666666667</v>
      </c>
      <c r="J134" s="36">
        <f>+I134+(I134*$I$4)</f>
        <v>47563.46</v>
      </c>
      <c r="K134" s="36">
        <v>47563.46</v>
      </c>
      <c r="L134" s="37"/>
      <c r="M134" s="37"/>
      <c r="N134" s="92">
        <f>-IF(L134=0,,IF(M134=0,($C$10-L134),M134-L134))</f>
        <v>0</v>
      </c>
      <c r="O134" s="36">
        <f>+J134-K134</f>
        <v>0</v>
      </c>
      <c r="P134" s="36" t="e">
        <f>+IF($C$10&lt;L134,0,O134)</f>
        <v>#REF!</v>
      </c>
      <c r="Q134" s="39"/>
      <c r="R134" s="40">
        <f>IF(N134&gt;=0,0,(IF(-N134&lt;=60,O134,0)))</f>
        <v>0</v>
      </c>
      <c r="S134" s="40">
        <f>IF(N134&gt;=0,0,(IF(N134&gt;=-60,0,IF(-60&gt;=N134,IF(N134&gt;=-120,O134,0)))))</f>
        <v>0</v>
      </c>
      <c r="T134" s="40">
        <f>IF(N134&gt;=0,0,(IF(N134&gt;-60,0,IF(-60&gt;=N134,IF(N134&gt;=-120,0,IF(N134&gt;=-180,O134,0))))))</f>
        <v>0</v>
      </c>
      <c r="U134" s="40">
        <f>IF(N134&gt;=0,0,(IF(N134&gt;-60,0,IF(-60&gt;=N134,IF(N134&gt;-120,0,IF(N134&gt;=-180,0,IF(N134&gt;=-365,O134,0)))))))</f>
        <v>0</v>
      </c>
      <c r="V134" s="40">
        <f>IF(N134&gt;=0,0,IF(365&lt;-N134,O134,0))</f>
        <v>0</v>
      </c>
    </row>
    <row r="135" spans="1:22" s="99" customFormat="1" ht="19.5" customHeight="1">
      <c r="A135" s="104"/>
      <c r="B135" s="104"/>
      <c r="C135" s="106"/>
      <c r="D135" s="107"/>
      <c r="E135" s="108">
        <f t="shared" ref="E135:K135" si="82">SUM(E134:E134)</f>
        <v>39636.216666666667</v>
      </c>
      <c r="F135" s="108">
        <f t="shared" si="82"/>
        <v>0</v>
      </c>
      <c r="G135" s="108">
        <f t="shared" si="82"/>
        <v>0</v>
      </c>
      <c r="H135" s="108">
        <f t="shared" si="82"/>
        <v>0</v>
      </c>
      <c r="I135" s="108">
        <f t="shared" si="82"/>
        <v>39636.216666666667</v>
      </c>
      <c r="J135" s="113">
        <f t="shared" si="82"/>
        <v>47563.46</v>
      </c>
      <c r="K135" s="113">
        <f t="shared" si="82"/>
        <v>47563.46</v>
      </c>
      <c r="L135" s="109"/>
      <c r="M135" s="109"/>
      <c r="N135" s="110"/>
      <c r="O135" s="108">
        <f>SUM(O134:O134)</f>
        <v>0</v>
      </c>
      <c r="P135" s="108" t="e">
        <f>SUM(P134:P134)</f>
        <v>#REF!</v>
      </c>
      <c r="Q135" s="111"/>
      <c r="R135" s="112">
        <f>SUM(R134:R134)</f>
        <v>0</v>
      </c>
      <c r="S135" s="112">
        <f>SUM(S134:S134)</f>
        <v>0</v>
      </c>
      <c r="T135" s="112">
        <f>SUM(T134:T134)</f>
        <v>0</v>
      </c>
      <c r="U135" s="112">
        <f>SUM(U134:U134)</f>
        <v>0</v>
      </c>
      <c r="V135" s="112">
        <f>SUM(V134:V134)</f>
        <v>0</v>
      </c>
    </row>
    <row r="136" spans="1:22" ht="19.5" customHeight="1">
      <c r="A136" s="41" t="s">
        <v>120</v>
      </c>
      <c r="B136" s="41"/>
      <c r="C136" s="43"/>
      <c r="D136" s="44"/>
      <c r="E136" s="36">
        <f>79307.59/1.2</f>
        <v>66089.65833333334</v>
      </c>
      <c r="F136" s="36">
        <f>-E136*$F$10</f>
        <v>0</v>
      </c>
      <c r="G136" s="36">
        <f>E136*$G$10</f>
        <v>0</v>
      </c>
      <c r="H136" s="36"/>
      <c r="I136" s="36">
        <f>+E136+F136-G136-H136</f>
        <v>66089.65833333334</v>
      </c>
      <c r="J136" s="36">
        <f>+I136+(I136*$I$4)</f>
        <v>79307.590000000011</v>
      </c>
      <c r="K136" s="36">
        <v>79307.590000000011</v>
      </c>
      <c r="L136" s="37"/>
      <c r="M136" s="37"/>
      <c r="N136" s="92">
        <f>-IF(L136=0,,IF(M136=0,($C$10-L136),M136-L136))</f>
        <v>0</v>
      </c>
      <c r="O136" s="36">
        <f>+J136-K136</f>
        <v>0</v>
      </c>
      <c r="P136" s="36" t="e">
        <f>+IF($C$10&lt;L136,0,O136)</f>
        <v>#REF!</v>
      </c>
      <c r="Q136" s="39"/>
      <c r="R136" s="40">
        <f>IF(N136&gt;=0,0,(IF(-N136&lt;=60,O136,0)))</f>
        <v>0</v>
      </c>
      <c r="S136" s="40">
        <f>IF(N136&gt;=0,0,(IF(N136&gt;=-60,0,IF(-60&gt;=N136,IF(N136&gt;=-120,O136,0)))))</f>
        <v>0</v>
      </c>
      <c r="T136" s="40">
        <f>IF(N136&gt;=0,0,(IF(N136&gt;-60,0,IF(-60&gt;=N136,IF(N136&gt;=-120,0,IF(N136&gt;=-180,O136,0))))))</f>
        <v>0</v>
      </c>
      <c r="U136" s="40">
        <f>IF(N136&gt;=0,0,(IF(N136&gt;-60,0,IF(-60&gt;=N136,IF(N136&gt;-120,0,IF(N136&gt;=-180,0,IF(N136&gt;=-365,O136,0)))))))</f>
        <v>0</v>
      </c>
      <c r="V136" s="40">
        <f>IF(N136&gt;=0,0,IF(365&lt;-N136,O136,0))</f>
        <v>0</v>
      </c>
    </row>
    <row r="137" spans="1:22" s="99" customFormat="1" ht="19.5" customHeight="1">
      <c r="A137" s="104"/>
      <c r="B137" s="104"/>
      <c r="C137" s="106"/>
      <c r="D137" s="107"/>
      <c r="E137" s="108">
        <f t="shared" ref="E137:K137" si="83">SUM(E136:E136)</f>
        <v>66089.65833333334</v>
      </c>
      <c r="F137" s="108">
        <f t="shared" si="83"/>
        <v>0</v>
      </c>
      <c r="G137" s="108">
        <f t="shared" si="83"/>
        <v>0</v>
      </c>
      <c r="H137" s="108">
        <f t="shared" si="83"/>
        <v>0</v>
      </c>
      <c r="I137" s="108">
        <f t="shared" si="83"/>
        <v>66089.65833333334</v>
      </c>
      <c r="J137" s="113">
        <f t="shared" si="83"/>
        <v>79307.590000000011</v>
      </c>
      <c r="K137" s="113">
        <f t="shared" si="83"/>
        <v>79307.590000000011</v>
      </c>
      <c r="L137" s="109"/>
      <c r="M137" s="109"/>
      <c r="N137" s="110"/>
      <c r="O137" s="108">
        <f>SUM(O136:O136)</f>
        <v>0</v>
      </c>
      <c r="P137" s="108" t="e">
        <f>SUM(P136:P136)</f>
        <v>#REF!</v>
      </c>
      <c r="Q137" s="111"/>
      <c r="R137" s="112">
        <f>SUM(R136:R136)</f>
        <v>0</v>
      </c>
      <c r="S137" s="112">
        <f>SUM(S136:S136)</f>
        <v>0</v>
      </c>
      <c r="T137" s="112">
        <f>SUM(T136:T136)</f>
        <v>0</v>
      </c>
      <c r="U137" s="112">
        <f>SUM(U136:U136)</f>
        <v>0</v>
      </c>
      <c r="V137" s="112">
        <f>SUM(V136:V136)</f>
        <v>0</v>
      </c>
    </row>
    <row r="138" spans="1:22" ht="19.5" customHeight="1">
      <c r="A138" s="41" t="s">
        <v>122</v>
      </c>
      <c r="B138" s="41"/>
      <c r="C138" s="43"/>
      <c r="D138" s="44"/>
      <c r="E138" s="36">
        <f>19801.35/1.2</f>
        <v>16501.125</v>
      </c>
      <c r="F138" s="36">
        <f>-E138*$F$10</f>
        <v>0</v>
      </c>
      <c r="G138" s="36">
        <f>E138*$G$10</f>
        <v>0</v>
      </c>
      <c r="H138" s="36"/>
      <c r="I138" s="36">
        <f>+E138+F138-G138-H138</f>
        <v>16501.125</v>
      </c>
      <c r="J138" s="36">
        <f>+I138+(I138*$I$4)</f>
        <v>19801.349999999999</v>
      </c>
      <c r="K138" s="36">
        <v>19801.349999999999</v>
      </c>
      <c r="L138" s="37"/>
      <c r="M138" s="37"/>
      <c r="N138" s="92">
        <f>-IF(L138=0,,IF(M138=0,($C$10-L138),M138-L138))</f>
        <v>0</v>
      </c>
      <c r="O138" s="36">
        <f>+J138-K138</f>
        <v>0</v>
      </c>
      <c r="P138" s="36" t="e">
        <f>+IF($C$10&lt;L138,0,O138)</f>
        <v>#REF!</v>
      </c>
      <c r="Q138" s="39"/>
      <c r="R138" s="40">
        <f>IF(N138&gt;=0,0,(IF(-N138&lt;=60,O138,0)))</f>
        <v>0</v>
      </c>
      <c r="S138" s="40">
        <f>IF(N138&gt;=0,0,(IF(N138&gt;=-60,0,IF(-60&gt;=N138,IF(N138&gt;=-120,O138,0)))))</f>
        <v>0</v>
      </c>
      <c r="T138" s="40">
        <f>IF(N138&gt;=0,0,(IF(N138&gt;-60,0,IF(-60&gt;=N138,IF(N138&gt;=-120,0,IF(N138&gt;=-180,O138,0))))))</f>
        <v>0</v>
      </c>
      <c r="U138" s="40">
        <f>IF(N138&gt;=0,0,(IF(N138&gt;-60,0,IF(-60&gt;=N138,IF(N138&gt;-120,0,IF(N138&gt;=-180,0,IF(N138&gt;=-365,O138,0)))))))</f>
        <v>0</v>
      </c>
      <c r="V138" s="40">
        <f>IF(N138&gt;=0,0,IF(365&lt;-N138,O138,0))</f>
        <v>0</v>
      </c>
    </row>
    <row r="139" spans="1:22" s="99" customFormat="1" ht="19.5" customHeight="1">
      <c r="A139" s="104"/>
      <c r="B139" s="105"/>
      <c r="C139" s="106"/>
      <c r="D139" s="107"/>
      <c r="E139" s="108">
        <f t="shared" ref="E139:K139" si="84">SUM(E138:E138)</f>
        <v>16501.125</v>
      </c>
      <c r="F139" s="108">
        <f t="shared" si="84"/>
        <v>0</v>
      </c>
      <c r="G139" s="108">
        <f t="shared" si="84"/>
        <v>0</v>
      </c>
      <c r="H139" s="108">
        <f t="shared" si="84"/>
        <v>0</v>
      </c>
      <c r="I139" s="108">
        <f t="shared" si="84"/>
        <v>16501.125</v>
      </c>
      <c r="J139" s="113">
        <f t="shared" si="84"/>
        <v>19801.349999999999</v>
      </c>
      <c r="K139" s="113">
        <f t="shared" si="84"/>
        <v>19801.349999999999</v>
      </c>
      <c r="L139" s="109"/>
      <c r="M139" s="109"/>
      <c r="N139" s="110"/>
      <c r="O139" s="108">
        <f>SUM(O138)</f>
        <v>0</v>
      </c>
      <c r="P139" s="108" t="e">
        <f>SUM(P138)</f>
        <v>#REF!</v>
      </c>
      <c r="Q139" s="111"/>
      <c r="R139" s="112">
        <f>SUM(R138)</f>
        <v>0</v>
      </c>
      <c r="S139" s="112">
        <f>SUM(S138)</f>
        <v>0</v>
      </c>
      <c r="T139" s="112">
        <f>SUM(T138)</f>
        <v>0</v>
      </c>
      <c r="U139" s="112">
        <f>SUM(U138)</f>
        <v>0</v>
      </c>
      <c r="V139" s="112">
        <f>SUM(V138)</f>
        <v>0</v>
      </c>
    </row>
    <row r="140" spans="1:22" ht="19.5" customHeight="1">
      <c r="A140" s="41" t="s">
        <v>150</v>
      </c>
      <c r="B140" s="41"/>
      <c r="C140" s="43"/>
      <c r="D140" s="44"/>
      <c r="E140" s="36">
        <f>4534805.25/1.2</f>
        <v>3779004.375</v>
      </c>
      <c r="F140" s="36">
        <f>-E140*$F$10</f>
        <v>0</v>
      </c>
      <c r="G140" s="36">
        <f>E140*$G$10</f>
        <v>0</v>
      </c>
      <c r="H140" s="36"/>
      <c r="I140" s="36">
        <f>+E140+F140-G140-H140</f>
        <v>3779004.375</v>
      </c>
      <c r="J140" s="36">
        <f>+I140+(I140*$I$4)</f>
        <v>4534805.25</v>
      </c>
      <c r="K140" s="36">
        <v>4534805.25</v>
      </c>
      <c r="L140" s="37"/>
      <c r="M140" s="37"/>
      <c r="N140" s="92">
        <f>-IF(L140=0,,IF(M140=0,($C$10-L140),M140-L140))</f>
        <v>0</v>
      </c>
      <c r="O140" s="36">
        <f>+J140-K140</f>
        <v>0</v>
      </c>
      <c r="P140" s="36" t="e">
        <f>+IF($C$10&lt;L140,0,O140)</f>
        <v>#REF!</v>
      </c>
      <c r="Q140" s="39"/>
      <c r="R140" s="40">
        <f>IF(N140&gt;=0,0,(IF(-N140&lt;=60,O140,0)))</f>
        <v>0</v>
      </c>
      <c r="S140" s="40">
        <f>IF(N140&gt;=0,0,(IF(N140&gt;=-60,0,IF(-60&gt;=N140,IF(N140&gt;=-120,O140,0)))))</f>
        <v>0</v>
      </c>
      <c r="T140" s="40">
        <f>IF(N140&gt;=0,0,(IF(N140&gt;-60,0,IF(-60&gt;=N140,IF(N140&gt;=-120,0,IF(N140&gt;=-180,O140,0))))))</f>
        <v>0</v>
      </c>
      <c r="U140" s="40">
        <f>IF(N140&gt;=0,0,(IF(N140&gt;-60,0,IF(-60&gt;=N140,IF(N140&gt;-120,0,IF(N140&gt;=-180,0,IF(N140&gt;=-365,O140,0)))))))</f>
        <v>0</v>
      </c>
      <c r="V140" s="40">
        <f>IF(N140&gt;=0,0,IF(365&lt;-N140,O140,0))</f>
        <v>0</v>
      </c>
    </row>
    <row r="141" spans="1:22" s="99" customFormat="1" ht="19.5" customHeight="1">
      <c r="A141" s="104"/>
      <c r="B141" s="104"/>
      <c r="C141" s="106"/>
      <c r="D141" s="107"/>
      <c r="E141" s="108">
        <f t="shared" ref="E141:K141" si="85">SUM(E140:E140)</f>
        <v>3779004.375</v>
      </c>
      <c r="F141" s="108">
        <f t="shared" si="85"/>
        <v>0</v>
      </c>
      <c r="G141" s="108">
        <f t="shared" si="85"/>
        <v>0</v>
      </c>
      <c r="H141" s="108">
        <f t="shared" si="85"/>
        <v>0</v>
      </c>
      <c r="I141" s="108">
        <f t="shared" si="85"/>
        <v>3779004.375</v>
      </c>
      <c r="J141" s="113">
        <f t="shared" si="85"/>
        <v>4534805.25</v>
      </c>
      <c r="K141" s="113">
        <f t="shared" si="85"/>
        <v>4534805.25</v>
      </c>
      <c r="L141" s="109"/>
      <c r="M141" s="109"/>
      <c r="N141" s="110"/>
      <c r="O141" s="108">
        <f>SUM(O140:O140)</f>
        <v>0</v>
      </c>
      <c r="P141" s="108" t="e">
        <f>SUM(P140:P140)</f>
        <v>#REF!</v>
      </c>
      <c r="Q141" s="111"/>
      <c r="R141" s="112">
        <f>SUM(R140:R140)</f>
        <v>0</v>
      </c>
      <c r="S141" s="112">
        <f>SUM(S140:S140)</f>
        <v>0</v>
      </c>
      <c r="T141" s="112">
        <f>SUM(T140:T140)</f>
        <v>0</v>
      </c>
      <c r="U141" s="112">
        <f>SUM(U140:U140)</f>
        <v>0</v>
      </c>
      <c r="V141" s="112">
        <f>SUM(V140:V140)</f>
        <v>0</v>
      </c>
    </row>
    <row r="142" spans="1:22" ht="19.5" customHeight="1">
      <c r="A142" s="41" t="s">
        <v>123</v>
      </c>
      <c r="B142" s="41"/>
      <c r="C142" s="43"/>
      <c r="D142" s="44"/>
      <c r="E142" s="36">
        <f>121929.95/1.2</f>
        <v>101608.29166666667</v>
      </c>
      <c r="F142" s="36">
        <f>-E142*$F$10</f>
        <v>0</v>
      </c>
      <c r="G142" s="36">
        <f>E142*$G$10</f>
        <v>0</v>
      </c>
      <c r="H142" s="36"/>
      <c r="I142" s="36">
        <f>+E142+F142-G142-H142</f>
        <v>101608.29166666667</v>
      </c>
      <c r="J142" s="36">
        <f>+I142+(I142*$I$4)</f>
        <v>121929.95000000001</v>
      </c>
      <c r="K142" s="36">
        <v>121929.95000000001</v>
      </c>
      <c r="L142" s="37"/>
      <c r="M142" s="37"/>
      <c r="N142" s="92">
        <f>-IF(L142=0,,IF(M142=0,($C$10-L142),M142-L142))</f>
        <v>0</v>
      </c>
      <c r="O142" s="36">
        <f>+J142-K142</f>
        <v>0</v>
      </c>
      <c r="P142" s="36" t="e">
        <f>+IF($C$10&lt;L142,0,O142)</f>
        <v>#REF!</v>
      </c>
      <c r="Q142" s="39"/>
      <c r="R142" s="40">
        <f>IF(N142&gt;=0,0,(IF(-N142&lt;=60,O142,0)))</f>
        <v>0</v>
      </c>
      <c r="S142" s="40">
        <f>IF(N142&gt;=0,0,(IF(N142&gt;=-60,0,IF(-60&gt;=N142,IF(N142&gt;=-120,O142,0)))))</f>
        <v>0</v>
      </c>
      <c r="T142" s="40">
        <f>IF(N142&gt;=0,0,(IF(N142&gt;-60,0,IF(-60&gt;=N142,IF(N142&gt;=-120,0,IF(N142&gt;=-180,O142,0))))))</f>
        <v>0</v>
      </c>
      <c r="U142" s="40">
        <f>IF(N142&gt;=0,0,(IF(N142&gt;-60,0,IF(-60&gt;=N142,IF(N142&gt;-120,0,IF(N142&gt;=-180,0,IF(N142&gt;=-365,O142,0)))))))</f>
        <v>0</v>
      </c>
      <c r="V142" s="40">
        <f>IF(N142&gt;=0,0,IF(365&lt;-N142,O142,0))</f>
        <v>0</v>
      </c>
    </row>
    <row r="143" spans="1:22" s="99" customFormat="1" ht="19.5" customHeight="1">
      <c r="A143" s="104"/>
      <c r="B143" s="105"/>
      <c r="C143" s="106"/>
      <c r="D143" s="107"/>
      <c r="E143" s="108">
        <f t="shared" ref="E143:K143" si="86">SUM(E142:E142)</f>
        <v>101608.29166666667</v>
      </c>
      <c r="F143" s="108">
        <f t="shared" si="86"/>
        <v>0</v>
      </c>
      <c r="G143" s="108">
        <f t="shared" si="86"/>
        <v>0</v>
      </c>
      <c r="H143" s="108">
        <f t="shared" si="86"/>
        <v>0</v>
      </c>
      <c r="I143" s="108">
        <f t="shared" si="86"/>
        <v>101608.29166666667</v>
      </c>
      <c r="J143" s="113">
        <f t="shared" si="86"/>
        <v>121929.95000000001</v>
      </c>
      <c r="K143" s="113">
        <f t="shared" si="86"/>
        <v>121929.95000000001</v>
      </c>
      <c r="L143" s="109"/>
      <c r="M143" s="109"/>
      <c r="N143" s="110"/>
      <c r="O143" s="108">
        <f>SUM(O142)</f>
        <v>0</v>
      </c>
      <c r="P143" s="108" t="e">
        <f>SUM(P142)</f>
        <v>#REF!</v>
      </c>
      <c r="Q143" s="111"/>
      <c r="R143" s="112">
        <f>SUM(R142)</f>
        <v>0</v>
      </c>
      <c r="S143" s="112">
        <f>SUM(S142)</f>
        <v>0</v>
      </c>
      <c r="T143" s="112">
        <f>SUM(T142)</f>
        <v>0</v>
      </c>
      <c r="U143" s="112">
        <f>SUM(U142)</f>
        <v>0</v>
      </c>
      <c r="V143" s="112">
        <f>SUM(V142)</f>
        <v>0</v>
      </c>
    </row>
    <row r="144" spans="1:22" ht="19.5" customHeight="1">
      <c r="A144" s="41" t="s">
        <v>151</v>
      </c>
      <c r="B144" s="41"/>
      <c r="C144" s="43"/>
      <c r="D144" s="44"/>
      <c r="E144" s="36">
        <f>28840/1.2</f>
        <v>24033.333333333336</v>
      </c>
      <c r="F144" s="36">
        <f>-E144*$F$10</f>
        <v>0</v>
      </c>
      <c r="G144" s="36">
        <f>E144*$G$10</f>
        <v>0</v>
      </c>
      <c r="H144" s="36"/>
      <c r="I144" s="36">
        <f>+E144+F144-G144-H144</f>
        <v>24033.333333333336</v>
      </c>
      <c r="J144" s="36">
        <f>+I144+(I144*$I$4)</f>
        <v>28840.000000000004</v>
      </c>
      <c r="K144" s="36">
        <v>28840.000000000004</v>
      </c>
      <c r="L144" s="37"/>
      <c r="M144" s="37"/>
      <c r="N144" s="92">
        <f>-IF(L144=0,,IF(M144=0,($C$10-L144),M144-L144))</f>
        <v>0</v>
      </c>
      <c r="O144" s="36">
        <f>+J144-K144</f>
        <v>0</v>
      </c>
      <c r="P144" s="36" t="e">
        <f>+IF($C$10&lt;L144,0,O144)</f>
        <v>#REF!</v>
      </c>
      <c r="Q144" s="39"/>
      <c r="R144" s="40">
        <f>IF(N144&gt;=0,0,(IF(-N144&lt;=60,O144,0)))</f>
        <v>0</v>
      </c>
      <c r="S144" s="40">
        <f>IF(N144&gt;=0,0,(IF(N144&gt;=-60,0,IF(-60&gt;=N144,IF(N144&gt;=-120,O144,0)))))</f>
        <v>0</v>
      </c>
      <c r="T144" s="40">
        <f>IF(N144&gt;=0,0,(IF(N144&gt;-60,0,IF(-60&gt;=N144,IF(N144&gt;=-120,0,IF(N144&gt;=-180,O144,0))))))</f>
        <v>0</v>
      </c>
      <c r="U144" s="40">
        <f>IF(N144&gt;=0,0,(IF(N144&gt;-60,0,IF(-60&gt;=N144,IF(N144&gt;-120,0,IF(N144&gt;=-180,0,IF(N144&gt;=-365,O144,0)))))))</f>
        <v>0</v>
      </c>
      <c r="V144" s="40">
        <f>IF(N144&gt;=0,0,IF(365&lt;-N144,O144,0))</f>
        <v>0</v>
      </c>
    </row>
    <row r="145" spans="1:22" s="99" customFormat="1" ht="19.5" customHeight="1">
      <c r="A145" s="104"/>
      <c r="B145" s="105"/>
      <c r="C145" s="106"/>
      <c r="D145" s="107"/>
      <c r="E145" s="108">
        <f t="shared" ref="E145:K145" si="87">SUM(E144:E144)</f>
        <v>24033.333333333336</v>
      </c>
      <c r="F145" s="108">
        <f t="shared" si="87"/>
        <v>0</v>
      </c>
      <c r="G145" s="108">
        <f t="shared" si="87"/>
        <v>0</v>
      </c>
      <c r="H145" s="108">
        <f t="shared" si="87"/>
        <v>0</v>
      </c>
      <c r="I145" s="108">
        <f t="shared" si="87"/>
        <v>24033.333333333336</v>
      </c>
      <c r="J145" s="113">
        <f t="shared" si="87"/>
        <v>28840.000000000004</v>
      </c>
      <c r="K145" s="113">
        <f t="shared" si="87"/>
        <v>28840.000000000004</v>
      </c>
      <c r="L145" s="109"/>
      <c r="M145" s="109"/>
      <c r="N145" s="110"/>
      <c r="O145" s="108">
        <f>SUM(O144:O144)</f>
        <v>0</v>
      </c>
      <c r="P145" s="108" t="e">
        <f>SUM(P144:P144)</f>
        <v>#REF!</v>
      </c>
      <c r="Q145" s="111"/>
      <c r="R145" s="112">
        <f>SUM(R144:R144)</f>
        <v>0</v>
      </c>
      <c r="S145" s="112">
        <f>SUM(S144:S144)</f>
        <v>0</v>
      </c>
      <c r="T145" s="112">
        <f>SUM(T144:T144)</f>
        <v>0</v>
      </c>
      <c r="U145" s="112">
        <f>SUM(U144:U144)</f>
        <v>0</v>
      </c>
      <c r="V145" s="112">
        <f>SUM(V144:V144)</f>
        <v>0</v>
      </c>
    </row>
    <row r="146" spans="1:22" ht="19.5" customHeight="1">
      <c r="A146" s="41" t="s">
        <v>125</v>
      </c>
      <c r="B146" s="41"/>
      <c r="C146" s="43"/>
      <c r="D146" s="44"/>
      <c r="E146" s="36">
        <f>422280.43/1.2</f>
        <v>351900.35833333334</v>
      </c>
      <c r="F146" s="36">
        <f>-E146*$F$10</f>
        <v>0</v>
      </c>
      <c r="G146" s="36">
        <f>E146*$G$10</f>
        <v>0</v>
      </c>
      <c r="H146" s="36"/>
      <c r="I146" s="36">
        <f>+E146+F146-G146-H146</f>
        <v>351900.35833333334</v>
      </c>
      <c r="J146" s="36">
        <f>+I146+(I146*$I$4)</f>
        <v>422280.43</v>
      </c>
      <c r="K146" s="36">
        <v>422280.43</v>
      </c>
      <c r="L146" s="37"/>
      <c r="M146" s="37"/>
      <c r="N146" s="92">
        <f>-IF(L146=0,,IF(M146=0,($C$10-L146),M146-L146))</f>
        <v>0</v>
      </c>
      <c r="O146" s="36">
        <f>+J146-K146</f>
        <v>0</v>
      </c>
      <c r="P146" s="36" t="e">
        <f>+IF($C$10&lt;L146,0,O146)</f>
        <v>#REF!</v>
      </c>
      <c r="Q146" s="39"/>
      <c r="R146" s="40">
        <f>IF(N146&gt;=0,0,(IF(-N146&lt;=60,O146,0)))</f>
        <v>0</v>
      </c>
      <c r="S146" s="40">
        <f>IF(N146&gt;=0,0,(IF(N146&gt;=-60,0,IF(-60&gt;=N146,IF(N146&gt;=-120,O146,0)))))</f>
        <v>0</v>
      </c>
      <c r="T146" s="40">
        <f>IF(N146&gt;=0,0,(IF(N146&gt;-60,0,IF(-60&gt;=N146,IF(N146&gt;=-120,0,IF(N146&gt;=-180,O146,0))))))</f>
        <v>0</v>
      </c>
      <c r="U146" s="40">
        <f>IF(N146&gt;=0,0,(IF(N146&gt;-60,0,IF(-60&gt;=N146,IF(N146&gt;-120,0,IF(N146&gt;=-180,0,IF(N146&gt;=-365,O146,0)))))))</f>
        <v>0</v>
      </c>
      <c r="V146" s="40">
        <f>IF(N146&gt;=0,0,IF(365&lt;-N146,O146,0))</f>
        <v>0</v>
      </c>
    </row>
    <row r="147" spans="1:22" s="99" customFormat="1" ht="19.5" customHeight="1">
      <c r="A147" s="104"/>
      <c r="B147" s="105"/>
      <c r="C147" s="106"/>
      <c r="D147" s="107"/>
      <c r="E147" s="108">
        <f t="shared" ref="E147:K147" si="88">SUM(E146:E146)</f>
        <v>351900.35833333334</v>
      </c>
      <c r="F147" s="108">
        <f t="shared" si="88"/>
        <v>0</v>
      </c>
      <c r="G147" s="108">
        <f t="shared" si="88"/>
        <v>0</v>
      </c>
      <c r="H147" s="108">
        <f t="shared" si="88"/>
        <v>0</v>
      </c>
      <c r="I147" s="108">
        <f t="shared" si="88"/>
        <v>351900.35833333334</v>
      </c>
      <c r="J147" s="113">
        <f t="shared" si="88"/>
        <v>422280.43</v>
      </c>
      <c r="K147" s="113">
        <f t="shared" si="88"/>
        <v>422280.43</v>
      </c>
      <c r="L147" s="109"/>
      <c r="M147" s="109"/>
      <c r="N147" s="110"/>
      <c r="O147" s="108">
        <f>SUM(O146:O146)</f>
        <v>0</v>
      </c>
      <c r="P147" s="108" t="e">
        <f>SUM(P146:P146)</f>
        <v>#REF!</v>
      </c>
      <c r="Q147" s="111"/>
      <c r="R147" s="112">
        <f>SUM(R146:R146)</f>
        <v>0</v>
      </c>
      <c r="S147" s="112">
        <f>SUM(S146:S146)</f>
        <v>0</v>
      </c>
      <c r="T147" s="112">
        <f>SUM(T146:T146)</f>
        <v>0</v>
      </c>
      <c r="U147" s="112">
        <f>SUM(U146:U146)</f>
        <v>0</v>
      </c>
      <c r="V147" s="112">
        <f>SUM(V146:V146)</f>
        <v>0</v>
      </c>
    </row>
    <row r="148" spans="1:22" ht="19.5" customHeight="1">
      <c r="A148" s="41" t="s">
        <v>152</v>
      </c>
      <c r="B148" s="41"/>
      <c r="C148" s="43"/>
      <c r="D148" s="44"/>
      <c r="E148" s="36">
        <f>63739.34/1.2</f>
        <v>53116.116666666669</v>
      </c>
      <c r="F148" s="36">
        <f>-E148*$F$10</f>
        <v>0</v>
      </c>
      <c r="G148" s="36">
        <f>E148*$G$10</f>
        <v>0</v>
      </c>
      <c r="H148" s="36"/>
      <c r="I148" s="36">
        <f>+E148+F148-G148-H148</f>
        <v>53116.116666666669</v>
      </c>
      <c r="J148" s="36">
        <f>+I148+(I148*$I$4)</f>
        <v>63739.340000000004</v>
      </c>
      <c r="K148" s="36">
        <v>63739.340000000004</v>
      </c>
      <c r="L148" s="37"/>
      <c r="M148" s="37"/>
      <c r="N148" s="92">
        <f>-IF(L148=0,,IF(M148=0,($C$10-L148),M148-L148))</f>
        <v>0</v>
      </c>
      <c r="O148" s="36">
        <f>+J148-K148</f>
        <v>0</v>
      </c>
      <c r="P148" s="36" t="e">
        <f>+IF($C$10&lt;L148,0,O148)</f>
        <v>#REF!</v>
      </c>
      <c r="Q148" s="39"/>
      <c r="R148" s="40">
        <f>IF(N148&gt;=0,0,(IF(-N148&lt;=60,O148,0)))</f>
        <v>0</v>
      </c>
      <c r="S148" s="40">
        <f>IF(N148&gt;=0,0,(IF(N148&gt;=-60,0,IF(-60&gt;=N148,IF(N148&gt;=-120,O148,0)))))</f>
        <v>0</v>
      </c>
      <c r="T148" s="40">
        <f>IF(N148&gt;=0,0,(IF(N148&gt;-60,0,IF(-60&gt;=N148,IF(N148&gt;=-120,0,IF(N148&gt;=-180,O148,0))))))</f>
        <v>0</v>
      </c>
      <c r="U148" s="40">
        <f>IF(N148&gt;=0,0,(IF(N148&gt;-60,0,IF(-60&gt;=N148,IF(N148&gt;-120,0,IF(N148&gt;=-180,0,IF(N148&gt;=-365,O148,0)))))))</f>
        <v>0</v>
      </c>
      <c r="V148" s="40">
        <f>IF(N148&gt;=0,0,IF(365&lt;-N148,O148,0))</f>
        <v>0</v>
      </c>
    </row>
    <row r="149" spans="1:22" s="99" customFormat="1" ht="19.5" customHeight="1">
      <c r="A149" s="104"/>
      <c r="B149" s="105"/>
      <c r="C149" s="106"/>
      <c r="D149" s="107"/>
      <c r="E149" s="108">
        <f t="shared" ref="E149:K149" si="89">SUM(E148:E148)</f>
        <v>53116.116666666669</v>
      </c>
      <c r="F149" s="108">
        <f t="shared" si="89"/>
        <v>0</v>
      </c>
      <c r="G149" s="108">
        <f t="shared" si="89"/>
        <v>0</v>
      </c>
      <c r="H149" s="108">
        <f t="shared" si="89"/>
        <v>0</v>
      </c>
      <c r="I149" s="108">
        <f t="shared" si="89"/>
        <v>53116.116666666669</v>
      </c>
      <c r="J149" s="113">
        <f t="shared" si="89"/>
        <v>63739.340000000004</v>
      </c>
      <c r="K149" s="113">
        <f t="shared" si="89"/>
        <v>63739.340000000004</v>
      </c>
      <c r="L149" s="109"/>
      <c r="M149" s="109"/>
      <c r="N149" s="110"/>
      <c r="O149" s="108">
        <f>SUM(O148:O148)</f>
        <v>0</v>
      </c>
      <c r="P149" s="108" t="e">
        <f>SUM(P148:P148)</f>
        <v>#REF!</v>
      </c>
      <c r="Q149" s="111"/>
      <c r="R149" s="112">
        <f>SUM(R148:R148)</f>
        <v>0</v>
      </c>
      <c r="S149" s="112">
        <f>SUM(S148:S148)</f>
        <v>0</v>
      </c>
      <c r="T149" s="112">
        <f>SUM(T148:T148)</f>
        <v>0</v>
      </c>
      <c r="U149" s="112">
        <f>SUM(U148:U148)</f>
        <v>0</v>
      </c>
      <c r="V149" s="112">
        <f>SUM(V148:V148)</f>
        <v>0</v>
      </c>
    </row>
    <row r="150" spans="1:22" ht="19.5" customHeight="1">
      <c r="A150" s="41" t="s">
        <v>126</v>
      </c>
      <c r="B150" s="41"/>
      <c r="C150" s="43"/>
      <c r="D150" s="44"/>
      <c r="E150" s="36">
        <f>382325.19/1.2</f>
        <v>318604.32500000001</v>
      </c>
      <c r="F150" s="36">
        <f>-E150*$F$10</f>
        <v>0</v>
      </c>
      <c r="G150" s="36">
        <f>E150*$G$10</f>
        <v>0</v>
      </c>
      <c r="H150" s="36"/>
      <c r="I150" s="36">
        <f>+E150+F150-G150-H150</f>
        <v>318604.32500000001</v>
      </c>
      <c r="J150" s="36">
        <f>+I150+(I150*$I$4)</f>
        <v>382325.19</v>
      </c>
      <c r="K150" s="36">
        <v>382325.19</v>
      </c>
      <c r="L150" s="37"/>
      <c r="M150" s="37"/>
      <c r="N150" s="92">
        <f>-IF(L150=0,,IF(M150=0,($C$10-L150),M150-L150))</f>
        <v>0</v>
      </c>
      <c r="O150" s="36">
        <f>+J150-K150</f>
        <v>0</v>
      </c>
      <c r="P150" s="36" t="e">
        <f>+IF($C$10&lt;L150,0,O150)</f>
        <v>#REF!</v>
      </c>
      <c r="Q150" s="39"/>
      <c r="R150" s="40">
        <f>IF(N150&gt;=0,0,(IF(-N150&lt;=60,O150,0)))</f>
        <v>0</v>
      </c>
      <c r="S150" s="40">
        <f>IF(N150&gt;=0,0,(IF(N150&gt;=-60,0,IF(-60&gt;=N150,IF(N150&gt;=-120,O150,0)))))</f>
        <v>0</v>
      </c>
      <c r="T150" s="40">
        <f>IF(N150&gt;=0,0,(IF(N150&gt;-60,0,IF(-60&gt;=N150,IF(N150&gt;=-120,0,IF(N150&gt;=-180,O150,0))))))</f>
        <v>0</v>
      </c>
      <c r="U150" s="40">
        <f>IF(N150&gt;=0,0,(IF(N150&gt;-60,0,IF(-60&gt;=N150,IF(N150&gt;-120,0,IF(N150&gt;=-180,0,IF(N150&gt;=-365,O150,0)))))))</f>
        <v>0</v>
      </c>
      <c r="V150" s="40">
        <f>IF(N150&gt;=0,0,IF(365&lt;-N150,O150,0))</f>
        <v>0</v>
      </c>
    </row>
    <row r="151" spans="1:22" s="99" customFormat="1" ht="19.5" customHeight="1">
      <c r="A151" s="104"/>
      <c r="B151" s="105"/>
      <c r="C151" s="106"/>
      <c r="D151" s="107"/>
      <c r="E151" s="108">
        <f t="shared" ref="E151:K151" si="90">SUM(E150:E150)</f>
        <v>318604.32500000001</v>
      </c>
      <c r="F151" s="108">
        <f t="shared" si="90"/>
        <v>0</v>
      </c>
      <c r="G151" s="108">
        <f t="shared" si="90"/>
        <v>0</v>
      </c>
      <c r="H151" s="108">
        <f t="shared" si="90"/>
        <v>0</v>
      </c>
      <c r="I151" s="108">
        <f t="shared" si="90"/>
        <v>318604.32500000001</v>
      </c>
      <c r="J151" s="113">
        <f t="shared" si="90"/>
        <v>382325.19</v>
      </c>
      <c r="K151" s="113">
        <f t="shared" si="90"/>
        <v>382325.19</v>
      </c>
      <c r="L151" s="109"/>
      <c r="M151" s="109"/>
      <c r="N151" s="110"/>
      <c r="O151" s="108">
        <f>SUM(O150:O150)</f>
        <v>0</v>
      </c>
      <c r="P151" s="108" t="e">
        <f>SUM(P150:P150)</f>
        <v>#REF!</v>
      </c>
      <c r="Q151" s="111"/>
      <c r="R151" s="112">
        <f>SUM(R150:R150)</f>
        <v>0</v>
      </c>
      <c r="S151" s="112">
        <f>SUM(S150:S150)</f>
        <v>0</v>
      </c>
      <c r="T151" s="112">
        <f>SUM(T150:T150)</f>
        <v>0</v>
      </c>
      <c r="U151" s="112">
        <f>SUM(U150:U150)</f>
        <v>0</v>
      </c>
      <c r="V151" s="112">
        <f>SUM(V150:V150)</f>
        <v>0</v>
      </c>
    </row>
    <row r="152" spans="1:22" ht="19.5" customHeight="1">
      <c r="A152" s="41" t="s">
        <v>160</v>
      </c>
      <c r="B152" s="41"/>
      <c r="C152" s="43"/>
      <c r="D152" s="44"/>
      <c r="E152" s="36">
        <f>2273.81/1.2</f>
        <v>1894.8416666666667</v>
      </c>
      <c r="F152" s="36">
        <f>-E152*$F$10</f>
        <v>0</v>
      </c>
      <c r="G152" s="36">
        <f>E152*$G$10</f>
        <v>0</v>
      </c>
      <c r="H152" s="36"/>
      <c r="I152" s="36">
        <f>+E152+F152-G152-H152</f>
        <v>1894.8416666666667</v>
      </c>
      <c r="J152" s="36">
        <f>+I152+(I152*$I$4)</f>
        <v>2273.81</v>
      </c>
      <c r="K152" s="36">
        <v>2273.81</v>
      </c>
      <c r="L152" s="37"/>
      <c r="M152" s="37"/>
      <c r="N152" s="92">
        <f>-IF(L152=0,,IF(M152=0,($C$10-L152),M152-L152))</f>
        <v>0</v>
      </c>
      <c r="O152" s="36">
        <f>+J152-K152</f>
        <v>0</v>
      </c>
      <c r="P152" s="36" t="e">
        <f>+IF($C$10&lt;L152,0,O152)</f>
        <v>#REF!</v>
      </c>
      <c r="Q152" s="39"/>
      <c r="R152" s="40">
        <f>IF(N152&gt;=0,0,(IF(-N152&lt;=60,O152,0)))</f>
        <v>0</v>
      </c>
      <c r="S152" s="40">
        <f>IF(N152&gt;=0,0,(IF(N152&gt;=-60,0,IF(-60&gt;=N152,IF(N152&gt;=-120,O152,0)))))</f>
        <v>0</v>
      </c>
      <c r="T152" s="40">
        <f>IF(N152&gt;=0,0,(IF(N152&gt;-60,0,IF(-60&gt;=N152,IF(N152&gt;=-120,0,IF(N152&gt;=-180,O152,0))))))</f>
        <v>0</v>
      </c>
      <c r="U152" s="40">
        <f>IF(N152&gt;=0,0,(IF(N152&gt;-60,0,IF(-60&gt;=N152,IF(N152&gt;-120,0,IF(N152&gt;=-180,0,IF(N152&gt;=-365,O152,0)))))))</f>
        <v>0</v>
      </c>
      <c r="V152" s="40">
        <f>IF(N152&gt;=0,0,IF(365&lt;-N152,O152,0))</f>
        <v>0</v>
      </c>
    </row>
    <row r="153" spans="1:22" s="99" customFormat="1" ht="19.5" customHeight="1">
      <c r="A153" s="104"/>
      <c r="B153" s="105"/>
      <c r="C153" s="106"/>
      <c r="D153" s="107"/>
      <c r="E153" s="108">
        <f t="shared" ref="E153:K153" si="91">SUM(E152:E152)</f>
        <v>1894.8416666666667</v>
      </c>
      <c r="F153" s="108">
        <f t="shared" si="91"/>
        <v>0</v>
      </c>
      <c r="G153" s="108">
        <f t="shared" si="91"/>
        <v>0</v>
      </c>
      <c r="H153" s="108">
        <f t="shared" si="91"/>
        <v>0</v>
      </c>
      <c r="I153" s="108">
        <f t="shared" si="91"/>
        <v>1894.8416666666667</v>
      </c>
      <c r="J153" s="113">
        <f t="shared" si="91"/>
        <v>2273.81</v>
      </c>
      <c r="K153" s="113">
        <f t="shared" si="91"/>
        <v>2273.81</v>
      </c>
      <c r="L153" s="109"/>
      <c r="M153" s="109"/>
      <c r="N153" s="110"/>
      <c r="O153" s="108">
        <f>SUM(O152:O152)</f>
        <v>0</v>
      </c>
      <c r="P153" s="108" t="e">
        <f>SUM(P152:P152)</f>
        <v>#REF!</v>
      </c>
      <c r="Q153" s="111"/>
      <c r="R153" s="112">
        <f>SUM(R152:R152)</f>
        <v>0</v>
      </c>
      <c r="S153" s="112">
        <f>SUM(S152:S152)</f>
        <v>0</v>
      </c>
      <c r="T153" s="112">
        <f>SUM(T152:T152)</f>
        <v>0</v>
      </c>
      <c r="U153" s="112">
        <f>SUM(U152:U152)</f>
        <v>0</v>
      </c>
      <c r="V153" s="112">
        <f>SUM(V152:V152)</f>
        <v>0</v>
      </c>
    </row>
    <row r="154" spans="1:22" ht="19.5" customHeight="1">
      <c r="A154" s="41" t="s">
        <v>134</v>
      </c>
      <c r="B154" s="41"/>
      <c r="C154" s="43"/>
      <c r="D154" s="44"/>
      <c r="E154" s="36">
        <f>120931.33/1.2</f>
        <v>100776.10833333334</v>
      </c>
      <c r="F154" s="36">
        <f>-E154*$F$10</f>
        <v>0</v>
      </c>
      <c r="G154" s="36">
        <f>E154*$G$10</f>
        <v>0</v>
      </c>
      <c r="H154" s="36"/>
      <c r="I154" s="36">
        <f>+E154+F154-G154-H154</f>
        <v>100776.10833333334</v>
      </c>
      <c r="J154" s="36">
        <f>+I154+(I154*$I$4)</f>
        <v>120931.33</v>
      </c>
      <c r="K154" s="36">
        <v>120931.33</v>
      </c>
      <c r="L154" s="37"/>
      <c r="M154" s="116"/>
      <c r="N154" s="92">
        <f>-IF(L154=0,,IF(M154=0,($C$10-L154),M154-L154))</f>
        <v>0</v>
      </c>
      <c r="O154" s="36">
        <f>+J154-K154</f>
        <v>0</v>
      </c>
      <c r="P154" s="36" t="e">
        <f>+IF($C$10&lt;L154,0,O154)</f>
        <v>#REF!</v>
      </c>
      <c r="Q154" s="39"/>
      <c r="R154" s="40">
        <f>IF(N154&gt;=0,0,(IF(-N154&lt;=60,O154,0)))</f>
        <v>0</v>
      </c>
      <c r="S154" s="40">
        <f>IF(N154&gt;=0,0,(IF(N154&gt;=-60,0,IF(-60&gt;=N154,IF(N154&gt;=-120,O154,0)))))</f>
        <v>0</v>
      </c>
      <c r="T154" s="40">
        <f>IF(N154&gt;=0,0,(IF(N154&gt;-60,0,IF(-60&gt;=N154,IF(N154&gt;=-120,0,IF(N154&gt;=-180,O154,0))))))</f>
        <v>0</v>
      </c>
      <c r="U154" s="40">
        <f>IF(N154&gt;=0,0,(IF(N154&gt;-60,0,IF(-60&gt;=N154,IF(N154&gt;-120,0,IF(N154&gt;=-180,0,IF(N154&gt;=-365,O154,0)))))))</f>
        <v>0</v>
      </c>
      <c r="V154" s="40">
        <f>IF(N154&gt;=0,0,IF(365&lt;-N154,O154,0))</f>
        <v>0</v>
      </c>
    </row>
    <row r="155" spans="1:22" s="99" customFormat="1" ht="19.5" customHeight="1">
      <c r="A155" s="104"/>
      <c r="B155" s="104"/>
      <c r="C155" s="106"/>
      <c r="D155" s="107"/>
      <c r="E155" s="108">
        <f t="shared" ref="E155:K155" si="92">SUM(E154:E154)</f>
        <v>100776.10833333334</v>
      </c>
      <c r="F155" s="108">
        <f t="shared" si="92"/>
        <v>0</v>
      </c>
      <c r="G155" s="108">
        <f t="shared" si="92"/>
        <v>0</v>
      </c>
      <c r="H155" s="108">
        <f t="shared" si="92"/>
        <v>0</v>
      </c>
      <c r="I155" s="108">
        <f t="shared" si="92"/>
        <v>100776.10833333334</v>
      </c>
      <c r="J155" s="113">
        <f t="shared" si="92"/>
        <v>120931.33</v>
      </c>
      <c r="K155" s="113">
        <f t="shared" si="92"/>
        <v>120931.33</v>
      </c>
      <c r="L155" s="109"/>
      <c r="M155" s="119"/>
      <c r="N155" s="110"/>
      <c r="O155" s="108">
        <f>SUM(O154:O154)</f>
        <v>0</v>
      </c>
      <c r="P155" s="108" t="e">
        <f>SUM(P154:P154)</f>
        <v>#REF!</v>
      </c>
      <c r="Q155" s="111"/>
      <c r="R155" s="112">
        <f>SUM(R154:R154)</f>
        <v>0</v>
      </c>
      <c r="S155" s="112">
        <f>SUM(S154:S154)</f>
        <v>0</v>
      </c>
      <c r="T155" s="112">
        <f>SUM(T154:T154)</f>
        <v>0</v>
      </c>
      <c r="U155" s="112">
        <f>SUM(U154:U154)</f>
        <v>0</v>
      </c>
      <c r="V155" s="112">
        <f>SUM(V154:V154)</f>
        <v>0</v>
      </c>
    </row>
    <row r="156" spans="1:22" ht="19.5" customHeight="1">
      <c r="A156" s="41" t="s">
        <v>135</v>
      </c>
      <c r="B156" s="41"/>
      <c r="C156" s="43"/>
      <c r="D156" s="44"/>
      <c r="E156" s="36">
        <f>124293.63/1.2</f>
        <v>103578.02500000001</v>
      </c>
      <c r="F156" s="36">
        <f t="shared" ref="F156" si="93">-E156*$F$10</f>
        <v>0</v>
      </c>
      <c r="G156" s="36">
        <f t="shared" ref="G156" si="94">E156*$G$10</f>
        <v>0</v>
      </c>
      <c r="H156" s="36"/>
      <c r="I156" s="36">
        <f t="shared" ref="I156" si="95">+E156+F156-G156-H156</f>
        <v>103578.02500000001</v>
      </c>
      <c r="J156" s="36">
        <f t="shared" ref="J156" si="96">+I156+(I156*$I$4)</f>
        <v>124293.63</v>
      </c>
      <c r="K156" s="36">
        <v>124293.63</v>
      </c>
      <c r="L156" s="37"/>
      <c r="M156" s="37"/>
      <c r="N156" s="92">
        <f t="shared" ref="N156" si="97">-IF(L156=0,,IF(M156=0,($C$10-L156),M156-L156))</f>
        <v>0</v>
      </c>
      <c r="O156" s="36">
        <f t="shared" ref="O156" si="98">+J156-K156</f>
        <v>0</v>
      </c>
      <c r="P156" s="36" t="e">
        <f t="shared" ref="P156" si="99">+IF($C$10&lt;L156,0,O156)</f>
        <v>#REF!</v>
      </c>
      <c r="Q156" s="39"/>
      <c r="R156" s="40">
        <f t="shared" ref="R156" si="100">IF(N156&gt;=0,0,(IF(-N156&lt;=60,O156,0)))</f>
        <v>0</v>
      </c>
      <c r="S156" s="40">
        <f t="shared" ref="S156" si="101">IF(N156&gt;=0,0,(IF(N156&gt;=-60,0,IF(-60&gt;=N156,IF(N156&gt;=-120,O156,0)))))</f>
        <v>0</v>
      </c>
      <c r="T156" s="40">
        <f t="shared" ref="T156" si="102">IF(N156&gt;=0,0,(IF(N156&gt;-60,0,IF(-60&gt;=N156,IF(N156&gt;=-120,0,IF(N156&gt;=-180,O156,0))))))</f>
        <v>0</v>
      </c>
      <c r="U156" s="40">
        <f t="shared" ref="U156" si="103">IF(N156&gt;=0,0,(IF(N156&gt;-60,0,IF(-60&gt;=N156,IF(N156&gt;-120,0,IF(N156&gt;=-180,0,IF(N156&gt;=-365,O156,0)))))))</f>
        <v>0</v>
      </c>
      <c r="V156" s="40">
        <f t="shared" ref="V156" si="104">IF(N156&gt;=0,0,IF(365&lt;-N156,O156,0))</f>
        <v>0</v>
      </c>
    </row>
    <row r="157" spans="1:22" s="99" customFormat="1" ht="19.5" customHeight="1">
      <c r="A157" s="104"/>
      <c r="B157" s="105"/>
      <c r="C157" s="106"/>
      <c r="D157" s="107"/>
      <c r="E157" s="108">
        <f t="shared" ref="E157:K157" si="105">SUM(E156:E156)</f>
        <v>103578.02500000001</v>
      </c>
      <c r="F157" s="108">
        <f t="shared" si="105"/>
        <v>0</v>
      </c>
      <c r="G157" s="108">
        <f t="shared" si="105"/>
        <v>0</v>
      </c>
      <c r="H157" s="108">
        <f t="shared" si="105"/>
        <v>0</v>
      </c>
      <c r="I157" s="108">
        <f t="shared" si="105"/>
        <v>103578.02500000001</v>
      </c>
      <c r="J157" s="113">
        <f t="shared" si="105"/>
        <v>124293.63</v>
      </c>
      <c r="K157" s="113">
        <f t="shared" si="105"/>
        <v>124293.63</v>
      </c>
      <c r="L157" s="109"/>
      <c r="M157" s="109"/>
      <c r="N157" s="110"/>
      <c r="O157" s="108">
        <f>SUM(O156:O156)</f>
        <v>0</v>
      </c>
      <c r="P157" s="108" t="e">
        <f>SUM(P156:P156)</f>
        <v>#REF!</v>
      </c>
      <c r="Q157" s="111"/>
      <c r="R157" s="112">
        <f>SUM(R156:R156)</f>
        <v>0</v>
      </c>
      <c r="S157" s="112">
        <f>SUM(S156:S156)</f>
        <v>0</v>
      </c>
      <c r="T157" s="112">
        <f>SUM(T156:T156)</f>
        <v>0</v>
      </c>
      <c r="U157" s="112">
        <f>SUM(U156:U156)</f>
        <v>0</v>
      </c>
      <c r="V157" s="112">
        <f>SUM(V156:V156)</f>
        <v>0</v>
      </c>
    </row>
    <row r="158" spans="1:22" ht="19.5" customHeight="1">
      <c r="A158" s="41" t="s">
        <v>153</v>
      </c>
      <c r="B158" s="41"/>
      <c r="C158" s="43"/>
      <c r="D158" s="44"/>
      <c r="E158" s="36">
        <f>261129.3/1.2</f>
        <v>217607.75</v>
      </c>
      <c r="F158" s="36">
        <f>-E158*$F$10</f>
        <v>0</v>
      </c>
      <c r="G158" s="36">
        <f>E158*$G$10</f>
        <v>0</v>
      </c>
      <c r="H158" s="36"/>
      <c r="I158" s="36">
        <f>+E158+F158-G158-H158</f>
        <v>217607.75</v>
      </c>
      <c r="J158" s="36">
        <f>+I158+(I158*$I$4)</f>
        <v>261129.3</v>
      </c>
      <c r="K158" s="36">
        <v>261129.3</v>
      </c>
      <c r="L158" s="37"/>
      <c r="M158" s="37"/>
      <c r="N158" s="92">
        <f>-IF(L158=0,,IF(M158=0,($C$10-L158),M158-L158))</f>
        <v>0</v>
      </c>
      <c r="O158" s="36">
        <f>+J158-K158</f>
        <v>0</v>
      </c>
      <c r="P158" s="36" t="e">
        <f>+IF($C$10&lt;L158,0,O158)</f>
        <v>#REF!</v>
      </c>
      <c r="Q158" s="39"/>
      <c r="R158" s="40">
        <f>IF(N158&gt;=0,0,(IF(-N158&lt;=60,O158,0)))</f>
        <v>0</v>
      </c>
      <c r="S158" s="40">
        <f>IF(N158&gt;=0,0,(IF(N158&gt;=-60,0,IF(-60&gt;=N158,IF(N158&gt;=-120,O158,0)))))</f>
        <v>0</v>
      </c>
      <c r="T158" s="40">
        <f>IF(N158&gt;=0,0,(IF(N158&gt;-60,0,IF(-60&gt;=N158,IF(N158&gt;=-120,0,IF(N158&gt;=-180,O158,0))))))</f>
        <v>0</v>
      </c>
      <c r="U158" s="40">
        <f>IF(N158&gt;=0,0,(IF(N158&gt;-60,0,IF(-60&gt;=N158,IF(N158&gt;-120,0,IF(N158&gt;=-180,0,IF(N158&gt;=-365,O158,0)))))))</f>
        <v>0</v>
      </c>
      <c r="V158" s="40">
        <f>IF(N158&gt;=0,0,IF(365&lt;-N158,O158,0))</f>
        <v>0</v>
      </c>
    </row>
    <row r="159" spans="1:22" s="99" customFormat="1" ht="19.5" customHeight="1">
      <c r="A159" s="104"/>
      <c r="B159" s="105"/>
      <c r="C159" s="106"/>
      <c r="D159" s="107"/>
      <c r="E159" s="108">
        <f t="shared" ref="E159:K159" si="106">SUM(E158:E158)</f>
        <v>217607.75</v>
      </c>
      <c r="F159" s="108">
        <f t="shared" si="106"/>
        <v>0</v>
      </c>
      <c r="G159" s="108">
        <f t="shared" si="106"/>
        <v>0</v>
      </c>
      <c r="H159" s="108">
        <f t="shared" si="106"/>
        <v>0</v>
      </c>
      <c r="I159" s="108">
        <f t="shared" si="106"/>
        <v>217607.75</v>
      </c>
      <c r="J159" s="113">
        <f t="shared" si="106"/>
        <v>261129.3</v>
      </c>
      <c r="K159" s="113">
        <f t="shared" si="106"/>
        <v>261129.3</v>
      </c>
      <c r="L159" s="109"/>
      <c r="M159" s="109"/>
      <c r="N159" s="110"/>
      <c r="O159" s="108">
        <f>SUM(O158:O158)</f>
        <v>0</v>
      </c>
      <c r="P159" s="108" t="e">
        <f>SUM(P158:P158)</f>
        <v>#REF!</v>
      </c>
      <c r="Q159" s="111"/>
      <c r="R159" s="112">
        <f>SUM(R158:R158)</f>
        <v>0</v>
      </c>
      <c r="S159" s="112">
        <f>SUM(S158:S158)</f>
        <v>0</v>
      </c>
      <c r="T159" s="112">
        <f>SUM(T158:T158)</f>
        <v>0</v>
      </c>
      <c r="U159" s="112">
        <f>SUM(U158:U158)</f>
        <v>0</v>
      </c>
      <c r="V159" s="112">
        <f>SUM(V158:V158)</f>
        <v>0</v>
      </c>
    </row>
    <row r="160" spans="1:22" ht="19.5" customHeight="1">
      <c r="A160" s="41" t="s">
        <v>141</v>
      </c>
      <c r="B160" s="41"/>
      <c r="C160" s="43"/>
      <c r="D160" s="44"/>
      <c r="E160" s="36">
        <f>867889.03/1.2</f>
        <v>723240.8583333334</v>
      </c>
      <c r="F160" s="36">
        <f>-E160*$F$10</f>
        <v>0</v>
      </c>
      <c r="G160" s="36">
        <f>E160*$G$10</f>
        <v>0</v>
      </c>
      <c r="H160" s="36"/>
      <c r="I160" s="36">
        <f>+E160+F160-G160-H160</f>
        <v>723240.8583333334</v>
      </c>
      <c r="J160" s="36">
        <f>+I160+(I160*$I$4)</f>
        <v>867889.03</v>
      </c>
      <c r="K160" s="36">
        <v>867889.03</v>
      </c>
      <c r="L160" s="37"/>
      <c r="M160" s="37"/>
      <c r="N160" s="92">
        <f>-IF(L160=0,,IF(M160=0,($C$10-L160),M160-L160))</f>
        <v>0</v>
      </c>
      <c r="O160" s="36">
        <f>+J160-K160</f>
        <v>0</v>
      </c>
      <c r="P160" s="36" t="e">
        <f>+IF($C$10&lt;L160,0,O160)</f>
        <v>#REF!</v>
      </c>
      <c r="Q160" s="39"/>
      <c r="R160" s="40">
        <f>IF(N160&gt;=0,0,(IF(-N160&lt;=60,O160,0)))</f>
        <v>0</v>
      </c>
      <c r="S160" s="40">
        <f>IF(N160&gt;=0,0,(IF(N160&gt;=-60,0,IF(-60&gt;=N160,IF(N160&gt;=-120,O160,0)))))</f>
        <v>0</v>
      </c>
      <c r="T160" s="40">
        <f>IF(N160&gt;=0,0,(IF(N160&gt;-60,0,IF(-60&gt;=N160,IF(N160&gt;=-120,0,IF(N160&gt;=-180,O160,0))))))</f>
        <v>0</v>
      </c>
      <c r="U160" s="40">
        <f>IF(N160&gt;=0,0,(IF(N160&gt;-60,0,IF(-60&gt;=N160,IF(N160&gt;-120,0,IF(N160&gt;=-180,0,IF(N160&gt;=-365,O160,0)))))))</f>
        <v>0</v>
      </c>
      <c r="V160" s="40">
        <f>IF(N160&gt;=0,0,IF(365&lt;-N160,O160,0))</f>
        <v>0</v>
      </c>
    </row>
    <row r="161" spans="1:22" s="99" customFormat="1" ht="19.5" customHeight="1">
      <c r="A161" s="104"/>
      <c r="B161" s="104"/>
      <c r="C161" s="106"/>
      <c r="D161" s="107"/>
      <c r="E161" s="108">
        <f t="shared" ref="E161:K161" si="107">SUM(E160:E160)</f>
        <v>723240.8583333334</v>
      </c>
      <c r="F161" s="108">
        <f t="shared" si="107"/>
        <v>0</v>
      </c>
      <c r="G161" s="108">
        <f t="shared" si="107"/>
        <v>0</v>
      </c>
      <c r="H161" s="108">
        <f t="shared" si="107"/>
        <v>0</v>
      </c>
      <c r="I161" s="108">
        <f t="shared" si="107"/>
        <v>723240.8583333334</v>
      </c>
      <c r="J161" s="113">
        <f t="shared" si="107"/>
        <v>867889.03</v>
      </c>
      <c r="K161" s="113">
        <f t="shared" si="107"/>
        <v>867889.03</v>
      </c>
      <c r="L161" s="109"/>
      <c r="M161" s="109"/>
      <c r="N161" s="110"/>
      <c r="O161" s="108">
        <f>SUM(O160:O160)</f>
        <v>0</v>
      </c>
      <c r="P161" s="108" t="e">
        <f>SUM(P160:P160)</f>
        <v>#REF!</v>
      </c>
      <c r="Q161" s="111"/>
      <c r="R161" s="112">
        <f>SUM(R160:R160)</f>
        <v>0</v>
      </c>
      <c r="S161" s="112">
        <f>SUM(S160:S160)</f>
        <v>0</v>
      </c>
      <c r="T161" s="112">
        <f>SUM(T160:T160)</f>
        <v>0</v>
      </c>
      <c r="U161" s="112">
        <f>SUM(U160:U160)</f>
        <v>0</v>
      </c>
      <c r="V161" s="112">
        <f>SUM(V160:V160)</f>
        <v>0</v>
      </c>
    </row>
    <row r="162" spans="1:22" ht="19.5" customHeight="1">
      <c r="A162" s="41" t="s">
        <v>130</v>
      </c>
      <c r="B162" s="41"/>
      <c r="C162" s="43"/>
      <c r="D162" s="44"/>
      <c r="E162" s="36">
        <f>178986.71/1.2</f>
        <v>149155.59166666667</v>
      </c>
      <c r="F162" s="36">
        <f>-E162*$F$10</f>
        <v>0</v>
      </c>
      <c r="G162" s="36">
        <f>E162*$G$10</f>
        <v>0</v>
      </c>
      <c r="H162" s="36"/>
      <c r="I162" s="36">
        <f>+E162+F162-G162-H162</f>
        <v>149155.59166666667</v>
      </c>
      <c r="J162" s="36">
        <f>+I162+(I162*$I$4)</f>
        <v>178986.71000000002</v>
      </c>
      <c r="K162" s="36">
        <v>178986.71000000002</v>
      </c>
      <c r="L162" s="37"/>
      <c r="M162" s="116"/>
      <c r="N162" s="92">
        <f>-IF(L162=0,,IF(M162=0,($C$10-L162),M162-L162))</f>
        <v>0</v>
      </c>
      <c r="O162" s="36">
        <f>+J162-K162</f>
        <v>0</v>
      </c>
      <c r="P162" s="36" t="e">
        <f>+IF($C$10&lt;L162,0,O162)</f>
        <v>#REF!</v>
      </c>
      <c r="Q162" s="39"/>
      <c r="R162" s="40">
        <f>IF(N162&gt;=0,0,(IF(-N162&lt;=60,O162,0)))</f>
        <v>0</v>
      </c>
      <c r="S162" s="40">
        <f>IF(N162&gt;=0,0,(IF(N162&gt;=-60,0,IF(-60&gt;=N162,IF(N162&gt;=-120,O162,0)))))</f>
        <v>0</v>
      </c>
      <c r="T162" s="40">
        <f>IF(N162&gt;=0,0,(IF(N162&gt;-60,0,IF(-60&gt;=N162,IF(N162&gt;=-120,0,IF(N162&gt;=-180,O162,0))))))</f>
        <v>0</v>
      </c>
      <c r="U162" s="40">
        <f>IF(N162&gt;=0,0,(IF(N162&gt;-60,0,IF(-60&gt;=N162,IF(N162&gt;-120,0,IF(N162&gt;=-180,0,IF(N162&gt;=-365,O162,0)))))))</f>
        <v>0</v>
      </c>
      <c r="V162" s="40">
        <f>IF(N162&gt;=0,0,IF(365&lt;-N162,O162,0))</f>
        <v>0</v>
      </c>
    </row>
    <row r="163" spans="1:22" s="99" customFormat="1" ht="19.5" customHeight="1">
      <c r="A163" s="104"/>
      <c r="B163" s="104"/>
      <c r="C163" s="106"/>
      <c r="D163" s="107"/>
      <c r="E163" s="108">
        <f t="shared" ref="E163:K163" si="108">SUM(E162:E162)</f>
        <v>149155.59166666667</v>
      </c>
      <c r="F163" s="108">
        <f t="shared" si="108"/>
        <v>0</v>
      </c>
      <c r="G163" s="108">
        <f t="shared" si="108"/>
        <v>0</v>
      </c>
      <c r="H163" s="108">
        <f t="shared" si="108"/>
        <v>0</v>
      </c>
      <c r="I163" s="108">
        <f t="shared" si="108"/>
        <v>149155.59166666667</v>
      </c>
      <c r="J163" s="113">
        <f t="shared" si="108"/>
        <v>178986.71000000002</v>
      </c>
      <c r="K163" s="113">
        <f t="shared" si="108"/>
        <v>178986.71000000002</v>
      </c>
      <c r="L163" s="109"/>
      <c r="M163" s="109"/>
      <c r="N163" s="110"/>
      <c r="O163" s="108">
        <f>SUM(O162:O162)</f>
        <v>0</v>
      </c>
      <c r="P163" s="108" t="e">
        <f>SUM(P162:P162)</f>
        <v>#REF!</v>
      </c>
      <c r="Q163" s="111"/>
      <c r="R163" s="112">
        <f>SUM(R162:R162)</f>
        <v>0</v>
      </c>
      <c r="S163" s="112">
        <f>SUM(S162:S162)</f>
        <v>0</v>
      </c>
      <c r="T163" s="112">
        <f>SUM(T162:T162)</f>
        <v>0</v>
      </c>
      <c r="U163" s="112">
        <f>SUM(U162:U162)</f>
        <v>0</v>
      </c>
      <c r="V163" s="112">
        <f>SUM(V162:V162)</f>
        <v>0</v>
      </c>
    </row>
    <row r="164" spans="1:22" ht="19.5" customHeight="1">
      <c r="A164" s="41" t="s">
        <v>68</v>
      </c>
      <c r="B164" s="41"/>
      <c r="C164" s="43"/>
      <c r="D164" s="44"/>
      <c r="E164" s="36">
        <f>702352.3/1.2</f>
        <v>585293.58333333337</v>
      </c>
      <c r="F164" s="36">
        <f>-E164*$F$10</f>
        <v>0</v>
      </c>
      <c r="G164" s="36">
        <f>E164*$G$10</f>
        <v>0</v>
      </c>
      <c r="H164" s="36"/>
      <c r="I164" s="36">
        <f>+E164+F164-G164-H164</f>
        <v>585293.58333333337</v>
      </c>
      <c r="J164" s="36">
        <f>+I164+(I164*$I$4)</f>
        <v>702352.3</v>
      </c>
      <c r="K164" s="36">
        <v>702352.3</v>
      </c>
      <c r="L164" s="37"/>
      <c r="M164" s="116"/>
      <c r="N164" s="92">
        <f>-IF(L164=0,,IF(M164=0,($C$10-L164),M164-L164))</f>
        <v>0</v>
      </c>
      <c r="O164" s="36">
        <f>+J164-K164</f>
        <v>0</v>
      </c>
      <c r="P164" s="36" t="e">
        <f>+IF($C$10&lt;L164,0,O164)</f>
        <v>#REF!</v>
      </c>
      <c r="Q164" s="39"/>
      <c r="R164" s="40">
        <f>IF(N164&gt;=0,0,(IF(-N164&lt;=60,O164,0)))</f>
        <v>0</v>
      </c>
      <c r="S164" s="40">
        <f>IF(N164&gt;=0,0,(IF(N164&gt;=-60,0,IF(-60&gt;=N164,IF(N164&gt;=-120,O164,0)))))</f>
        <v>0</v>
      </c>
      <c r="T164" s="40">
        <f>IF(N164&gt;=0,0,(IF(N164&gt;-60,0,IF(-60&gt;=N164,IF(N164&gt;=-120,0,IF(N164&gt;=-180,O164,0))))))</f>
        <v>0</v>
      </c>
      <c r="U164" s="40">
        <f>IF(N164&gt;=0,0,(IF(N164&gt;-60,0,IF(-60&gt;=N164,IF(N164&gt;-120,0,IF(N164&gt;=-180,0,IF(N164&gt;=-365,O164,0)))))))</f>
        <v>0</v>
      </c>
      <c r="V164" s="40">
        <f>IF(N164&gt;=0,0,IF(365&lt;-N164,O164,0))</f>
        <v>0</v>
      </c>
    </row>
    <row r="165" spans="1:22" s="99" customFormat="1" ht="19.5" customHeight="1">
      <c r="A165" s="104"/>
      <c r="B165" s="104"/>
      <c r="C165" s="106"/>
      <c r="D165" s="107"/>
      <c r="E165" s="108">
        <f t="shared" ref="E165:K165" si="109">SUM(E164:E164)</f>
        <v>585293.58333333337</v>
      </c>
      <c r="F165" s="108">
        <f t="shared" si="109"/>
        <v>0</v>
      </c>
      <c r="G165" s="108">
        <f t="shared" si="109"/>
        <v>0</v>
      </c>
      <c r="H165" s="108">
        <f t="shared" si="109"/>
        <v>0</v>
      </c>
      <c r="I165" s="108">
        <f t="shared" si="109"/>
        <v>585293.58333333337</v>
      </c>
      <c r="J165" s="113">
        <f t="shared" si="109"/>
        <v>702352.3</v>
      </c>
      <c r="K165" s="113">
        <f t="shared" si="109"/>
        <v>702352.3</v>
      </c>
      <c r="L165" s="109"/>
      <c r="M165" s="109"/>
      <c r="N165" s="110"/>
      <c r="O165" s="108">
        <f>SUM(O164:O164)</f>
        <v>0</v>
      </c>
      <c r="P165" s="108" t="e">
        <f>SUM(P164:P164)</f>
        <v>#REF!</v>
      </c>
      <c r="Q165" s="111"/>
      <c r="R165" s="112">
        <f>SUM(R164:R164)</f>
        <v>0</v>
      </c>
      <c r="S165" s="112">
        <f>SUM(S164:S164)</f>
        <v>0</v>
      </c>
      <c r="T165" s="112">
        <f>SUM(T164:T164)</f>
        <v>0</v>
      </c>
      <c r="U165" s="112">
        <f>SUM(U164:U164)</f>
        <v>0</v>
      </c>
      <c r="V165" s="112">
        <f>SUM(V164:V164)</f>
        <v>0</v>
      </c>
    </row>
    <row r="166" spans="1:22" ht="19.5" customHeight="1">
      <c r="A166" s="41" t="s">
        <v>154</v>
      </c>
      <c r="B166" s="41"/>
      <c r="C166" s="43"/>
      <c r="D166" s="44"/>
      <c r="E166" s="36">
        <f>34810/1.2</f>
        <v>29008.333333333336</v>
      </c>
      <c r="F166" s="36">
        <f>-E166*$F$10</f>
        <v>0</v>
      </c>
      <c r="G166" s="36">
        <f>E166*$G$10</f>
        <v>0</v>
      </c>
      <c r="H166" s="36"/>
      <c r="I166" s="36">
        <f>+E166+F166-G166-H166</f>
        <v>29008.333333333336</v>
      </c>
      <c r="J166" s="36">
        <f>+I166+(I166*$I$4)</f>
        <v>34810</v>
      </c>
      <c r="K166" s="36">
        <v>34810</v>
      </c>
      <c r="L166" s="37"/>
      <c r="M166" s="37"/>
      <c r="N166" s="92">
        <f>-IF(L166=0,,IF(M166=0,($C$10-L166),M166-L166))</f>
        <v>0</v>
      </c>
      <c r="O166" s="36">
        <f>+J166-K166</f>
        <v>0</v>
      </c>
      <c r="P166" s="36" t="e">
        <f>+IF($C$10&lt;L166,0,O166)</f>
        <v>#REF!</v>
      </c>
      <c r="Q166" s="39"/>
      <c r="R166" s="40">
        <f>IF(N166&gt;=0,0,(IF(-N166&lt;=60,O166,0)))</f>
        <v>0</v>
      </c>
      <c r="S166" s="40">
        <f>IF(N166&gt;=0,0,(IF(N166&gt;=-60,0,IF(-60&gt;=N166,IF(N166&gt;=-120,O166,0)))))</f>
        <v>0</v>
      </c>
      <c r="T166" s="40">
        <f>IF(N166&gt;=0,0,(IF(N166&gt;-60,0,IF(-60&gt;=N166,IF(N166&gt;=-120,0,IF(N166&gt;=-180,O166,0))))))</f>
        <v>0</v>
      </c>
      <c r="U166" s="40">
        <f>IF(N166&gt;=0,0,(IF(N166&gt;-60,0,IF(-60&gt;=N166,IF(N166&gt;-120,0,IF(N166&gt;=-180,0,IF(N166&gt;=-365,O166,0)))))))</f>
        <v>0</v>
      </c>
      <c r="V166" s="40">
        <f>IF(N166&gt;=0,0,IF(365&lt;-N166,O166,0))</f>
        <v>0</v>
      </c>
    </row>
    <row r="167" spans="1:22" s="99" customFormat="1" ht="19.5" customHeight="1">
      <c r="A167" s="104"/>
      <c r="B167" s="104"/>
      <c r="C167" s="106"/>
      <c r="D167" s="107"/>
      <c r="E167" s="108">
        <f t="shared" ref="E167:K167" si="110">SUM(E166:E166)</f>
        <v>29008.333333333336</v>
      </c>
      <c r="F167" s="108">
        <f t="shared" si="110"/>
        <v>0</v>
      </c>
      <c r="G167" s="108">
        <f t="shared" si="110"/>
        <v>0</v>
      </c>
      <c r="H167" s="108">
        <f t="shared" si="110"/>
        <v>0</v>
      </c>
      <c r="I167" s="108">
        <f t="shared" si="110"/>
        <v>29008.333333333336</v>
      </c>
      <c r="J167" s="113">
        <f t="shared" si="110"/>
        <v>34810</v>
      </c>
      <c r="K167" s="113">
        <f t="shared" si="110"/>
        <v>34810</v>
      </c>
      <c r="L167" s="109"/>
      <c r="M167" s="109"/>
      <c r="N167" s="110"/>
      <c r="O167" s="108">
        <f>SUM(O166:O166)</f>
        <v>0</v>
      </c>
      <c r="P167" s="108" t="e">
        <f>SUM(P166:P166)</f>
        <v>#REF!</v>
      </c>
      <c r="Q167" s="111"/>
      <c r="R167" s="112">
        <f>SUM(R166:R166)</f>
        <v>0</v>
      </c>
      <c r="S167" s="112">
        <f>SUM(S166:S166)</f>
        <v>0</v>
      </c>
      <c r="T167" s="112">
        <f>SUM(T166:T166)</f>
        <v>0</v>
      </c>
      <c r="U167" s="112">
        <f>SUM(U166:U166)</f>
        <v>0</v>
      </c>
      <c r="V167" s="112">
        <f>SUM(V166:V166)</f>
        <v>0</v>
      </c>
    </row>
    <row r="168" spans="1:22" ht="19.5" customHeight="1">
      <c r="A168" s="41" t="s">
        <v>155</v>
      </c>
      <c r="B168" s="41"/>
      <c r="C168" s="43"/>
      <c r="D168" s="44"/>
      <c r="E168" s="36">
        <f>184752.31/1.2</f>
        <v>153960.25833333333</v>
      </c>
      <c r="F168" s="36">
        <f>-E168*$F$10</f>
        <v>0</v>
      </c>
      <c r="G168" s="36">
        <f>E168*$G$10</f>
        <v>0</v>
      </c>
      <c r="H168" s="36"/>
      <c r="I168" s="36">
        <f>+E168+F168-G168-H168</f>
        <v>153960.25833333333</v>
      </c>
      <c r="J168" s="36">
        <f>+I168+(I168*$I$4)</f>
        <v>184752.31</v>
      </c>
      <c r="K168" s="36">
        <f>184752.31+2808.73</f>
        <v>187561.04</v>
      </c>
      <c r="L168" s="37"/>
      <c r="M168" s="116"/>
      <c r="N168" s="92">
        <f>-IF(L168=0,,IF(M168=0,($C$10-L168),M168-L168))</f>
        <v>0</v>
      </c>
      <c r="O168" s="36">
        <f>+J168-K168</f>
        <v>-2808.7300000000105</v>
      </c>
      <c r="P168" s="36" t="e">
        <f>+IF($C$10&lt;L168,0,O168)</f>
        <v>#REF!</v>
      </c>
      <c r="Q168" s="39"/>
      <c r="R168" s="40">
        <f>IF(N168&gt;=0,0,(IF(-N168&lt;=60,O168,0)))</f>
        <v>0</v>
      </c>
      <c r="S168" s="40">
        <f>IF(N168&gt;=0,0,(IF(N168&gt;=-60,0,IF(-60&gt;=N168,IF(N168&gt;=-120,O168,0)))))</f>
        <v>0</v>
      </c>
      <c r="T168" s="40">
        <f>IF(N168&gt;=0,0,(IF(N168&gt;-60,0,IF(-60&gt;=N168,IF(N168&gt;=-120,0,IF(N168&gt;=-180,O168,0))))))</f>
        <v>0</v>
      </c>
      <c r="U168" s="40">
        <f>IF(N168&gt;=0,0,(IF(N168&gt;-60,0,IF(-60&gt;=N168,IF(N168&gt;-120,0,IF(N168&gt;=-180,0,IF(N168&gt;=-365,O168,0)))))))</f>
        <v>0</v>
      </c>
      <c r="V168" s="40">
        <f>IF(O168&gt;=0,0,(IF(O168&gt;-60,0,IF(-60&gt;=O168,IF(O168&gt;-120,0,IF(O168&gt;=-180,0,IF(O168&gt;=-365,P168,0)))))))</f>
        <v>0</v>
      </c>
    </row>
    <row r="169" spans="1:22" s="99" customFormat="1" ht="19.5" customHeight="1">
      <c r="A169" s="104"/>
      <c r="B169" s="104"/>
      <c r="C169" s="106"/>
      <c r="D169" s="107"/>
      <c r="E169" s="108">
        <f t="shared" ref="E169:K169" si="111">SUM(E168:E168)</f>
        <v>153960.25833333333</v>
      </c>
      <c r="F169" s="108">
        <f t="shared" si="111"/>
        <v>0</v>
      </c>
      <c r="G169" s="108">
        <f t="shared" si="111"/>
        <v>0</v>
      </c>
      <c r="H169" s="108">
        <f t="shared" si="111"/>
        <v>0</v>
      </c>
      <c r="I169" s="108">
        <f t="shared" si="111"/>
        <v>153960.25833333333</v>
      </c>
      <c r="J169" s="113">
        <f t="shared" si="111"/>
        <v>184752.31</v>
      </c>
      <c r="K169" s="113">
        <f t="shared" si="111"/>
        <v>187561.04</v>
      </c>
      <c r="L169" s="109"/>
      <c r="M169" s="109"/>
      <c r="N169" s="110"/>
      <c r="O169" s="108">
        <f>SUM(O168:O168)</f>
        <v>-2808.7300000000105</v>
      </c>
      <c r="P169" s="108" t="e">
        <f>SUM(P168:P168)</f>
        <v>#REF!</v>
      </c>
      <c r="Q169" s="111"/>
      <c r="R169" s="112">
        <f>SUM(R168:R168)</f>
        <v>0</v>
      </c>
      <c r="S169" s="112">
        <f>SUM(S168:S168)</f>
        <v>0</v>
      </c>
      <c r="T169" s="112">
        <f>SUM(T168:T168)</f>
        <v>0</v>
      </c>
      <c r="U169" s="112">
        <f>SUM(U168:U168)</f>
        <v>0</v>
      </c>
      <c r="V169" s="112">
        <f>SUM(V168:V168)</f>
        <v>0</v>
      </c>
    </row>
    <row r="170" spans="1:22" ht="19.5" customHeight="1">
      <c r="A170" s="41" t="s">
        <v>142</v>
      </c>
      <c r="B170" s="41"/>
      <c r="C170" s="43"/>
      <c r="D170" s="44"/>
      <c r="E170" s="36">
        <f>4788.64/1.2</f>
        <v>3990.5333333333338</v>
      </c>
      <c r="F170" s="36">
        <f>-E170*$F$10</f>
        <v>0</v>
      </c>
      <c r="G170" s="36">
        <f>E170*$G$10</f>
        <v>0</v>
      </c>
      <c r="H170" s="36"/>
      <c r="I170" s="36">
        <f>+E170+F170-G170-H170</f>
        <v>3990.5333333333338</v>
      </c>
      <c r="J170" s="36">
        <f>+I170+(I170*$I$4)</f>
        <v>4788.6400000000003</v>
      </c>
      <c r="K170" s="36">
        <v>4788.6400000000003</v>
      </c>
      <c r="L170" s="37"/>
      <c r="M170" s="116"/>
      <c r="N170" s="92">
        <f>-IF(L170=0,,IF(M170=0,($C$10-L170),M170-L170))</f>
        <v>0</v>
      </c>
      <c r="O170" s="36">
        <f>+J170-K170</f>
        <v>0</v>
      </c>
      <c r="P170" s="36" t="e">
        <f>+IF($C$10&lt;L170,0,O170)</f>
        <v>#REF!</v>
      </c>
      <c r="Q170" s="39"/>
      <c r="R170" s="40">
        <f>IF(N170&gt;=0,0,(IF(-N170&lt;=60,O170,0)))</f>
        <v>0</v>
      </c>
      <c r="S170" s="40">
        <f>IF(N170&gt;=0,0,(IF(N170&gt;=-60,0,IF(-60&gt;=N170,IF(N170&gt;=-120,O170,0)))))</f>
        <v>0</v>
      </c>
      <c r="T170" s="40">
        <f>IF(N170&gt;=0,0,(IF(N170&gt;-60,0,IF(-60&gt;=N170,IF(N170&gt;=-120,0,IF(N170&gt;=-180,O170,0))))))</f>
        <v>0</v>
      </c>
      <c r="U170" s="40">
        <f>IF(N170&gt;=0,0,(IF(N170&gt;-60,0,IF(-60&gt;=N170,IF(N170&gt;-120,0,IF(N170&gt;=-180,0,IF(N170&gt;=-365,O170,0)))))))</f>
        <v>0</v>
      </c>
      <c r="V170" s="40">
        <f>IF(N170&gt;=0,0,IF(365&lt;-N170,O170,0))</f>
        <v>0</v>
      </c>
    </row>
    <row r="171" spans="1:22" s="99" customFormat="1" ht="19.5" customHeight="1">
      <c r="A171" s="104"/>
      <c r="B171" s="104"/>
      <c r="C171" s="106"/>
      <c r="D171" s="107"/>
      <c r="E171" s="108">
        <f t="shared" ref="E171:K171" si="112">SUM(E170:E170)</f>
        <v>3990.5333333333338</v>
      </c>
      <c r="F171" s="108">
        <f t="shared" si="112"/>
        <v>0</v>
      </c>
      <c r="G171" s="108">
        <f t="shared" si="112"/>
        <v>0</v>
      </c>
      <c r="H171" s="108">
        <f t="shared" si="112"/>
        <v>0</v>
      </c>
      <c r="I171" s="108">
        <f t="shared" si="112"/>
        <v>3990.5333333333338</v>
      </c>
      <c r="J171" s="113">
        <f t="shared" si="112"/>
        <v>4788.6400000000003</v>
      </c>
      <c r="K171" s="113">
        <f t="shared" si="112"/>
        <v>4788.6400000000003</v>
      </c>
      <c r="L171" s="109"/>
      <c r="M171" s="109"/>
      <c r="N171" s="110"/>
      <c r="O171" s="108">
        <f>SUM(O170:O170)</f>
        <v>0</v>
      </c>
      <c r="P171" s="108" t="e">
        <f>SUM(P170:P170)</f>
        <v>#REF!</v>
      </c>
      <c r="Q171" s="111"/>
      <c r="R171" s="112">
        <f>SUM(R170:R170)</f>
        <v>0</v>
      </c>
      <c r="S171" s="112">
        <f>SUM(S170:S170)</f>
        <v>0</v>
      </c>
      <c r="T171" s="112">
        <f>SUM(T170:T170)</f>
        <v>0</v>
      </c>
      <c r="U171" s="112">
        <f>SUM(U170:U170)</f>
        <v>0</v>
      </c>
      <c r="V171" s="112">
        <f>SUM(V170:V170)</f>
        <v>0</v>
      </c>
    </row>
    <row r="172" spans="1:22" ht="19.5" customHeight="1">
      <c r="A172" s="41" t="s">
        <v>144</v>
      </c>
      <c r="B172" s="41"/>
      <c r="C172" s="43"/>
      <c r="D172" s="44"/>
      <c r="E172" s="36">
        <f>1346306.62/1.2</f>
        <v>1121922.1833333336</v>
      </c>
      <c r="F172" s="36">
        <f>-E172*$F$10</f>
        <v>0</v>
      </c>
      <c r="G172" s="36">
        <f>E172*$G$10</f>
        <v>0</v>
      </c>
      <c r="H172" s="36"/>
      <c r="I172" s="36">
        <f>+E172+F172-G172-H172</f>
        <v>1121922.1833333336</v>
      </c>
      <c r="J172" s="36">
        <f>+I172+(I172*$I$4)</f>
        <v>1346306.6200000003</v>
      </c>
      <c r="K172" s="36">
        <v>1346306.6200000003</v>
      </c>
      <c r="L172" s="37"/>
      <c r="M172" s="116"/>
      <c r="N172" s="92">
        <f>-IF(L172=0,,IF(M172=0,($C$10-L172),M172-L172))</f>
        <v>0</v>
      </c>
      <c r="O172" s="36">
        <f>+J172-K172</f>
        <v>0</v>
      </c>
      <c r="P172" s="36" t="e">
        <f>+IF($C$10&lt;L172,0,O172)</f>
        <v>#REF!</v>
      </c>
      <c r="Q172" s="39"/>
      <c r="R172" s="40">
        <f>IF(N172&gt;=0,0,(IF(-N172&lt;=60,O172,0)))</f>
        <v>0</v>
      </c>
      <c r="S172" s="40">
        <f>IF(N172&gt;=0,0,(IF(N172&gt;=-60,0,IF(-60&gt;=N172,IF(N172&gt;=-120,O172,0)))))</f>
        <v>0</v>
      </c>
      <c r="T172" s="40">
        <f>IF(N172&gt;=0,0,(IF(N172&gt;-60,0,IF(-60&gt;=N172,IF(N172&gt;=-120,0,IF(N172&gt;=-180,O172,0))))))</f>
        <v>0</v>
      </c>
      <c r="U172" s="40">
        <f>IF(N172&gt;=0,0,(IF(N172&gt;-60,0,IF(-60&gt;=N172,IF(N172&gt;-120,0,IF(N172&gt;=-180,0,IF(N172&gt;=-365,O172,0)))))))</f>
        <v>0</v>
      </c>
      <c r="V172" s="40">
        <f>IF(N172&gt;=0,0,IF(365&lt;-N172,O172,0))</f>
        <v>0</v>
      </c>
    </row>
    <row r="173" spans="1:22" s="99" customFormat="1" ht="19.5" customHeight="1">
      <c r="A173" s="104"/>
      <c r="B173" s="104"/>
      <c r="C173" s="106"/>
      <c r="D173" s="107"/>
      <c r="E173" s="108">
        <f t="shared" ref="E173:K173" si="113">SUM(E172:E172)</f>
        <v>1121922.1833333336</v>
      </c>
      <c r="F173" s="108">
        <f t="shared" si="113"/>
        <v>0</v>
      </c>
      <c r="G173" s="108">
        <f t="shared" si="113"/>
        <v>0</v>
      </c>
      <c r="H173" s="108">
        <f t="shared" si="113"/>
        <v>0</v>
      </c>
      <c r="I173" s="108">
        <f t="shared" si="113"/>
        <v>1121922.1833333336</v>
      </c>
      <c r="J173" s="113">
        <f t="shared" si="113"/>
        <v>1346306.6200000003</v>
      </c>
      <c r="K173" s="113">
        <f t="shared" si="113"/>
        <v>1346306.6200000003</v>
      </c>
      <c r="L173" s="109"/>
      <c r="M173" s="109"/>
      <c r="N173" s="110"/>
      <c r="O173" s="108">
        <f>SUM(O172:O172)</f>
        <v>0</v>
      </c>
      <c r="P173" s="108" t="e">
        <f>SUM(P172:P172)</f>
        <v>#REF!</v>
      </c>
      <c r="Q173" s="111"/>
      <c r="R173" s="112">
        <f>SUM(R172:R172)</f>
        <v>0</v>
      </c>
      <c r="S173" s="112">
        <f>SUM(S172:S172)</f>
        <v>0</v>
      </c>
      <c r="T173" s="112">
        <f>SUM(T172:T172)</f>
        <v>0</v>
      </c>
      <c r="U173" s="112">
        <f>SUM(U172:U172)</f>
        <v>0</v>
      </c>
      <c r="V173" s="112">
        <f>SUM(V172:V172)</f>
        <v>0</v>
      </c>
    </row>
    <row r="174" spans="1:22" ht="19.5" customHeight="1">
      <c r="A174" s="41" t="s">
        <v>90</v>
      </c>
      <c r="B174" s="41"/>
      <c r="C174" s="43">
        <v>37103</v>
      </c>
      <c r="D174" s="44"/>
      <c r="E174" s="36">
        <f>40061.97/1.2</f>
        <v>33384.975000000006</v>
      </c>
      <c r="F174" s="36">
        <f>-E174*$F$10</f>
        <v>0</v>
      </c>
      <c r="G174" s="36">
        <f>E174*$G$10</f>
        <v>0</v>
      </c>
      <c r="H174" s="36"/>
      <c r="I174" s="36">
        <f>+E174+F174-G174-H174</f>
        <v>33384.975000000006</v>
      </c>
      <c r="J174" s="36">
        <f>+I174+(I174*$I$4)</f>
        <v>40061.970000000008</v>
      </c>
      <c r="K174" s="36">
        <v>40061.970000000008</v>
      </c>
      <c r="L174" s="37"/>
      <c r="M174" s="116"/>
      <c r="N174" s="92">
        <f>-IF(L174=0,,IF(M174=0,($C$10-L174),M174-L174))</f>
        <v>0</v>
      </c>
      <c r="O174" s="36">
        <f>+J174-K174</f>
        <v>0</v>
      </c>
      <c r="P174" s="36" t="e">
        <f>+IF($C$10&lt;L174,0,O174)</f>
        <v>#REF!</v>
      </c>
      <c r="Q174" s="39"/>
      <c r="R174" s="40">
        <f>IF(N174&gt;=0,0,(IF(-N174&lt;=60,O174,0)))</f>
        <v>0</v>
      </c>
      <c r="S174" s="40">
        <f>IF(N174&gt;=0,0,(IF(N174&gt;=-60,0,IF(-60&gt;=N174,IF(N174&gt;=-120,O174,0)))))</f>
        <v>0</v>
      </c>
      <c r="T174" s="40">
        <f>IF(N174&gt;=0,0,(IF(N174&gt;-60,0,IF(-60&gt;=N174,IF(N174&gt;=-120,0,IF(N174&gt;=-180,O174,0))))))</f>
        <v>0</v>
      </c>
      <c r="U174" s="40">
        <f>IF(N174&gt;=0,0,(IF(N174&gt;-60,0,IF(-60&gt;=N174,IF(N174&gt;-120,0,IF(N174&gt;=-180,0,IF(N174&gt;=-365,O174,0)))))))</f>
        <v>0</v>
      </c>
      <c r="V174" s="40">
        <f>IF(N174&gt;=0,0,IF(365&lt;-N174,O174,0))</f>
        <v>0</v>
      </c>
    </row>
    <row r="175" spans="1:22" ht="19.5" customHeight="1">
      <c r="A175" s="41" t="s">
        <v>90</v>
      </c>
      <c r="B175" s="41"/>
      <c r="C175" s="43">
        <v>37134</v>
      </c>
      <c r="D175" s="44"/>
      <c r="E175" s="36">
        <f>45756.9/1.2</f>
        <v>38130.75</v>
      </c>
      <c r="F175" s="36">
        <f t="shared" ref="F175:F177" si="114">-E175*$F$10</f>
        <v>0</v>
      </c>
      <c r="G175" s="36">
        <f t="shared" ref="G175:G177" si="115">E175*$G$10</f>
        <v>0</v>
      </c>
      <c r="H175" s="36"/>
      <c r="I175" s="36">
        <f t="shared" ref="I175:I177" si="116">+E175+F175-G175-H175</f>
        <v>38130.75</v>
      </c>
      <c r="J175" s="36">
        <f t="shared" ref="J175:J177" si="117">+I175+(I175*$I$4)</f>
        <v>45756.9</v>
      </c>
      <c r="K175" s="36">
        <v>45756.9</v>
      </c>
      <c r="L175" s="37"/>
      <c r="M175" s="116"/>
      <c r="N175" s="92">
        <f t="shared" ref="N175:N177" si="118">-IF(L175=0,,IF(M175=0,($C$10-L175),M175-L175))</f>
        <v>0</v>
      </c>
      <c r="O175" s="36">
        <f t="shared" ref="O175:O177" si="119">+J175-K175</f>
        <v>0</v>
      </c>
      <c r="P175" s="36" t="e">
        <f t="shared" ref="P175:P177" si="120">+IF($C$10&lt;L175,0,O175)</f>
        <v>#REF!</v>
      </c>
      <c r="Q175" s="39"/>
      <c r="R175" s="40">
        <f t="shared" ref="R175:R177" si="121">IF(N175&gt;=0,0,(IF(-N175&lt;=60,O175,0)))</f>
        <v>0</v>
      </c>
      <c r="S175" s="40">
        <f t="shared" ref="S175:S177" si="122">IF(N175&gt;=0,0,(IF(N175&gt;=-60,0,IF(-60&gt;=N175,IF(N175&gt;=-120,O175,0)))))</f>
        <v>0</v>
      </c>
      <c r="T175" s="40">
        <f t="shared" ref="T175:T177" si="123">IF(N175&gt;=0,0,(IF(N175&gt;-60,0,IF(-60&gt;=N175,IF(N175&gt;=-120,0,IF(N175&gt;=-180,O175,0))))))</f>
        <v>0</v>
      </c>
      <c r="U175" s="40">
        <f t="shared" ref="U175:U177" si="124">IF(N175&gt;=0,0,(IF(N175&gt;-60,0,IF(-60&gt;=N175,IF(N175&gt;-120,0,IF(N175&gt;=-180,0,IF(N175&gt;=-365,O175,0)))))))</f>
        <v>0</v>
      </c>
      <c r="V175" s="40">
        <f t="shared" ref="V175:V177" si="125">IF(N175&gt;=0,0,IF(365&lt;-N175,O175,0))</f>
        <v>0</v>
      </c>
    </row>
    <row r="176" spans="1:22" ht="19.5" customHeight="1">
      <c r="A176" s="41" t="s">
        <v>90</v>
      </c>
      <c r="B176" s="41"/>
      <c r="C176" s="43">
        <v>37164</v>
      </c>
      <c r="D176" s="44"/>
      <c r="E176" s="36">
        <f>62072.21/1.2</f>
        <v>51726.841666666667</v>
      </c>
      <c r="F176" s="36">
        <f t="shared" si="114"/>
        <v>0</v>
      </c>
      <c r="G176" s="36">
        <f t="shared" ref="G176" si="126">E176*$G$10</f>
        <v>0</v>
      </c>
      <c r="H176" s="36"/>
      <c r="I176" s="36">
        <f t="shared" ref="I176" si="127">+E176+F176-G176-H176</f>
        <v>51726.841666666667</v>
      </c>
      <c r="J176" s="36">
        <f t="shared" si="117"/>
        <v>62072.21</v>
      </c>
      <c r="K176" s="36">
        <v>25721.13</v>
      </c>
      <c r="L176" s="37">
        <v>37266</v>
      </c>
      <c r="M176" s="116">
        <v>37406</v>
      </c>
      <c r="N176" s="92">
        <f t="shared" ref="N176" si="128">-IF(L176=0,,IF(M176=0,($C$10-L176),M176-L176))</f>
        <v>-140</v>
      </c>
      <c r="O176" s="36">
        <f t="shared" ref="O176" si="129">+J176-K176</f>
        <v>36351.08</v>
      </c>
      <c r="P176" s="36" t="e">
        <f t="shared" ref="P176" si="130">+IF($C$10&lt;L176,0,O176)</f>
        <v>#REF!</v>
      </c>
      <c r="Q176" s="39"/>
      <c r="R176" s="40">
        <f t="shared" ref="R176" si="131">IF(N176&gt;=0,0,(IF(-N176&lt;=60,O176,0)))</f>
        <v>0</v>
      </c>
      <c r="S176" s="40">
        <f t="shared" ref="S176" si="132">IF(N176&gt;=0,0,(IF(N176&gt;=-60,0,IF(-60&gt;=N176,IF(N176&gt;=-120,O176,0)))))</f>
        <v>0</v>
      </c>
      <c r="T176" s="40">
        <f t="shared" ref="T176" si="133">IF(N176&gt;=0,0,(IF(N176&gt;-60,0,IF(-60&gt;=N176,IF(N176&gt;=-120,0,IF(N176&gt;=-180,O176,0))))))</f>
        <v>36351.08</v>
      </c>
      <c r="U176" s="40">
        <f t="shared" ref="U176" si="134">IF(N176&gt;=0,0,(IF(N176&gt;-60,0,IF(-60&gt;=N176,IF(N176&gt;-120,0,IF(N176&gt;=-180,0,IF(N176&gt;=-365,O176,0)))))))</f>
        <v>0</v>
      </c>
      <c r="V176" s="40">
        <f t="shared" ref="V176" si="135">IF(N176&gt;=0,0,IF(365&lt;-N176,O176,0))</f>
        <v>0</v>
      </c>
    </row>
    <row r="177" spans="1:24" ht="19.5" customHeight="1">
      <c r="A177" s="41" t="s">
        <v>90</v>
      </c>
      <c r="B177" s="41"/>
      <c r="C177" s="43">
        <v>37195</v>
      </c>
      <c r="D177" s="44"/>
      <c r="E177" s="36">
        <f>70787.27/1.2</f>
        <v>58989.39166666667</v>
      </c>
      <c r="F177" s="36">
        <f t="shared" si="114"/>
        <v>0</v>
      </c>
      <c r="G177" s="36">
        <f t="shared" si="115"/>
        <v>0</v>
      </c>
      <c r="H177" s="36"/>
      <c r="I177" s="36">
        <f t="shared" si="116"/>
        <v>58989.39166666667</v>
      </c>
      <c r="J177" s="36">
        <f t="shared" si="117"/>
        <v>70787.27</v>
      </c>
      <c r="K177" s="36"/>
      <c r="L177" s="37">
        <v>37297</v>
      </c>
      <c r="M177" s="116"/>
      <c r="N177" s="92" t="e">
        <f t="shared" si="118"/>
        <v>#REF!</v>
      </c>
      <c r="O177" s="36">
        <f t="shared" si="119"/>
        <v>70787.27</v>
      </c>
      <c r="P177" s="36" t="e">
        <f t="shared" si="120"/>
        <v>#REF!</v>
      </c>
      <c r="Q177" s="39"/>
      <c r="R177" s="40" t="e">
        <f t="shared" si="121"/>
        <v>#REF!</v>
      </c>
      <c r="S177" s="40" t="e">
        <f t="shared" si="122"/>
        <v>#REF!</v>
      </c>
      <c r="T177" s="40" t="e">
        <f t="shared" si="123"/>
        <v>#REF!</v>
      </c>
      <c r="U177" s="40" t="e">
        <f t="shared" si="124"/>
        <v>#REF!</v>
      </c>
      <c r="V177" s="40" t="e">
        <f t="shared" si="125"/>
        <v>#REF!</v>
      </c>
    </row>
    <row r="178" spans="1:24" s="99" customFormat="1" ht="19.5" customHeight="1">
      <c r="A178" s="104"/>
      <c r="B178" s="104"/>
      <c r="C178" s="106"/>
      <c r="D178" s="107"/>
      <c r="E178" s="108">
        <f>SUM(E174:E177)</f>
        <v>182231.95833333334</v>
      </c>
      <c r="F178" s="108">
        <f t="shared" ref="F178:K178" si="136">SUM(F174:F177)</f>
        <v>0</v>
      </c>
      <c r="G178" s="108">
        <f t="shared" si="136"/>
        <v>0</v>
      </c>
      <c r="H178" s="108">
        <f t="shared" si="136"/>
        <v>0</v>
      </c>
      <c r="I178" s="108">
        <f t="shared" si="136"/>
        <v>182231.95833333334</v>
      </c>
      <c r="J178" s="108">
        <f t="shared" si="136"/>
        <v>218678.35000000003</v>
      </c>
      <c r="K178" s="108">
        <f t="shared" si="136"/>
        <v>111540.00000000001</v>
      </c>
      <c r="L178" s="109"/>
      <c r="M178" s="109"/>
      <c r="N178" s="110"/>
      <c r="O178" s="108">
        <f>SUM(O174:O177)</f>
        <v>107138.35</v>
      </c>
      <c r="P178" s="108" t="e">
        <f>SUM(P174:P177)</f>
        <v>#REF!</v>
      </c>
      <c r="Q178" s="111"/>
      <c r="R178" s="112" t="e">
        <f>SUM(R174:R177)</f>
        <v>#REF!</v>
      </c>
      <c r="S178" s="112" t="e">
        <f t="shared" ref="S178:V178" si="137">SUM(S174:S177)</f>
        <v>#REF!</v>
      </c>
      <c r="T178" s="112" t="e">
        <f t="shared" si="137"/>
        <v>#REF!</v>
      </c>
      <c r="U178" s="112" t="e">
        <f t="shared" si="137"/>
        <v>#REF!</v>
      </c>
      <c r="V178" s="112" t="e">
        <f t="shared" si="137"/>
        <v>#REF!</v>
      </c>
    </row>
    <row r="179" spans="1:24" ht="19.5" customHeight="1">
      <c r="A179" s="41" t="s">
        <v>162</v>
      </c>
      <c r="B179" s="41"/>
      <c r="C179" s="43"/>
      <c r="D179" s="44"/>
      <c r="E179" s="36">
        <f>248191.79/1.2</f>
        <v>206826.49166666667</v>
      </c>
      <c r="F179" s="36">
        <f>-E179*$F$10</f>
        <v>0</v>
      </c>
      <c r="G179" s="36">
        <f>E179*$G$10</f>
        <v>0</v>
      </c>
      <c r="H179" s="36"/>
      <c r="I179" s="36">
        <f>+E179+F179-G179-H179</f>
        <v>206826.49166666667</v>
      </c>
      <c r="J179" s="36">
        <f>+I179+(I179*$I$4)</f>
        <v>248191.79</v>
      </c>
      <c r="K179" s="36">
        <v>248191.79</v>
      </c>
      <c r="L179" s="37"/>
      <c r="M179" s="116"/>
      <c r="N179" s="92">
        <f>-IF(L179=0,,IF(M179=0,($C$10-L179),M179-L179))</f>
        <v>0</v>
      </c>
      <c r="O179" s="36">
        <f>+J179-K179</f>
        <v>0</v>
      </c>
      <c r="P179" s="36" t="e">
        <f>+IF($C$10&lt;L179,0,O179)</f>
        <v>#REF!</v>
      </c>
      <c r="Q179" s="39"/>
      <c r="R179" s="40">
        <f>IF(N179&gt;=0,0,(IF(-N179&lt;=60,O179,0)))</f>
        <v>0</v>
      </c>
      <c r="S179" s="40">
        <f>IF(N179&gt;=0,0,(IF(N179&gt;=-60,0,IF(-60&gt;=N179,IF(N179&gt;=-120,O179,0)))))</f>
        <v>0</v>
      </c>
      <c r="T179" s="40">
        <f>IF(N179&gt;=0,0,(IF(N179&gt;-60,0,IF(-60&gt;=N179,IF(N179&gt;=-120,0,IF(N179&gt;=-180,O179,0))))))</f>
        <v>0</v>
      </c>
      <c r="U179" s="40">
        <f>IF(N179&gt;=0,0,(IF(N179&gt;-60,0,IF(-60&gt;=N179,IF(N179&gt;-120,0,IF(N179&gt;=-180,0,IF(N179&gt;=-365,O179,0)))))))</f>
        <v>0</v>
      </c>
      <c r="V179" s="40">
        <f>IF(N179&gt;=0,0,IF(365&lt;-N179,O179,0))</f>
        <v>0</v>
      </c>
    </row>
    <row r="180" spans="1:24" s="99" customFormat="1" ht="19.5" customHeight="1">
      <c r="A180" s="104"/>
      <c r="B180" s="104"/>
      <c r="C180" s="106"/>
      <c r="D180" s="107"/>
      <c r="E180" s="108">
        <f t="shared" ref="E180:K180" si="138">SUM(E179:E179)</f>
        <v>206826.49166666667</v>
      </c>
      <c r="F180" s="108">
        <f t="shared" si="138"/>
        <v>0</v>
      </c>
      <c r="G180" s="108">
        <f t="shared" si="138"/>
        <v>0</v>
      </c>
      <c r="H180" s="108">
        <f t="shared" si="138"/>
        <v>0</v>
      </c>
      <c r="I180" s="108">
        <f t="shared" si="138"/>
        <v>206826.49166666667</v>
      </c>
      <c r="J180" s="113">
        <f t="shared" si="138"/>
        <v>248191.79</v>
      </c>
      <c r="K180" s="113">
        <f t="shared" si="138"/>
        <v>248191.79</v>
      </c>
      <c r="L180" s="109"/>
      <c r="M180" s="109"/>
      <c r="N180" s="110"/>
      <c r="O180" s="108">
        <f>SUM(O179:O179)</f>
        <v>0</v>
      </c>
      <c r="P180" s="108" t="e">
        <f>SUM(P179:P179)</f>
        <v>#REF!</v>
      </c>
      <c r="Q180" s="111"/>
      <c r="R180" s="112">
        <f>SUM(R179:R179)</f>
        <v>0</v>
      </c>
      <c r="S180" s="112">
        <f>SUM(S179:S179)</f>
        <v>0</v>
      </c>
      <c r="T180" s="112">
        <f>SUM(T179:T179)</f>
        <v>0</v>
      </c>
      <c r="U180" s="112">
        <f>SUM(U179:U179)</f>
        <v>0</v>
      </c>
      <c r="V180" s="112">
        <f>SUM(V179:V179)</f>
        <v>0</v>
      </c>
    </row>
    <row r="181" spans="1:24" ht="19.5" customHeight="1">
      <c r="A181" s="41" t="s">
        <v>68</v>
      </c>
      <c r="B181" s="41"/>
      <c r="C181" s="43"/>
      <c r="D181" s="44"/>
      <c r="E181" s="36">
        <f>274500/1.2</f>
        <v>228750</v>
      </c>
      <c r="F181" s="36">
        <f>-E181*$F$10</f>
        <v>0</v>
      </c>
      <c r="G181" s="36">
        <f>E181*$G$10</f>
        <v>0</v>
      </c>
      <c r="H181" s="36"/>
      <c r="I181" s="36">
        <f>+E181+F181-G181-H181</f>
        <v>228750</v>
      </c>
      <c r="J181" s="36">
        <f>+I181+(I181*$I$4)</f>
        <v>274500</v>
      </c>
      <c r="K181" s="36">
        <v>274500</v>
      </c>
      <c r="L181" s="37"/>
      <c r="M181" s="37"/>
      <c r="N181" s="92">
        <f>-IF(L181=0,,IF(M181=0,($C$10-L181),M181-L181))</f>
        <v>0</v>
      </c>
      <c r="O181" s="36">
        <f>+J181-K181</f>
        <v>0</v>
      </c>
      <c r="P181" s="36" t="e">
        <f>+IF($C$10&lt;L181,0,O181)</f>
        <v>#REF!</v>
      </c>
      <c r="Q181" s="39"/>
      <c r="R181" s="40">
        <f>IF(N181&gt;=0,0,(IF(-N181&lt;=60,O181,0)))</f>
        <v>0</v>
      </c>
      <c r="S181" s="40">
        <f>IF(N181&gt;=0,0,(IF(N181&gt;=-60,0,IF(-60&gt;=N181,IF(N181&gt;=-120,O181,0)))))</f>
        <v>0</v>
      </c>
      <c r="T181" s="40">
        <f>IF(N181&gt;=0,0,(IF(N181&gt;-60,0,IF(-60&gt;=N181,IF(N181&gt;=-120,0,IF(N181&gt;=-180,O181,0))))))</f>
        <v>0</v>
      </c>
      <c r="U181" s="40">
        <f>IF(N181&gt;=0,0,(IF(N181&gt;-60,0,IF(-60&gt;=N181,IF(N181&gt;-120,0,IF(N181&gt;=-180,0,IF(N181&gt;=-365,O181,0)))))))</f>
        <v>0</v>
      </c>
      <c r="V181" s="40">
        <f>IF(N181&gt;=0,0,IF(365&lt;-N181,O181,0))</f>
        <v>0</v>
      </c>
    </row>
    <row r="182" spans="1:24" s="99" customFormat="1" ht="19.5" customHeight="1">
      <c r="A182" s="104"/>
      <c r="B182" s="104"/>
      <c r="C182" s="106"/>
      <c r="D182" s="107"/>
      <c r="E182" s="108">
        <f t="shared" ref="E182:K182" si="139">SUM(E181:E181)</f>
        <v>228750</v>
      </c>
      <c r="F182" s="108">
        <f t="shared" si="139"/>
        <v>0</v>
      </c>
      <c r="G182" s="108">
        <f t="shared" si="139"/>
        <v>0</v>
      </c>
      <c r="H182" s="108">
        <f t="shared" si="139"/>
        <v>0</v>
      </c>
      <c r="I182" s="108">
        <f t="shared" si="139"/>
        <v>228750</v>
      </c>
      <c r="J182" s="113">
        <f t="shared" si="139"/>
        <v>274500</v>
      </c>
      <c r="K182" s="113">
        <f t="shared" si="139"/>
        <v>274500</v>
      </c>
      <c r="L182" s="109"/>
      <c r="M182" s="109"/>
      <c r="N182" s="110"/>
      <c r="O182" s="108">
        <f>SUM(O181:O181)</f>
        <v>0</v>
      </c>
      <c r="P182" s="108" t="e">
        <f>SUM(P181:P181)</f>
        <v>#REF!</v>
      </c>
      <c r="Q182" s="111"/>
      <c r="R182" s="112">
        <f>SUM(R181:R181)</f>
        <v>0</v>
      </c>
      <c r="S182" s="112">
        <f>SUM(S181:S181)</f>
        <v>0</v>
      </c>
      <c r="T182" s="112">
        <f>SUM(T181:T181)</f>
        <v>0</v>
      </c>
      <c r="U182" s="112">
        <f>SUM(U181:U181)</f>
        <v>0</v>
      </c>
      <c r="V182" s="112">
        <f>SUM(V181:V181)</f>
        <v>0</v>
      </c>
    </row>
    <row r="183" spans="1:24" ht="19.5" customHeight="1">
      <c r="A183" s="41" t="s">
        <v>156</v>
      </c>
      <c r="B183" s="41"/>
      <c r="C183" s="43"/>
      <c r="D183" s="44"/>
      <c r="E183" s="36">
        <f>40010.63/1.2</f>
        <v>33342.191666666666</v>
      </c>
      <c r="F183" s="36">
        <f>-E183*$F$10</f>
        <v>0</v>
      </c>
      <c r="G183" s="36">
        <f>E183*$G$10</f>
        <v>0</v>
      </c>
      <c r="H183" s="36"/>
      <c r="I183" s="36">
        <f>+E183+F183-G183-H183</f>
        <v>33342.191666666666</v>
      </c>
      <c r="J183" s="36">
        <f>+I183+(I183*$I$4)</f>
        <v>40010.629999999997</v>
      </c>
      <c r="K183" s="36">
        <v>40010.629999999997</v>
      </c>
      <c r="L183" s="37"/>
      <c r="M183" s="37"/>
      <c r="N183" s="92">
        <f>-IF(L183=0,,IF(M183=0,($C$10-L183),M183-L183))</f>
        <v>0</v>
      </c>
      <c r="O183" s="36">
        <f>+J183-K183</f>
        <v>0</v>
      </c>
      <c r="P183" s="36" t="e">
        <f>+IF($C$10&lt;L183,0,O183)</f>
        <v>#REF!</v>
      </c>
      <c r="Q183" s="39"/>
      <c r="R183" s="40">
        <f>IF(N183&gt;=0,0,(IF(-N183&lt;=60,O183,0)))</f>
        <v>0</v>
      </c>
      <c r="S183" s="40">
        <f>IF(N183&gt;=0,0,(IF(N183&gt;=-60,0,IF(-60&gt;=N183,IF(N183&gt;=-120,O183,0)))))</f>
        <v>0</v>
      </c>
      <c r="T183" s="40">
        <f>IF(N183&gt;=0,0,(IF(N183&gt;-60,0,IF(-60&gt;=N183,IF(N183&gt;=-120,0,IF(N183&gt;=-180,O183,0))))))</f>
        <v>0</v>
      </c>
      <c r="U183" s="40">
        <f>IF(N183&gt;=0,0,(IF(N183&gt;-60,0,IF(-60&gt;=N183,IF(N183&gt;-120,0,IF(N183&gt;=-180,0,IF(N183&gt;=-365,O183,0)))))))</f>
        <v>0</v>
      </c>
      <c r="V183" s="40">
        <f>IF(N183&gt;=0,0,IF(365&lt;-N183,O183,0))</f>
        <v>0</v>
      </c>
    </row>
    <row r="184" spans="1:24" s="99" customFormat="1" ht="19.5" customHeight="1">
      <c r="A184" s="104"/>
      <c r="B184" s="104"/>
      <c r="C184" s="106"/>
      <c r="D184" s="107"/>
      <c r="E184" s="108">
        <f t="shared" ref="E184:K184" si="140">SUM(E183:E183)</f>
        <v>33342.191666666666</v>
      </c>
      <c r="F184" s="108">
        <f t="shared" si="140"/>
        <v>0</v>
      </c>
      <c r="G184" s="108">
        <f t="shared" si="140"/>
        <v>0</v>
      </c>
      <c r="H184" s="108">
        <f t="shared" si="140"/>
        <v>0</v>
      </c>
      <c r="I184" s="108">
        <f t="shared" si="140"/>
        <v>33342.191666666666</v>
      </c>
      <c r="J184" s="113">
        <f t="shared" si="140"/>
        <v>40010.629999999997</v>
      </c>
      <c r="K184" s="113">
        <f t="shared" si="140"/>
        <v>40010.629999999997</v>
      </c>
      <c r="L184" s="109"/>
      <c r="M184" s="109"/>
      <c r="N184" s="110"/>
      <c r="O184" s="108">
        <f>SUM(O183:O183)</f>
        <v>0</v>
      </c>
      <c r="P184" s="108" t="e">
        <f>SUM(P183:P183)</f>
        <v>#REF!</v>
      </c>
      <c r="Q184" s="111"/>
      <c r="R184" s="112">
        <f>SUM(R183:R183)</f>
        <v>0</v>
      </c>
      <c r="S184" s="112">
        <f>SUM(S183:S183)</f>
        <v>0</v>
      </c>
      <c r="T184" s="112">
        <f>SUM(T183:T183)</f>
        <v>0</v>
      </c>
      <c r="U184" s="112">
        <f>SUM(U183:U183)</f>
        <v>0</v>
      </c>
      <c r="V184" s="112">
        <f>SUM(V183:V183)</f>
        <v>0</v>
      </c>
    </row>
    <row r="185" spans="1:24" ht="19.5" customHeight="1">
      <c r="A185" s="41" t="s">
        <v>101</v>
      </c>
      <c r="B185" s="41"/>
      <c r="C185" s="43"/>
      <c r="D185" s="44"/>
      <c r="E185" s="36">
        <f>39966.62/1.2</f>
        <v>33305.51666666667</v>
      </c>
      <c r="F185" s="36">
        <f>-E185*$F$10</f>
        <v>0</v>
      </c>
      <c r="G185" s="36">
        <f>E185*$G$10</f>
        <v>0</v>
      </c>
      <c r="H185" s="36"/>
      <c r="I185" s="36">
        <f>+E185+F185-G185-H185</f>
        <v>33305.51666666667</v>
      </c>
      <c r="J185" s="36">
        <f>+I185+(I185*$I$4)</f>
        <v>39966.620000000003</v>
      </c>
      <c r="K185" s="36">
        <v>39966.620000000003</v>
      </c>
      <c r="L185" s="37"/>
      <c r="M185" s="37"/>
      <c r="N185" s="92">
        <f>-IF(L185=0,,IF(M185=0,($C$10-L185),M185-L185))</f>
        <v>0</v>
      </c>
      <c r="O185" s="36">
        <f>+J185-K185</f>
        <v>0</v>
      </c>
      <c r="P185" s="36" t="e">
        <f>+IF($C$10&lt;L185,0,O185)</f>
        <v>#REF!</v>
      </c>
      <c r="Q185" s="39"/>
      <c r="R185" s="40">
        <f>IF(N185&gt;=0,0,(IF(-N185&lt;=60,O185,0)))</f>
        <v>0</v>
      </c>
      <c r="S185" s="40">
        <f>IF(N185&gt;=0,0,(IF(N185&gt;=-60,0,IF(-60&gt;=N185,IF(N185&gt;=-120,O185,0)))))</f>
        <v>0</v>
      </c>
      <c r="T185" s="40">
        <f>IF(N185&gt;=0,0,(IF(N185&gt;-60,0,IF(-60&gt;=N185,IF(N185&gt;=-120,0,IF(N185&gt;=-180,O185,0))))))</f>
        <v>0</v>
      </c>
      <c r="U185" s="40">
        <f>IF(N185&gt;=0,0,(IF(N185&gt;-60,0,IF(-60&gt;=N185,IF(N185&gt;-120,0,IF(N185&gt;=-180,0,IF(N185&gt;=-365,O185,0)))))))</f>
        <v>0</v>
      </c>
      <c r="V185" s="40">
        <f>IF(N185&gt;=0,0,IF(365&lt;-N185,O185,0))</f>
        <v>0</v>
      </c>
    </row>
    <row r="186" spans="1:24" s="99" customFormat="1" ht="19.5" customHeight="1">
      <c r="A186" s="104"/>
      <c r="B186" s="104"/>
      <c r="C186" s="106"/>
      <c r="D186" s="107"/>
      <c r="E186" s="108">
        <f t="shared" ref="E186:K186" si="141">SUM(E185:E185)</f>
        <v>33305.51666666667</v>
      </c>
      <c r="F186" s="108">
        <f t="shared" si="141"/>
        <v>0</v>
      </c>
      <c r="G186" s="108">
        <f t="shared" si="141"/>
        <v>0</v>
      </c>
      <c r="H186" s="108">
        <f t="shared" si="141"/>
        <v>0</v>
      </c>
      <c r="I186" s="108">
        <f t="shared" si="141"/>
        <v>33305.51666666667</v>
      </c>
      <c r="J186" s="113">
        <f t="shared" si="141"/>
        <v>39966.620000000003</v>
      </c>
      <c r="K186" s="113">
        <f t="shared" si="141"/>
        <v>39966.620000000003</v>
      </c>
      <c r="L186" s="109"/>
      <c r="M186" s="109"/>
      <c r="N186" s="110"/>
      <c r="O186" s="108">
        <f>SUM(O185:O185)</f>
        <v>0</v>
      </c>
      <c r="P186" s="108" t="e">
        <f>SUM(P185:P185)</f>
        <v>#REF!</v>
      </c>
      <c r="Q186" s="111"/>
      <c r="R186" s="112">
        <f>SUM(R185:R185)</f>
        <v>0</v>
      </c>
      <c r="S186" s="112">
        <f>SUM(S185:S185)</f>
        <v>0</v>
      </c>
      <c r="T186" s="112">
        <f>SUM(T185:T185)</f>
        <v>0</v>
      </c>
      <c r="U186" s="112">
        <f>SUM(U185:U185)</f>
        <v>0</v>
      </c>
      <c r="V186" s="112">
        <f>SUM(V185:V185)</f>
        <v>0</v>
      </c>
    </row>
    <row r="187" spans="1:24" ht="19.5" customHeight="1">
      <c r="A187" s="41" t="s">
        <v>157</v>
      </c>
      <c r="B187" s="41"/>
      <c r="C187" s="43"/>
      <c r="D187" s="44"/>
      <c r="E187" s="36">
        <f>20014.75/1.2</f>
        <v>16678.958333333336</v>
      </c>
      <c r="F187" s="36">
        <f>-E187*$F$10</f>
        <v>0</v>
      </c>
      <c r="G187" s="36">
        <f>E187*$G$10</f>
        <v>0</v>
      </c>
      <c r="H187" s="36"/>
      <c r="I187" s="36">
        <f>+E187+F187-G187-H187</f>
        <v>16678.958333333336</v>
      </c>
      <c r="J187" s="36">
        <f>+I187+(I187*$I$4)</f>
        <v>20014.750000000004</v>
      </c>
      <c r="K187" s="36">
        <v>20014.750000000004</v>
      </c>
      <c r="L187" s="37"/>
      <c r="M187" s="37"/>
      <c r="N187" s="92">
        <f>-IF(L187=0,,IF(M187=0,($C$10-L187),M187-L187))</f>
        <v>0</v>
      </c>
      <c r="O187" s="36">
        <f>+J187-K187</f>
        <v>0</v>
      </c>
      <c r="P187" s="36" t="e">
        <f>+IF($C$10&lt;L187,0,O187)</f>
        <v>#REF!</v>
      </c>
      <c r="Q187" s="39"/>
      <c r="R187" s="40">
        <f>IF(N187&gt;=0,0,(IF(-N187&lt;=60,O187,0)))</f>
        <v>0</v>
      </c>
      <c r="S187" s="40">
        <f>IF(N187&gt;=0,0,(IF(N187&gt;=-60,0,IF(-60&gt;=N187,IF(N187&gt;=-120,O187,0)))))</f>
        <v>0</v>
      </c>
      <c r="T187" s="40">
        <f>IF(N187&gt;=0,0,(IF(N187&gt;-60,0,IF(-60&gt;=N187,IF(N187&gt;=-120,0,IF(N187&gt;=-180,O187,0))))))</f>
        <v>0</v>
      </c>
      <c r="U187" s="40">
        <f>IF(N187&gt;=0,0,(IF(N187&gt;-60,0,IF(-60&gt;=N187,IF(N187&gt;-120,0,IF(N187&gt;=-180,0,IF(N187&gt;=-365,O187,0)))))))</f>
        <v>0</v>
      </c>
      <c r="V187" s="40">
        <f>IF(N187&gt;=0,0,IF(365&lt;-N187,O187,0))</f>
        <v>0</v>
      </c>
    </row>
    <row r="188" spans="1:24" s="99" customFormat="1" ht="19.5" customHeight="1">
      <c r="A188" s="104"/>
      <c r="B188" s="104"/>
      <c r="C188" s="106"/>
      <c r="D188" s="107"/>
      <c r="E188" s="108">
        <f t="shared" ref="E188:K188" si="142">SUM(E187:E187)</f>
        <v>16678.958333333336</v>
      </c>
      <c r="F188" s="108">
        <f t="shared" si="142"/>
        <v>0</v>
      </c>
      <c r="G188" s="108">
        <f t="shared" si="142"/>
        <v>0</v>
      </c>
      <c r="H188" s="108">
        <f t="shared" si="142"/>
        <v>0</v>
      </c>
      <c r="I188" s="108">
        <f t="shared" si="142"/>
        <v>16678.958333333336</v>
      </c>
      <c r="J188" s="113">
        <f t="shared" si="142"/>
        <v>20014.750000000004</v>
      </c>
      <c r="K188" s="113">
        <f t="shared" si="142"/>
        <v>20014.750000000004</v>
      </c>
      <c r="L188" s="109"/>
      <c r="M188" s="109"/>
      <c r="N188" s="110"/>
      <c r="O188" s="108">
        <f>SUM(O187:O187)</f>
        <v>0</v>
      </c>
      <c r="P188" s="108" t="e">
        <f>SUM(P187:P187)</f>
        <v>#REF!</v>
      </c>
      <c r="Q188" s="111"/>
      <c r="R188" s="112">
        <f>SUM(R187:R187)</f>
        <v>0</v>
      </c>
      <c r="S188" s="112">
        <f>SUM(S187:S187)</f>
        <v>0</v>
      </c>
      <c r="T188" s="112">
        <f>SUM(T187:T187)</f>
        <v>0</v>
      </c>
      <c r="U188" s="112">
        <f>SUM(U187:U187)</f>
        <v>0</v>
      </c>
      <c r="V188" s="112">
        <f>SUM(V187:V187)</f>
        <v>0</v>
      </c>
    </row>
    <row r="189" spans="1:24" ht="19.5" customHeight="1">
      <c r="A189" s="41" t="s">
        <v>226</v>
      </c>
      <c r="B189" s="41"/>
      <c r="C189" s="43"/>
      <c r="D189" s="44"/>
      <c r="E189" s="36">
        <v>13653753.380000001</v>
      </c>
      <c r="F189" s="36">
        <f>-E189*$F$10</f>
        <v>0</v>
      </c>
      <c r="G189" s="36">
        <f>E189*$G$10</f>
        <v>0</v>
      </c>
      <c r="H189" s="36"/>
      <c r="I189" s="36">
        <f>+E189+F189-G189-H189</f>
        <v>13653753.380000001</v>
      </c>
      <c r="J189" s="36">
        <f>+I189+(I189*$I$4)</f>
        <v>16384504.056000002</v>
      </c>
      <c r="K189" s="36">
        <v>16384504.056000002</v>
      </c>
      <c r="L189" s="37"/>
      <c r="M189" s="37"/>
      <c r="N189" s="92">
        <f>-IF(L189=0,,IF(M189=0,($C$10-L189),M189-L189))</f>
        <v>0</v>
      </c>
      <c r="O189" s="36">
        <f>+J189-K189</f>
        <v>0</v>
      </c>
      <c r="P189" s="36" t="e">
        <f>+IF($C$10&lt;L189,0,O189)</f>
        <v>#REF!</v>
      </c>
      <c r="Q189" s="39"/>
      <c r="R189" s="40">
        <f>IF(N189&gt;=0,0,(IF(-N189&lt;=60,O189,0)))</f>
        <v>0</v>
      </c>
      <c r="S189" s="40">
        <f>IF(N189&gt;=0,0,(IF(N189&gt;=-60,0,IF(-60&gt;=N189,IF(N189&gt;=-120,O189,0)))))</f>
        <v>0</v>
      </c>
      <c r="T189" s="40">
        <f>IF(N189&gt;=0,0,(IF(N189&gt;-60,0,IF(-60&gt;=N189,IF(N189&gt;=-120,0,IF(N189&gt;=-180,O189,0))))))</f>
        <v>0</v>
      </c>
      <c r="U189" s="40">
        <f>IF(N189&gt;=0,0,(IF(N189&gt;-60,0,IF(-60&gt;=N189,IF(N189&gt;-120,0,IF(N189&gt;=-180,0,IF(N189&gt;=-365,O189,0)))))))</f>
        <v>0</v>
      </c>
      <c r="V189" s="40">
        <f>IF(N189&gt;=0,0,IF(365&lt;-N189,O189,0))</f>
        <v>0</v>
      </c>
    </row>
    <row r="190" spans="1:24" s="99" customFormat="1" ht="19.5" customHeight="1">
      <c r="A190" s="104"/>
      <c r="B190" s="104"/>
      <c r="C190" s="106"/>
      <c r="D190" s="107"/>
      <c r="E190" s="108">
        <f t="shared" ref="E190:K190" si="143">SUM(E189:E189)</f>
        <v>13653753.380000001</v>
      </c>
      <c r="F190" s="108">
        <f t="shared" si="143"/>
        <v>0</v>
      </c>
      <c r="G190" s="108">
        <f t="shared" si="143"/>
        <v>0</v>
      </c>
      <c r="H190" s="108">
        <f t="shared" si="143"/>
        <v>0</v>
      </c>
      <c r="I190" s="108">
        <f t="shared" si="143"/>
        <v>13653753.380000001</v>
      </c>
      <c r="J190" s="113">
        <f t="shared" si="143"/>
        <v>16384504.056000002</v>
      </c>
      <c r="K190" s="113">
        <f t="shared" si="143"/>
        <v>16384504.056000002</v>
      </c>
      <c r="L190" s="109"/>
      <c r="M190" s="109"/>
      <c r="N190" s="110"/>
      <c r="O190" s="108">
        <f>SUM(O189:O189)</f>
        <v>0</v>
      </c>
      <c r="P190" s="108" t="e">
        <f>SUM(P189:P189)</f>
        <v>#REF!</v>
      </c>
      <c r="Q190" s="111"/>
      <c r="R190" s="112">
        <f>SUM(R189:R189)</f>
        <v>0</v>
      </c>
      <c r="S190" s="112">
        <f>SUM(S189:S189)</f>
        <v>0</v>
      </c>
      <c r="T190" s="112">
        <f>SUM(T189:T189)</f>
        <v>0</v>
      </c>
      <c r="U190" s="112">
        <f>SUM(U189:U189)</f>
        <v>0</v>
      </c>
      <c r="V190" s="112">
        <f>SUM(V189:V189)</f>
        <v>0</v>
      </c>
    </row>
    <row r="191" spans="1:24" s="99" customFormat="1" ht="18.75" customHeight="1">
      <c r="A191" s="104"/>
      <c r="B191" s="155" t="s">
        <v>225</v>
      </c>
      <c r="C191" s="156"/>
      <c r="D191" s="157"/>
      <c r="E191" s="130">
        <f>SUM(E190,E188,E186,E184,E182,E180,E178,E173,E171,E169,E167,E165,E163,E161,E159,E157,E155,E153,E151,E149,E147,E145,E143,E141,E139,E137,E135,E133,E131,E129,E127,E125)</f>
        <v>23644106.773333333</v>
      </c>
      <c r="F191" s="130">
        <f t="shared" ref="F191:K191" si="144">SUM(F190,F188,F186,F184,F182,F180,F178,F173,F171,F169,F167,F165,F163,F161,F159,F157,F155,F153,F151,F149,F147,F145,F143,F141,F139,F137,F135,F133,F131,F129,F127,F125)</f>
        <v>0</v>
      </c>
      <c r="G191" s="130">
        <f t="shared" si="144"/>
        <v>0</v>
      </c>
      <c r="H191" s="130">
        <f t="shared" si="144"/>
        <v>0</v>
      </c>
      <c r="I191" s="130">
        <f t="shared" si="144"/>
        <v>23644106.773333333</v>
      </c>
      <c r="J191" s="130">
        <f t="shared" si="144"/>
        <v>28372928.128000006</v>
      </c>
      <c r="K191" s="130">
        <f t="shared" si="144"/>
        <v>28100647.468000006</v>
      </c>
      <c r="L191" s="109"/>
      <c r="M191" s="109"/>
      <c r="N191" s="110"/>
      <c r="O191" s="108">
        <f t="shared" ref="O191:P191" si="145">SUM(O190,O188,O186,O184,O182,O180,O178,O173,O171,O169,O167,O165,O163,O161,O159,O157,O155,O153,O151,O149,O147,O145,O143,O141,O139,O137,O135,O133,O131,O129,O127,O125)</f>
        <v>272280.66000000003</v>
      </c>
      <c r="P191" s="108" t="e">
        <f t="shared" si="145"/>
        <v>#REF!</v>
      </c>
      <c r="Q191" s="111"/>
      <c r="R191" s="112" t="e">
        <f t="shared" ref="R191:V191" si="146">SUM(R190,R188,R186,R184,R182,R180,R178,R173,R171,R169,R167,R165,R163,R161,R159,R157,R155,R153,R151,R149,R147,R145,R143,R141,R139,R137,R135,R133,R131,R129,R127,R125)</f>
        <v>#REF!</v>
      </c>
      <c r="S191" s="112" t="e">
        <f t="shared" si="146"/>
        <v>#REF!</v>
      </c>
      <c r="T191" s="112" t="e">
        <f t="shared" si="146"/>
        <v>#REF!</v>
      </c>
      <c r="U191" s="112" t="e">
        <f t="shared" si="146"/>
        <v>#REF!</v>
      </c>
      <c r="V191" s="112" t="e">
        <f t="shared" si="146"/>
        <v>#REF!</v>
      </c>
      <c r="X191" s="129" t="e">
        <f>+V191-272300.67</f>
        <v>#REF!</v>
      </c>
    </row>
    <row r="192" spans="1:24" ht="19.5" customHeight="1">
      <c r="A192" s="135" t="s">
        <v>95</v>
      </c>
      <c r="B192" s="42"/>
      <c r="C192" s="43"/>
      <c r="D192" s="44"/>
      <c r="E192" s="36"/>
      <c r="F192" s="36"/>
      <c r="G192" s="36"/>
      <c r="H192" s="36"/>
      <c r="I192" s="36"/>
      <c r="J192" s="36"/>
      <c r="K192" s="36"/>
      <c r="L192" s="37"/>
      <c r="M192" s="37"/>
      <c r="N192" s="38"/>
      <c r="O192" s="36"/>
      <c r="P192" s="42" t="e">
        <f>+IF($C$10&lt;L192,0,O192)</f>
        <v>#REF!</v>
      </c>
      <c r="Q192" s="39"/>
      <c r="R192" s="97"/>
      <c r="S192" s="97"/>
      <c r="T192" s="97"/>
      <c r="U192" s="97"/>
      <c r="V192" s="97"/>
    </row>
    <row r="193" spans="1:24" ht="19.5" customHeight="1">
      <c r="A193" s="41" t="s">
        <v>89</v>
      </c>
      <c r="B193" s="42"/>
      <c r="C193" s="126">
        <v>37286</v>
      </c>
      <c r="D193" s="44"/>
      <c r="E193" s="36">
        <f>57896.44/1.2</f>
        <v>48247.03333333334</v>
      </c>
      <c r="F193" s="36">
        <v>0</v>
      </c>
      <c r="G193" s="36">
        <v>0</v>
      </c>
      <c r="H193" s="36"/>
      <c r="I193" s="36">
        <f t="shared" ref="I193:I194" si="147">+E193+F193-G193-H193</f>
        <v>48247.03333333334</v>
      </c>
      <c r="J193" s="36">
        <f t="shared" ref="J193:J194" si="148">+I193+(I193*$I$4)</f>
        <v>57896.44000000001</v>
      </c>
      <c r="K193" s="36"/>
      <c r="L193" s="37">
        <v>37376</v>
      </c>
      <c r="M193" s="37"/>
      <c r="N193" s="92" t="e">
        <f t="shared" ref="N193:N194" si="149">-IF(L193=0,,IF(M193=0,($C$10-L193),M193-L193))</f>
        <v>#REF!</v>
      </c>
      <c r="O193" s="36">
        <f t="shared" ref="O193:O194" si="150">+J193-K193</f>
        <v>57896.44000000001</v>
      </c>
      <c r="P193" s="36" t="e">
        <f t="shared" ref="P193:P194" si="151">+IF($C$10&lt;L193,0,O193)</f>
        <v>#REF!</v>
      </c>
      <c r="Q193" s="39"/>
      <c r="R193" s="40" t="e">
        <f>IF(N193&gt;=0,0,(IF(-N193&lt;=60,O193,0)))</f>
        <v>#REF!</v>
      </c>
      <c r="S193" s="40" t="e">
        <f t="shared" ref="S193:S194" si="152">IF(N193&gt;=0,0,(IF(N193&gt;=-60,0,IF(-60&gt;=N193,IF(N193&gt;=-120,O193,0)))))</f>
        <v>#REF!</v>
      </c>
      <c r="T193" s="40" t="e">
        <f t="shared" ref="T193:T194" si="153">IF(N193&gt;=0,0,(IF(N193&gt;-60,0,IF(-60&gt;=N193,IF(N193&gt;=-120,0,IF(N193&gt;=-180,O193,0))))))</f>
        <v>#REF!</v>
      </c>
      <c r="U193" s="40" t="e">
        <f t="shared" ref="U193:U194" si="154">IF(N193&gt;=0,0,(IF(N193&gt;-60,0,IF(-60&gt;=N193,IF(N193&gt;-120,0,IF(N193&gt;=-180,0,IF(N193&gt;=-365,O193,0)))))))</f>
        <v>#REF!</v>
      </c>
      <c r="V193" s="40" t="e">
        <f>IF(N193&gt;=0,0,IF(365&lt;-N193,O193,0))</f>
        <v>#REF!</v>
      </c>
    </row>
    <row r="194" spans="1:24" ht="19.5" customHeight="1">
      <c r="A194" s="41" t="s">
        <v>89</v>
      </c>
      <c r="B194" s="42"/>
      <c r="C194" s="126">
        <v>37315</v>
      </c>
      <c r="D194" s="44"/>
      <c r="E194" s="36">
        <f>18222.6/1.2</f>
        <v>15185.5</v>
      </c>
      <c r="F194" s="36">
        <v>0</v>
      </c>
      <c r="G194" s="36">
        <v>0</v>
      </c>
      <c r="H194" s="36"/>
      <c r="I194" s="36">
        <f t="shared" si="147"/>
        <v>15185.5</v>
      </c>
      <c r="J194" s="36">
        <f t="shared" si="148"/>
        <v>18222.599999999999</v>
      </c>
      <c r="K194" s="36"/>
      <c r="L194" s="37">
        <v>37406</v>
      </c>
      <c r="M194" s="37"/>
      <c r="N194" s="92" t="e">
        <f t="shared" si="149"/>
        <v>#REF!</v>
      </c>
      <c r="O194" s="36">
        <f t="shared" si="150"/>
        <v>18222.599999999999</v>
      </c>
      <c r="P194" s="36" t="e">
        <f t="shared" si="151"/>
        <v>#REF!</v>
      </c>
      <c r="Q194" s="39"/>
      <c r="R194" s="40" t="e">
        <f t="shared" ref="R194" si="155">IF(N194&gt;=0,0,(IF(-N194&lt;=60,O194,0)))</f>
        <v>#REF!</v>
      </c>
      <c r="S194" s="40" t="e">
        <f t="shared" si="152"/>
        <v>#REF!</v>
      </c>
      <c r="T194" s="40" t="e">
        <f t="shared" si="153"/>
        <v>#REF!</v>
      </c>
      <c r="U194" s="40" t="e">
        <f t="shared" si="154"/>
        <v>#REF!</v>
      </c>
      <c r="V194" s="40" t="e">
        <f t="shared" ref="V194" si="156">IF(N194&gt;=0,0,IF(365&lt;-N194,O194,0))</f>
        <v>#REF!</v>
      </c>
    </row>
    <row r="195" spans="1:24" s="99" customFormat="1" ht="19.5" customHeight="1">
      <c r="A195" s="104"/>
      <c r="B195" s="105"/>
      <c r="C195" s="106"/>
      <c r="D195" s="107"/>
      <c r="E195" s="108">
        <f t="shared" ref="E195:K195" si="157">SUM(E193:E194)</f>
        <v>63432.53333333334</v>
      </c>
      <c r="F195" s="108">
        <f t="shared" si="157"/>
        <v>0</v>
      </c>
      <c r="G195" s="108">
        <f t="shared" si="157"/>
        <v>0</v>
      </c>
      <c r="H195" s="108">
        <f t="shared" si="157"/>
        <v>0</v>
      </c>
      <c r="I195" s="108">
        <f t="shared" si="157"/>
        <v>63432.53333333334</v>
      </c>
      <c r="J195" s="108">
        <f t="shared" si="157"/>
        <v>76119.040000000008</v>
      </c>
      <c r="K195" s="108">
        <f t="shared" si="157"/>
        <v>0</v>
      </c>
      <c r="L195" s="109"/>
      <c r="M195" s="109"/>
      <c r="N195" s="110"/>
      <c r="O195" s="108">
        <f>SUM(O193:O194)</f>
        <v>76119.040000000008</v>
      </c>
      <c r="P195" s="108" t="e">
        <f>SUM(P193:P194)</f>
        <v>#REF!</v>
      </c>
      <c r="Q195" s="114"/>
      <c r="R195" s="115" t="e">
        <f>SUM(R193:R194)</f>
        <v>#REF!</v>
      </c>
      <c r="S195" s="115" t="e">
        <f>SUM(S193:S194)</f>
        <v>#REF!</v>
      </c>
      <c r="T195" s="115" t="e">
        <f>SUM(T193:T194)</f>
        <v>#REF!</v>
      </c>
      <c r="U195" s="115" t="e">
        <f>SUM(U193:U194)</f>
        <v>#REF!</v>
      </c>
      <c r="V195" s="115" t="e">
        <f>SUM(V193:V194)</f>
        <v>#REF!</v>
      </c>
    </row>
    <row r="196" spans="1:24" ht="19.5" customHeight="1">
      <c r="A196" s="41" t="s">
        <v>91</v>
      </c>
      <c r="B196" s="42"/>
      <c r="C196" s="126">
        <v>37529</v>
      </c>
      <c r="D196" s="44"/>
      <c r="E196" s="36">
        <f>36515.84/1.2</f>
        <v>30429.866666666665</v>
      </c>
      <c r="F196" s="36">
        <f>-E196*$F$10</f>
        <v>0</v>
      </c>
      <c r="G196" s="36">
        <f>E196*$G$10</f>
        <v>0</v>
      </c>
      <c r="H196" s="36"/>
      <c r="I196" s="36">
        <f>+E196+F196-G196-H196</f>
        <v>30429.866666666665</v>
      </c>
      <c r="J196" s="36">
        <f>+I196+(I196*$I$4)</f>
        <v>36515.839999999997</v>
      </c>
      <c r="K196" s="36"/>
      <c r="L196" s="37">
        <v>37600</v>
      </c>
      <c r="M196" s="37"/>
      <c r="N196" s="92" t="e">
        <f>-IF(L196=0,,IF(M196=0,($C$10-L196),M196-L196))</f>
        <v>#REF!</v>
      </c>
      <c r="O196" s="36">
        <f>+J196-K196</f>
        <v>36515.839999999997</v>
      </c>
      <c r="P196" s="36" t="e">
        <f>+IF($C$10&lt;L196,0,O196)</f>
        <v>#REF!</v>
      </c>
      <c r="Q196" s="39"/>
      <c r="R196" s="40" t="e">
        <f>IF(N196&gt;=0,0,(IF(-N196&lt;=60,O196,0)))</f>
        <v>#REF!</v>
      </c>
      <c r="S196" s="40" t="e">
        <f>IF(N196&gt;=0,0,(IF(N196&gt;=-60,0,IF(-60&gt;=N196,IF(N196&gt;=-120,O196,0)))))</f>
        <v>#REF!</v>
      </c>
      <c r="T196" s="40" t="e">
        <f>IF(N196&gt;=0,0,(IF(N196&gt;-60,0,IF(-60&gt;=N196,IF(N196&gt;=-120,0,IF(N196&gt;=-180,O196,0))))))</f>
        <v>#REF!</v>
      </c>
      <c r="U196" s="40" t="e">
        <f>IF(N196&gt;=0,0,(IF(N196&gt;-60,0,IF(-60&gt;=N196,IF(N196&gt;-120,0,IF(N196&gt;=-180,0,IF(N196&gt;=-365,O196,0)))))))</f>
        <v>#REF!</v>
      </c>
      <c r="V196" s="40" t="e">
        <f>IF(N196&gt;=0,0,IF(365&lt;-N196,O196,0))</f>
        <v>#REF!</v>
      </c>
    </row>
    <row r="197" spans="1:24" ht="19.5" customHeight="1">
      <c r="A197" s="41" t="s">
        <v>91</v>
      </c>
      <c r="B197" s="42"/>
      <c r="C197" s="126">
        <v>37559</v>
      </c>
      <c r="D197" s="44"/>
      <c r="E197" s="36">
        <f>39850.23/1.2</f>
        <v>33208.525000000001</v>
      </c>
      <c r="F197" s="36">
        <f>-E197*$F$10</f>
        <v>0</v>
      </c>
      <c r="G197" s="36">
        <f>E197*$G$10</f>
        <v>0</v>
      </c>
      <c r="H197" s="36"/>
      <c r="I197" s="36">
        <f>+E197+F197-G197-H197</f>
        <v>33208.525000000001</v>
      </c>
      <c r="J197" s="36">
        <f>+I197+(I197*$I$4)</f>
        <v>39850.230000000003</v>
      </c>
      <c r="K197" s="36"/>
      <c r="L197" s="37">
        <v>37631</v>
      </c>
      <c r="M197" s="37"/>
      <c r="N197" s="92" t="e">
        <f>-IF(L197=0,,IF(M197=0,($C$10-L197),M197-L197))</f>
        <v>#REF!</v>
      </c>
      <c r="O197" s="36">
        <f>+J197-K197</f>
        <v>39850.230000000003</v>
      </c>
      <c r="P197" s="36" t="e">
        <f>+IF($C$10&lt;L197,0,O197)</f>
        <v>#REF!</v>
      </c>
      <c r="Q197" s="39"/>
      <c r="R197" s="40" t="e">
        <f>IF(N197&gt;=0,0,(IF(-N197&lt;=60,O197,0)))</f>
        <v>#REF!</v>
      </c>
      <c r="S197" s="40" t="e">
        <f>IF(N197&gt;=0,0,(IF(N197&gt;=-60,0,IF(-60&gt;=N197,IF(N197&gt;=-120,O197,0)))))</f>
        <v>#REF!</v>
      </c>
      <c r="T197" s="40" t="e">
        <f>IF(N197&gt;=0,0,(IF(N197&gt;-60,0,IF(-60&gt;=N197,IF(N197&gt;=-120,0,IF(N197&gt;=-180,O197,0))))))</f>
        <v>#REF!</v>
      </c>
      <c r="U197" s="40" t="e">
        <f>IF(N197&gt;=0,0,(IF(N197&gt;-60,0,IF(-60&gt;=N197,IF(N197&gt;-120,0,IF(N197&gt;=-180,0,IF(N197&gt;=-365,O197,0)))))))</f>
        <v>#REF!</v>
      </c>
      <c r="V197" s="40" t="e">
        <f>IF(N197&gt;=0,0,IF(365&lt;-N197,O197,0))</f>
        <v>#REF!</v>
      </c>
    </row>
    <row r="198" spans="1:24" s="99" customFormat="1" ht="19.5" customHeight="1">
      <c r="A198" s="104"/>
      <c r="B198" s="105"/>
      <c r="C198" s="106"/>
      <c r="D198" s="107"/>
      <c r="E198" s="108">
        <f>SUM(E196:E197)</f>
        <v>63638.391666666663</v>
      </c>
      <c r="F198" s="108">
        <f t="shared" ref="F198:K198" si="158">SUM(F196:F197)</f>
        <v>0</v>
      </c>
      <c r="G198" s="108">
        <f t="shared" si="158"/>
        <v>0</v>
      </c>
      <c r="H198" s="108">
        <f t="shared" si="158"/>
        <v>0</v>
      </c>
      <c r="I198" s="108">
        <f t="shared" si="158"/>
        <v>63638.391666666663</v>
      </c>
      <c r="J198" s="108">
        <f t="shared" si="158"/>
        <v>76366.070000000007</v>
      </c>
      <c r="K198" s="108">
        <f t="shared" si="158"/>
        <v>0</v>
      </c>
      <c r="L198" s="109"/>
      <c r="M198" s="109"/>
      <c r="N198" s="110"/>
      <c r="O198" s="108">
        <f>SUM(O196:O197)</f>
        <v>76366.070000000007</v>
      </c>
      <c r="P198" s="108" t="e">
        <f>SUM(P196:P197)</f>
        <v>#REF!</v>
      </c>
      <c r="Q198" s="114"/>
      <c r="R198" s="115" t="e">
        <f>SUM(R196:R197)</f>
        <v>#REF!</v>
      </c>
      <c r="S198" s="115" t="e">
        <f t="shared" ref="S198:V198" si="159">SUM(S196:S197)</f>
        <v>#REF!</v>
      </c>
      <c r="T198" s="115" t="e">
        <f t="shared" si="159"/>
        <v>#REF!</v>
      </c>
      <c r="U198" s="115" t="e">
        <f t="shared" si="159"/>
        <v>#REF!</v>
      </c>
      <c r="V198" s="115" t="e">
        <f t="shared" si="159"/>
        <v>#REF!</v>
      </c>
    </row>
    <row r="199" spans="1:24" ht="19.5" customHeight="1">
      <c r="A199" s="41" t="s">
        <v>163</v>
      </c>
      <c r="B199" s="42"/>
      <c r="C199" s="125"/>
      <c r="D199" s="44"/>
      <c r="E199" s="36">
        <f>21389.06/1.2</f>
        <v>17824.216666666667</v>
      </c>
      <c r="F199" s="36">
        <f>-E199*$F$10</f>
        <v>0</v>
      </c>
      <c r="G199" s="36">
        <f>E199*$G$10</f>
        <v>0</v>
      </c>
      <c r="H199" s="36"/>
      <c r="I199" s="36">
        <f>+E199+F199-G199-H199</f>
        <v>17824.216666666667</v>
      </c>
      <c r="J199" s="36">
        <f>+I199+(I199*$I$4)</f>
        <v>21389.06</v>
      </c>
      <c r="K199" s="36">
        <v>23100</v>
      </c>
      <c r="L199" s="37"/>
      <c r="M199" s="37"/>
      <c r="N199" s="92">
        <f>-IF(L199=0,,IF(M199=0,($C$10-L199),M199-L199))</f>
        <v>0</v>
      </c>
      <c r="O199" s="36">
        <f>+J199-K199</f>
        <v>-1710.9399999999987</v>
      </c>
      <c r="P199" s="36" t="e">
        <f>+IF($C$10&lt;L199,0,O199)</f>
        <v>#REF!</v>
      </c>
      <c r="Q199" s="39"/>
      <c r="R199" s="40">
        <f>IF(N199&gt;=0,0,(IF(-N199&lt;=60,O199,0)))</f>
        <v>0</v>
      </c>
      <c r="S199" s="40">
        <f>IF(N199&gt;=0,0,(IF(N199&gt;=-60,0,IF(-60&gt;=N199,IF(N199&gt;=-120,O199,0)))))</f>
        <v>0</v>
      </c>
      <c r="T199" s="40">
        <f>IF(N199&gt;=0,0,(IF(N199&gt;-60,0,IF(-60&gt;=N199,IF(N199&gt;=-120,0,IF(N199&gt;=-180,O199,0))))))</f>
        <v>0</v>
      </c>
      <c r="U199" s="40">
        <f>IF(N199&gt;=0,0,(IF(N199&gt;-60,0,IF(-60&gt;=N199,IF(N199&gt;-120,0,IF(N199&gt;=-180,0,IF(N199&gt;=-365,O199,0)))))))</f>
        <v>0</v>
      </c>
      <c r="V199" s="40">
        <f>IF(N199&gt;=0,0,IF(365&lt;-N199,O199,0))</f>
        <v>0</v>
      </c>
    </row>
    <row r="200" spans="1:24" s="99" customFormat="1" ht="19.5" customHeight="1">
      <c r="A200" s="104"/>
      <c r="B200" s="105"/>
      <c r="C200" s="106"/>
      <c r="D200" s="107"/>
      <c r="E200" s="108">
        <f t="shared" ref="E200:K200" si="160">SUM(E199:E199)</f>
        <v>17824.216666666667</v>
      </c>
      <c r="F200" s="108">
        <f t="shared" si="160"/>
        <v>0</v>
      </c>
      <c r="G200" s="108">
        <f t="shared" si="160"/>
        <v>0</v>
      </c>
      <c r="H200" s="108">
        <f t="shared" si="160"/>
        <v>0</v>
      </c>
      <c r="I200" s="108">
        <f t="shared" si="160"/>
        <v>17824.216666666667</v>
      </c>
      <c r="J200" s="113">
        <f t="shared" si="160"/>
        <v>21389.06</v>
      </c>
      <c r="K200" s="113">
        <f t="shared" si="160"/>
        <v>23100</v>
      </c>
      <c r="L200" s="109"/>
      <c r="M200" s="109"/>
      <c r="N200" s="110"/>
      <c r="O200" s="108">
        <f>SUM(O199:O199)</f>
        <v>-1710.9399999999987</v>
      </c>
      <c r="P200" s="108" t="e">
        <f>SUM(P199:P199)</f>
        <v>#REF!</v>
      </c>
      <c r="Q200" s="114"/>
      <c r="R200" s="115">
        <f>SUM(R199:R199)</f>
        <v>0</v>
      </c>
      <c r="S200" s="115">
        <f>SUM(S199:S199)</f>
        <v>0</v>
      </c>
      <c r="T200" s="115">
        <f>SUM(T199:T199)</f>
        <v>0</v>
      </c>
      <c r="U200" s="115">
        <f>SUM(U199:U199)</f>
        <v>0</v>
      </c>
      <c r="V200" s="115">
        <f>SUM(V199:V199)</f>
        <v>0</v>
      </c>
    </row>
    <row r="201" spans="1:24" ht="19.5" customHeight="1">
      <c r="A201" s="41" t="s">
        <v>164</v>
      </c>
      <c r="B201" s="42"/>
      <c r="C201" s="125"/>
      <c r="D201" s="44"/>
      <c r="E201" s="36">
        <f>895031.89/1.2</f>
        <v>745859.90833333333</v>
      </c>
      <c r="F201" s="36">
        <f>-E201*$F$10</f>
        <v>0</v>
      </c>
      <c r="G201" s="36">
        <f>E201*$G$10</f>
        <v>0</v>
      </c>
      <c r="H201" s="36"/>
      <c r="I201" s="36">
        <f>+E201+F201-G201-H201</f>
        <v>745859.90833333333</v>
      </c>
      <c r="J201" s="36">
        <f>+I201+(I201*$I$4)</f>
        <v>895031.89</v>
      </c>
      <c r="K201" s="36">
        <v>895000.02</v>
      </c>
      <c r="L201" s="37"/>
      <c r="M201" s="37"/>
      <c r="N201" s="92">
        <f>-IF(L201=0,,IF(M201=0,($C$10-L201),M201-L201))</f>
        <v>0</v>
      </c>
      <c r="O201" s="36">
        <f>+J201-K201</f>
        <v>31.869999999995343</v>
      </c>
      <c r="P201" s="36" t="e">
        <f>+IF($C$10&lt;L201,0,O201)</f>
        <v>#REF!</v>
      </c>
      <c r="Q201" s="39"/>
      <c r="R201" s="40">
        <f>IF(N201&gt;=0,0,(IF(-N201&lt;=60,O201,0)))</f>
        <v>0</v>
      </c>
      <c r="S201" s="40">
        <f>IF(N201&gt;=0,0,(IF(N201&gt;=-60,0,IF(-60&gt;=N201,IF(N201&gt;=-120,O201,0)))))</f>
        <v>0</v>
      </c>
      <c r="T201" s="40">
        <f>IF(N201&gt;=0,0,(IF(N201&gt;-60,0,IF(-60&gt;=N201,IF(N201&gt;=-120,0,IF(N201&gt;=-180,O201,0))))))</f>
        <v>0</v>
      </c>
      <c r="U201" s="40">
        <f>IF(N201&gt;=0,0,(IF(N201&gt;-60,0,IF(-60&gt;=N201,IF(N201&gt;-120,0,IF(N201&gt;=-180,0,IF(N201&gt;=-365,O201,0)))))))</f>
        <v>0</v>
      </c>
      <c r="V201" s="40">
        <f>IF(N201&gt;=0,0,IF(365&lt;-N201,O201,0))</f>
        <v>0</v>
      </c>
    </row>
    <row r="202" spans="1:24" s="99" customFormat="1" ht="19.5" customHeight="1">
      <c r="A202" s="104"/>
      <c r="B202" s="105"/>
      <c r="C202" s="106"/>
      <c r="D202" s="107"/>
      <c r="E202" s="108">
        <f t="shared" ref="E202:K202" si="161">SUM(E201:E201)</f>
        <v>745859.90833333333</v>
      </c>
      <c r="F202" s="108">
        <f t="shared" si="161"/>
        <v>0</v>
      </c>
      <c r="G202" s="108">
        <f t="shared" si="161"/>
        <v>0</v>
      </c>
      <c r="H202" s="108">
        <f t="shared" si="161"/>
        <v>0</v>
      </c>
      <c r="I202" s="108">
        <f t="shared" si="161"/>
        <v>745859.90833333333</v>
      </c>
      <c r="J202" s="113">
        <f t="shared" si="161"/>
        <v>895031.89</v>
      </c>
      <c r="K202" s="113">
        <f t="shared" si="161"/>
        <v>895000.02</v>
      </c>
      <c r="L202" s="109"/>
      <c r="M202" s="109"/>
      <c r="N202" s="110"/>
      <c r="O202" s="108">
        <f>SUM(O201:O201)</f>
        <v>31.869999999995343</v>
      </c>
      <c r="P202" s="108" t="e">
        <f>SUM(P201:P201)</f>
        <v>#REF!</v>
      </c>
      <c r="Q202" s="114"/>
      <c r="R202" s="115">
        <f>SUM(R201:R201)</f>
        <v>0</v>
      </c>
      <c r="S202" s="115">
        <f>SUM(S201:S201)</f>
        <v>0</v>
      </c>
      <c r="T202" s="115">
        <f>SUM(T201:T201)</f>
        <v>0</v>
      </c>
      <c r="U202" s="115">
        <f>SUM(U201:U201)</f>
        <v>0</v>
      </c>
      <c r="V202" s="115">
        <f>SUM(V201:V201)</f>
        <v>0</v>
      </c>
    </row>
    <row r="203" spans="1:24" ht="19.5" customHeight="1">
      <c r="A203" s="41" t="s">
        <v>226</v>
      </c>
      <c r="B203" s="41"/>
      <c r="C203" s="43"/>
      <c r="D203" s="44"/>
      <c r="E203" s="36">
        <f>20414730.01/1.2</f>
        <v>17012275.008333337</v>
      </c>
      <c r="F203" s="36">
        <f>-E203*$F$10</f>
        <v>0</v>
      </c>
      <c r="G203" s="36">
        <f>E203*$G$10</f>
        <v>0</v>
      </c>
      <c r="H203" s="36"/>
      <c r="I203" s="36">
        <f>+E203+F203-G203-H203</f>
        <v>17012275.008333337</v>
      </c>
      <c r="J203" s="36">
        <f>+I203+(I203*$I$4)</f>
        <v>20414730.010000005</v>
      </c>
      <c r="K203" s="36">
        <v>20414730.010000005</v>
      </c>
      <c r="L203" s="37"/>
      <c r="M203" s="37"/>
      <c r="N203" s="92">
        <f>-IF(L203=0,,IF(M203=0,($C$10-L203),M203-L203))</f>
        <v>0</v>
      </c>
      <c r="O203" s="36">
        <f>+J203-K203</f>
        <v>0</v>
      </c>
      <c r="P203" s="36" t="e">
        <f>+IF($C$10&lt;L203,0,O203)</f>
        <v>#REF!</v>
      </c>
      <c r="Q203" s="39"/>
      <c r="R203" s="40">
        <f>IF(N203&gt;=0,0,(IF(-N203&lt;=60,O203,0)))</f>
        <v>0</v>
      </c>
      <c r="S203" s="40">
        <f>IF(N203&gt;=0,0,(IF(N203&gt;=-60,0,IF(-60&gt;=N203,IF(N203&gt;=-120,O203,0)))))</f>
        <v>0</v>
      </c>
      <c r="T203" s="40">
        <f>IF(N203&gt;=0,0,(IF(N203&gt;-60,0,IF(-60&gt;=N203,IF(N203&gt;=-120,0,IF(N203&gt;=-180,O203,0))))))</f>
        <v>0</v>
      </c>
      <c r="U203" s="40">
        <f>IF(N203&gt;=0,0,(IF(N203&gt;-60,0,IF(-60&gt;=N203,IF(N203&gt;-120,0,IF(N203&gt;=-180,0,IF(N203&gt;=-365,O203,0)))))))</f>
        <v>0</v>
      </c>
      <c r="V203" s="40">
        <f>IF(N203&gt;=0,0,IF(365&lt;-N203,O203,0))</f>
        <v>0</v>
      </c>
    </row>
    <row r="204" spans="1:24" s="99" customFormat="1" ht="19.5" customHeight="1">
      <c r="A204" s="104"/>
      <c r="B204" s="104"/>
      <c r="C204" s="106"/>
      <c r="D204" s="107"/>
      <c r="E204" s="108">
        <f t="shared" ref="E204:K204" si="162">SUM(E203:E203)</f>
        <v>17012275.008333337</v>
      </c>
      <c r="F204" s="108">
        <f t="shared" si="162"/>
        <v>0</v>
      </c>
      <c r="G204" s="108">
        <f t="shared" si="162"/>
        <v>0</v>
      </c>
      <c r="H204" s="108">
        <f t="shared" si="162"/>
        <v>0</v>
      </c>
      <c r="I204" s="108">
        <f t="shared" si="162"/>
        <v>17012275.008333337</v>
      </c>
      <c r="J204" s="113">
        <f t="shared" si="162"/>
        <v>20414730.010000005</v>
      </c>
      <c r="K204" s="113">
        <f t="shared" si="162"/>
        <v>20414730.010000005</v>
      </c>
      <c r="L204" s="109"/>
      <c r="M204" s="109"/>
      <c r="N204" s="110"/>
      <c r="O204" s="108">
        <f>SUM(O203:O203)</f>
        <v>0</v>
      </c>
      <c r="P204" s="108" t="e">
        <f>SUM(P203:P203)</f>
        <v>#REF!</v>
      </c>
      <c r="Q204" s="111"/>
      <c r="R204" s="112">
        <f>SUM(R203:R203)</f>
        <v>0</v>
      </c>
      <c r="S204" s="112">
        <f>SUM(S203:S203)</f>
        <v>0</v>
      </c>
      <c r="T204" s="112">
        <f>SUM(T203:T203)</f>
        <v>0</v>
      </c>
      <c r="U204" s="112">
        <f>SUM(U203:U203)</f>
        <v>0</v>
      </c>
      <c r="V204" s="112">
        <f>SUM(V203:V203)</f>
        <v>0</v>
      </c>
    </row>
    <row r="205" spans="1:24" s="99" customFormat="1" ht="18.75" customHeight="1">
      <c r="A205" s="104"/>
      <c r="B205" s="155" t="s">
        <v>227</v>
      </c>
      <c r="C205" s="156"/>
      <c r="D205" s="157"/>
      <c r="E205" s="130">
        <f>SUM(E204,E202,E200,E198,E195)</f>
        <v>17903030.058333337</v>
      </c>
      <c r="F205" s="130">
        <f t="shared" ref="F205:I205" si="163">SUM(F204,F202,F200,F198,F195)</f>
        <v>0</v>
      </c>
      <c r="G205" s="130">
        <f t="shared" si="163"/>
        <v>0</v>
      </c>
      <c r="H205" s="130">
        <f t="shared" si="163"/>
        <v>0</v>
      </c>
      <c r="I205" s="130">
        <f t="shared" si="163"/>
        <v>17903030.058333337</v>
      </c>
      <c r="J205" s="130">
        <f>SUM(J204,J202,J200,J198,J195)</f>
        <v>21483636.070000004</v>
      </c>
      <c r="K205" s="130">
        <f>SUM(K204,K202,K200,K198,K195)</f>
        <v>21332830.030000005</v>
      </c>
      <c r="L205" s="109"/>
      <c r="M205" s="109"/>
      <c r="N205" s="110"/>
      <c r="O205" s="108">
        <f t="shared" ref="O205:P205" si="164">SUM(O204,O202,O200,O198,O195)</f>
        <v>150806.04</v>
      </c>
      <c r="P205" s="108" t="e">
        <f t="shared" si="164"/>
        <v>#REF!</v>
      </c>
      <c r="Q205" s="111"/>
      <c r="R205" s="112" t="e">
        <f t="shared" ref="R205:V205" si="165">SUM(R204,R202,R200,R198,R195)</f>
        <v>#REF!</v>
      </c>
      <c r="S205" s="112" t="e">
        <f t="shared" si="165"/>
        <v>#REF!</v>
      </c>
      <c r="T205" s="112" t="e">
        <f t="shared" si="165"/>
        <v>#REF!</v>
      </c>
      <c r="U205" s="112" t="e">
        <f t="shared" si="165"/>
        <v>#REF!</v>
      </c>
      <c r="V205" s="112" t="e">
        <f t="shared" si="165"/>
        <v>#REF!</v>
      </c>
      <c r="X205" s="129" t="e">
        <f>+V205-272300.67</f>
        <v>#REF!</v>
      </c>
    </row>
    <row r="206" spans="1:24" ht="19.5" customHeight="1">
      <c r="A206" s="135" t="s">
        <v>96</v>
      </c>
      <c r="B206" s="42"/>
      <c r="C206" s="43"/>
      <c r="D206" s="44"/>
      <c r="E206" s="36"/>
      <c r="F206" s="36"/>
      <c r="G206" s="36"/>
      <c r="H206" s="36"/>
      <c r="I206" s="36"/>
      <c r="J206" s="36"/>
      <c r="K206" s="36"/>
      <c r="L206" s="37"/>
      <c r="M206" s="37"/>
      <c r="N206" s="38"/>
      <c r="O206" s="36"/>
      <c r="P206" s="42" t="e">
        <f>+IF($C$10&lt;L206,0,O206)</f>
        <v>#REF!</v>
      </c>
      <c r="Q206" s="39"/>
      <c r="R206" s="97"/>
      <c r="S206" s="97"/>
      <c r="T206" s="97"/>
      <c r="U206" s="97"/>
      <c r="V206" s="97"/>
    </row>
    <row r="207" spans="1:24" ht="19.5" customHeight="1">
      <c r="A207" s="41" t="s">
        <v>167</v>
      </c>
      <c r="B207" s="42"/>
      <c r="C207" s="126"/>
      <c r="D207" s="44"/>
      <c r="E207" s="36">
        <f>133354.04/1.2</f>
        <v>111128.36666666668</v>
      </c>
      <c r="F207" s="36">
        <v>0</v>
      </c>
      <c r="G207" s="36">
        <v>0</v>
      </c>
      <c r="H207" s="36"/>
      <c r="I207" s="36">
        <f t="shared" ref="I207" si="166">+E207+F207-G207-H207</f>
        <v>111128.36666666668</v>
      </c>
      <c r="J207" s="36">
        <f t="shared" ref="J207" si="167">+I207+(I207*$I$4)</f>
        <v>133354.04000000004</v>
      </c>
      <c r="K207" s="36">
        <v>133354</v>
      </c>
      <c r="L207" s="37"/>
      <c r="M207" s="37"/>
      <c r="N207" s="92">
        <f t="shared" ref="N207" si="168">-IF(L207=0,,IF(M207=0,($C$10-L207),M207-L207))</f>
        <v>0</v>
      </c>
      <c r="O207" s="36">
        <f t="shared" ref="O207" si="169">+J207-K207</f>
        <v>4.0000000037252903E-2</v>
      </c>
      <c r="P207" s="36" t="e">
        <f t="shared" ref="P207" si="170">+IF($C$10&lt;L207,0,O207)</f>
        <v>#REF!</v>
      </c>
      <c r="Q207" s="39"/>
      <c r="R207" s="40">
        <f>IF(N207&gt;=0,0,(IF(-N207&lt;=60,O207,0)))</f>
        <v>0</v>
      </c>
      <c r="S207" s="40">
        <f t="shared" ref="S207" si="171">IF(N207&gt;=0,0,(IF(N207&gt;=-60,0,IF(-60&gt;=N207,IF(N207&gt;=-120,O207,0)))))</f>
        <v>0</v>
      </c>
      <c r="T207" s="40">
        <f t="shared" ref="T207" si="172">IF(N207&gt;=0,0,(IF(N207&gt;-60,0,IF(-60&gt;=N207,IF(N207&gt;=-120,0,IF(N207&gt;=-180,O207,0))))))</f>
        <v>0</v>
      </c>
      <c r="U207" s="40">
        <f t="shared" ref="U207" si="173">IF(N207&gt;=0,0,(IF(N207&gt;-60,0,IF(-60&gt;=N207,IF(N207&gt;-120,0,IF(N207&gt;=-180,0,IF(N207&gt;=-365,O207,0)))))))</f>
        <v>0</v>
      </c>
      <c r="V207" s="40">
        <f>IF(N207&gt;=0,0,IF(365&lt;-N207,O207,0))</f>
        <v>0</v>
      </c>
    </row>
    <row r="208" spans="1:24" s="99" customFormat="1" ht="19.5" customHeight="1">
      <c r="A208" s="104"/>
      <c r="B208" s="105"/>
      <c r="C208" s="106"/>
      <c r="D208" s="107"/>
      <c r="E208" s="108">
        <f t="shared" ref="E208:K208" si="174">SUM(E207:E207)</f>
        <v>111128.36666666668</v>
      </c>
      <c r="F208" s="108">
        <f t="shared" si="174"/>
        <v>0</v>
      </c>
      <c r="G208" s="108">
        <f t="shared" si="174"/>
        <v>0</v>
      </c>
      <c r="H208" s="108">
        <f t="shared" si="174"/>
        <v>0</v>
      </c>
      <c r="I208" s="108">
        <f t="shared" si="174"/>
        <v>111128.36666666668</v>
      </c>
      <c r="J208" s="113">
        <f t="shared" si="174"/>
        <v>133354.04000000004</v>
      </c>
      <c r="K208" s="113">
        <f t="shared" si="174"/>
        <v>133354</v>
      </c>
      <c r="L208" s="109"/>
      <c r="M208" s="109"/>
      <c r="N208" s="110"/>
      <c r="O208" s="108">
        <f>SUM(O207:O207)</f>
        <v>4.0000000037252903E-2</v>
      </c>
      <c r="P208" s="108" t="e">
        <f>SUM(P207:P207)</f>
        <v>#REF!</v>
      </c>
      <c r="Q208" s="114"/>
      <c r="R208" s="115">
        <f>SUM(R207:R207)</f>
        <v>0</v>
      </c>
      <c r="S208" s="115">
        <f>SUM(S207:S207)</f>
        <v>0</v>
      </c>
      <c r="T208" s="115">
        <f>SUM(T207:T207)</f>
        <v>0</v>
      </c>
      <c r="U208" s="115">
        <f>SUM(U207:U207)</f>
        <v>0</v>
      </c>
      <c r="V208" s="115">
        <f>SUM(V207:V207)</f>
        <v>0</v>
      </c>
    </row>
    <row r="209" spans="1:22" ht="19.5" customHeight="1">
      <c r="A209" s="41" t="s">
        <v>168</v>
      </c>
      <c r="B209" s="42"/>
      <c r="C209" s="126"/>
      <c r="D209" s="44"/>
      <c r="E209" s="36">
        <f>736980.37/1.2</f>
        <v>614150.30833333335</v>
      </c>
      <c r="F209" s="36">
        <f>-E209*$F$10</f>
        <v>0</v>
      </c>
      <c r="G209" s="36">
        <f>E209*$G$10</f>
        <v>0</v>
      </c>
      <c r="H209" s="36"/>
      <c r="I209" s="36">
        <f>+E209+F209-G209-H209</f>
        <v>614150.30833333335</v>
      </c>
      <c r="J209" s="36">
        <f>+I209+(I209*$I$4)</f>
        <v>736980.37</v>
      </c>
      <c r="K209" s="36">
        <v>736980.37</v>
      </c>
      <c r="L209" s="37"/>
      <c r="M209" s="37"/>
      <c r="N209" s="92">
        <f>-IF(L209=0,,IF(M209=0,($C$10-L209),M209-L209))</f>
        <v>0</v>
      </c>
      <c r="O209" s="36">
        <f>+J209-K209</f>
        <v>0</v>
      </c>
      <c r="P209" s="36" t="e">
        <f>+IF($C$10&lt;L209,0,O209)</f>
        <v>#REF!</v>
      </c>
      <c r="Q209" s="39"/>
      <c r="R209" s="40">
        <f>IF(N209&gt;=0,0,(IF(-N209&lt;=60,O209,0)))</f>
        <v>0</v>
      </c>
      <c r="S209" s="40">
        <f>IF(N209&gt;=0,0,(IF(N209&gt;=-60,0,IF(-60&gt;=N209,IF(N209&gt;=-120,O209,0)))))</f>
        <v>0</v>
      </c>
      <c r="T209" s="40">
        <f>IF(N209&gt;=0,0,(IF(N209&gt;-60,0,IF(-60&gt;=N209,IF(N209&gt;=-120,0,IF(N209&gt;=-180,O209,0))))))</f>
        <v>0</v>
      </c>
      <c r="U209" s="40">
        <f>IF(N209&gt;=0,0,(IF(N209&gt;-60,0,IF(-60&gt;=N209,IF(N209&gt;-120,0,IF(N209&gt;=-180,0,IF(N209&gt;=-365,O209,0)))))))</f>
        <v>0</v>
      </c>
      <c r="V209" s="40">
        <f>IF(N209&gt;=0,0,IF(365&lt;-N209,O209,0))</f>
        <v>0</v>
      </c>
    </row>
    <row r="210" spans="1:22" s="99" customFormat="1" ht="19.5" customHeight="1">
      <c r="A210" s="104"/>
      <c r="B210" s="105"/>
      <c r="C210" s="106"/>
      <c r="D210" s="107"/>
      <c r="E210" s="108">
        <f t="shared" ref="E210:K210" si="175">SUM(E209:E209)</f>
        <v>614150.30833333335</v>
      </c>
      <c r="F210" s="108">
        <f t="shared" si="175"/>
        <v>0</v>
      </c>
      <c r="G210" s="108">
        <f t="shared" si="175"/>
        <v>0</v>
      </c>
      <c r="H210" s="108">
        <f t="shared" si="175"/>
        <v>0</v>
      </c>
      <c r="I210" s="108">
        <f t="shared" si="175"/>
        <v>614150.30833333335</v>
      </c>
      <c r="J210" s="113">
        <f t="shared" si="175"/>
        <v>736980.37</v>
      </c>
      <c r="K210" s="113">
        <f t="shared" si="175"/>
        <v>736980.37</v>
      </c>
      <c r="L210" s="109"/>
      <c r="M210" s="109"/>
      <c r="N210" s="110"/>
      <c r="O210" s="108">
        <f>SUM(O209:O209)</f>
        <v>0</v>
      </c>
      <c r="P210" s="108" t="e">
        <f>SUM(P209:P209)</f>
        <v>#REF!</v>
      </c>
      <c r="Q210" s="114"/>
      <c r="R210" s="115">
        <f>SUM(R209:R209)</f>
        <v>0</v>
      </c>
      <c r="S210" s="115">
        <f>SUM(S209:S209)</f>
        <v>0</v>
      </c>
      <c r="T210" s="115">
        <f>SUM(T209:T209)</f>
        <v>0</v>
      </c>
      <c r="U210" s="115">
        <f>SUM(U209:U209)</f>
        <v>0</v>
      </c>
      <c r="V210" s="115">
        <f>SUM(V209:V209)</f>
        <v>0</v>
      </c>
    </row>
    <row r="211" spans="1:22" ht="19.5" customHeight="1">
      <c r="A211" s="41" t="s">
        <v>169</v>
      </c>
      <c r="B211" s="42"/>
      <c r="C211" s="125"/>
      <c r="D211" s="44"/>
      <c r="E211" s="36">
        <f>261159.66/1.2</f>
        <v>217633.05000000002</v>
      </c>
      <c r="F211" s="36">
        <f>-E211*$F$10</f>
        <v>0</v>
      </c>
      <c r="G211" s="36">
        <f>E211*$G$10</f>
        <v>0</v>
      </c>
      <c r="H211" s="36"/>
      <c r="I211" s="36">
        <f>+E211+F211-G211-H211</f>
        <v>217633.05000000002</v>
      </c>
      <c r="J211" s="36">
        <f>+I211+(I211*$I$4)</f>
        <v>261159.66000000003</v>
      </c>
      <c r="K211" s="36">
        <v>261159.66000000003</v>
      </c>
      <c r="L211" s="37"/>
      <c r="M211" s="37"/>
      <c r="N211" s="92">
        <f>-IF(L211=0,,IF(M211=0,($C$10-L211),M211-L211))</f>
        <v>0</v>
      </c>
      <c r="O211" s="36">
        <f>+J211-K211</f>
        <v>0</v>
      </c>
      <c r="P211" s="36" t="e">
        <f>+IF($C$10&lt;L211,0,O211)</f>
        <v>#REF!</v>
      </c>
      <c r="Q211" s="39"/>
      <c r="R211" s="40">
        <f>IF(N211&gt;=0,0,(IF(-N211&lt;=60,O211,0)))</f>
        <v>0</v>
      </c>
      <c r="S211" s="40">
        <f>IF(N211&gt;=0,0,(IF(N211&gt;=-60,0,IF(-60&gt;=N211,IF(N211&gt;=-120,O211,0)))))</f>
        <v>0</v>
      </c>
      <c r="T211" s="40">
        <f>IF(N211&gt;=0,0,(IF(N211&gt;-60,0,IF(-60&gt;=N211,IF(N211&gt;=-120,0,IF(N211&gt;=-180,O211,0))))))</f>
        <v>0</v>
      </c>
      <c r="U211" s="40">
        <f>IF(N211&gt;=0,0,(IF(N211&gt;-60,0,IF(-60&gt;=N211,IF(N211&gt;-120,0,IF(N211&gt;=-180,0,IF(N211&gt;=-365,O211,0)))))))</f>
        <v>0</v>
      </c>
      <c r="V211" s="40">
        <f>IF(N211&gt;=0,0,IF(365&lt;-N211,O211,0))</f>
        <v>0</v>
      </c>
    </row>
    <row r="212" spans="1:22" s="99" customFormat="1" ht="19.5" customHeight="1">
      <c r="A212" s="104"/>
      <c r="B212" s="105"/>
      <c r="C212" s="106"/>
      <c r="D212" s="107"/>
      <c r="E212" s="108">
        <f t="shared" ref="E212:K212" si="176">SUM(E211:E211)</f>
        <v>217633.05000000002</v>
      </c>
      <c r="F212" s="108">
        <f t="shared" si="176"/>
        <v>0</v>
      </c>
      <c r="G212" s="108">
        <f t="shared" si="176"/>
        <v>0</v>
      </c>
      <c r="H212" s="108">
        <f t="shared" si="176"/>
        <v>0</v>
      </c>
      <c r="I212" s="108">
        <f t="shared" si="176"/>
        <v>217633.05000000002</v>
      </c>
      <c r="J212" s="113">
        <f t="shared" si="176"/>
        <v>261159.66000000003</v>
      </c>
      <c r="K212" s="113">
        <f t="shared" si="176"/>
        <v>261159.66000000003</v>
      </c>
      <c r="L212" s="109"/>
      <c r="M212" s="109"/>
      <c r="N212" s="110"/>
      <c r="O212" s="108">
        <f>SUM(O211:O211)</f>
        <v>0</v>
      </c>
      <c r="P212" s="108" t="e">
        <f>SUM(P211:P211)</f>
        <v>#REF!</v>
      </c>
      <c r="Q212" s="114"/>
      <c r="R212" s="115">
        <f>SUM(R211:R211)</f>
        <v>0</v>
      </c>
      <c r="S212" s="115">
        <f>SUM(S211:S211)</f>
        <v>0</v>
      </c>
      <c r="T212" s="115">
        <f>SUM(T211:T211)</f>
        <v>0</v>
      </c>
      <c r="U212" s="115">
        <f>SUM(U211:U211)</f>
        <v>0</v>
      </c>
      <c r="V212" s="115">
        <f>SUM(V211:V211)</f>
        <v>0</v>
      </c>
    </row>
    <row r="213" spans="1:22" ht="19.5" customHeight="1">
      <c r="A213" s="41" t="s">
        <v>158</v>
      </c>
      <c r="B213" s="42"/>
      <c r="C213" s="125"/>
      <c r="D213" s="44"/>
      <c r="E213" s="36">
        <f>143411.88/1.2</f>
        <v>119509.90000000001</v>
      </c>
      <c r="F213" s="36">
        <f>-E213*$F$10</f>
        <v>0</v>
      </c>
      <c r="G213" s="36">
        <f>E213*$G$10</f>
        <v>0</v>
      </c>
      <c r="H213" s="36"/>
      <c r="I213" s="36">
        <f>+E213+F213-G213-H213</f>
        <v>119509.90000000001</v>
      </c>
      <c r="J213" s="36">
        <f>+I213+(I213*$I$4)</f>
        <v>143411.88</v>
      </c>
      <c r="K213" s="36">
        <v>143411.88</v>
      </c>
      <c r="L213" s="37"/>
      <c r="M213" s="37"/>
      <c r="N213" s="92">
        <f>-IF(L213=0,,IF(M213=0,($C$10-L213),M213-L213))</f>
        <v>0</v>
      </c>
      <c r="O213" s="36">
        <f>+J213-K213</f>
        <v>0</v>
      </c>
      <c r="P213" s="36" t="e">
        <f>+IF($C$10&lt;L213,0,O213)</f>
        <v>#REF!</v>
      </c>
      <c r="Q213" s="39"/>
      <c r="R213" s="40">
        <f>IF(N213&gt;=0,0,(IF(-N213&lt;=60,O213,0)))</f>
        <v>0</v>
      </c>
      <c r="S213" s="40">
        <f>IF(N213&gt;=0,0,(IF(N213&gt;=-60,0,IF(-60&gt;=N213,IF(N213&gt;=-120,O213,0)))))</f>
        <v>0</v>
      </c>
      <c r="T213" s="40">
        <f>IF(N213&gt;=0,0,(IF(N213&gt;-60,0,IF(-60&gt;=N213,IF(N213&gt;=-120,0,IF(N213&gt;=-180,O213,0))))))</f>
        <v>0</v>
      </c>
      <c r="U213" s="40">
        <f>IF(N213&gt;=0,0,(IF(N213&gt;-60,0,IF(-60&gt;=N213,IF(N213&gt;-120,0,IF(N213&gt;=-180,0,IF(N213&gt;=-365,O213,0)))))))</f>
        <v>0</v>
      </c>
      <c r="V213" s="40">
        <f>IF(N213&gt;=0,0,IF(365&lt;-N213,O213,0))</f>
        <v>0</v>
      </c>
    </row>
    <row r="214" spans="1:22" s="99" customFormat="1" ht="19.5" customHeight="1">
      <c r="A214" s="104"/>
      <c r="B214" s="105"/>
      <c r="C214" s="106"/>
      <c r="D214" s="107"/>
      <c r="E214" s="108">
        <f t="shared" ref="E214:K214" si="177">SUM(E213:E213)</f>
        <v>119509.90000000001</v>
      </c>
      <c r="F214" s="108">
        <f t="shared" si="177"/>
        <v>0</v>
      </c>
      <c r="G214" s="108">
        <f t="shared" si="177"/>
        <v>0</v>
      </c>
      <c r="H214" s="108">
        <f t="shared" si="177"/>
        <v>0</v>
      </c>
      <c r="I214" s="108">
        <f t="shared" si="177"/>
        <v>119509.90000000001</v>
      </c>
      <c r="J214" s="113">
        <f t="shared" si="177"/>
        <v>143411.88</v>
      </c>
      <c r="K214" s="113">
        <f t="shared" si="177"/>
        <v>143411.88</v>
      </c>
      <c r="L214" s="109"/>
      <c r="M214" s="109"/>
      <c r="N214" s="110"/>
      <c r="O214" s="108">
        <f>SUM(O213:O213)</f>
        <v>0</v>
      </c>
      <c r="P214" s="108" t="e">
        <f>SUM(P213:P213)</f>
        <v>#REF!</v>
      </c>
      <c r="Q214" s="114"/>
      <c r="R214" s="115">
        <f>SUM(R213:R213)</f>
        <v>0</v>
      </c>
      <c r="S214" s="115">
        <f>SUM(S213:S213)</f>
        <v>0</v>
      </c>
      <c r="T214" s="115">
        <f>SUM(T213:T213)</f>
        <v>0</v>
      </c>
      <c r="U214" s="115">
        <f>SUM(U213:U213)</f>
        <v>0</v>
      </c>
      <c r="V214" s="115">
        <f>SUM(V213:V213)</f>
        <v>0</v>
      </c>
    </row>
    <row r="215" spans="1:22" ht="19.5" customHeight="1">
      <c r="A215" s="41" t="s">
        <v>170</v>
      </c>
      <c r="B215" s="41"/>
      <c r="C215" s="43"/>
      <c r="D215" s="44"/>
      <c r="E215" s="36">
        <f>12158.19/1.2</f>
        <v>10131.825000000001</v>
      </c>
      <c r="F215" s="36">
        <f>-E215*$F$10</f>
        <v>0</v>
      </c>
      <c r="G215" s="36">
        <f>E215*$G$10</f>
        <v>0</v>
      </c>
      <c r="H215" s="36"/>
      <c r="I215" s="36">
        <f>+E215+F215-G215-H215</f>
        <v>10131.825000000001</v>
      </c>
      <c r="J215" s="36">
        <f>+I215+(I215*$I$4)</f>
        <v>12158.19</v>
      </c>
      <c r="K215" s="36">
        <v>12158.19</v>
      </c>
      <c r="L215" s="37"/>
      <c r="M215" s="37"/>
      <c r="N215" s="92">
        <f>-IF(L215=0,,IF(M215=0,($C$10-L215),M215-L215))</f>
        <v>0</v>
      </c>
      <c r="O215" s="36">
        <f>+J215-K215</f>
        <v>0</v>
      </c>
      <c r="P215" s="36" t="e">
        <f>+IF($C$10&lt;L215,0,O215)</f>
        <v>#REF!</v>
      </c>
      <c r="Q215" s="39"/>
      <c r="R215" s="40">
        <f>IF(N215&gt;=0,0,(IF(-N215&lt;=60,O215,0)))</f>
        <v>0</v>
      </c>
      <c r="S215" s="40">
        <f>IF(N215&gt;=0,0,(IF(N215&gt;=-60,0,IF(-60&gt;=N215,IF(N215&gt;=-120,O215,0)))))</f>
        <v>0</v>
      </c>
      <c r="T215" s="40">
        <f>IF(N215&gt;=0,0,(IF(N215&gt;-60,0,IF(-60&gt;=N215,IF(N215&gt;=-120,0,IF(N215&gt;=-180,O215,0))))))</f>
        <v>0</v>
      </c>
      <c r="U215" s="40">
        <f>IF(N215&gt;=0,0,(IF(N215&gt;-60,0,IF(-60&gt;=N215,IF(N215&gt;-120,0,IF(N215&gt;=-180,0,IF(N215&gt;=-365,O215,0)))))))</f>
        <v>0</v>
      </c>
      <c r="V215" s="40">
        <f>IF(N215&gt;=0,0,IF(365&lt;-N215,O215,0))</f>
        <v>0</v>
      </c>
    </row>
    <row r="216" spans="1:22" s="99" customFormat="1" ht="19.5" customHeight="1">
      <c r="A216" s="104"/>
      <c r="B216" s="104"/>
      <c r="C216" s="106"/>
      <c r="D216" s="107"/>
      <c r="E216" s="108">
        <f t="shared" ref="E216:K216" si="178">SUM(E215:E215)</f>
        <v>10131.825000000001</v>
      </c>
      <c r="F216" s="108">
        <f t="shared" si="178"/>
        <v>0</v>
      </c>
      <c r="G216" s="108">
        <f t="shared" si="178"/>
        <v>0</v>
      </c>
      <c r="H216" s="108">
        <f t="shared" si="178"/>
        <v>0</v>
      </c>
      <c r="I216" s="108">
        <f t="shared" si="178"/>
        <v>10131.825000000001</v>
      </c>
      <c r="J216" s="113">
        <f t="shared" si="178"/>
        <v>12158.19</v>
      </c>
      <c r="K216" s="113">
        <f t="shared" si="178"/>
        <v>12158.19</v>
      </c>
      <c r="L216" s="109"/>
      <c r="M216" s="109"/>
      <c r="N216" s="110"/>
      <c r="O216" s="108">
        <f>SUM(O215:O215)</f>
        <v>0</v>
      </c>
      <c r="P216" s="108" t="e">
        <f>SUM(P215:P215)</f>
        <v>#REF!</v>
      </c>
      <c r="Q216" s="111"/>
      <c r="R216" s="112">
        <f>SUM(R215:R215)</f>
        <v>0</v>
      </c>
      <c r="S216" s="112">
        <f>SUM(S215:S215)</f>
        <v>0</v>
      </c>
      <c r="T216" s="112">
        <f>SUM(T215:T215)</f>
        <v>0</v>
      </c>
      <c r="U216" s="112">
        <f>SUM(U215:U215)</f>
        <v>0</v>
      </c>
      <c r="V216" s="112">
        <f>SUM(V215:V215)</f>
        <v>0</v>
      </c>
    </row>
    <row r="217" spans="1:22" ht="19.5" customHeight="1">
      <c r="A217" s="41" t="s">
        <v>171</v>
      </c>
      <c r="B217" s="41"/>
      <c r="C217" s="43"/>
      <c r="D217" s="44"/>
      <c r="E217" s="36">
        <f>76740.87/1.2</f>
        <v>63950.724999999999</v>
      </c>
      <c r="F217" s="36">
        <f t="shared" ref="F217:F223" si="179">-E217*$F$10</f>
        <v>0</v>
      </c>
      <c r="G217" s="36">
        <f t="shared" ref="G217" si="180">E217*$G$10</f>
        <v>0</v>
      </c>
      <c r="H217" s="36"/>
      <c r="I217" s="36">
        <f t="shared" ref="I217" si="181">+E217+F217-G217-H217</f>
        <v>63950.724999999999</v>
      </c>
      <c r="J217" s="36">
        <f t="shared" ref="J217:J223" si="182">+I217+(I217*$I$4)</f>
        <v>76740.87</v>
      </c>
      <c r="K217" s="36">
        <v>76740.87</v>
      </c>
      <c r="L217" s="37"/>
      <c r="M217" s="37"/>
      <c r="N217" s="92">
        <f t="shared" ref="N217" si="183">-IF(L217=0,,IF(M217=0,($C$10-L217),M217-L217))</f>
        <v>0</v>
      </c>
      <c r="O217" s="36">
        <f t="shared" ref="O217" si="184">+J217-K217</f>
        <v>0</v>
      </c>
      <c r="P217" s="36" t="e">
        <f t="shared" ref="P217" si="185">+IF($C$10&lt;L217,0,O217)</f>
        <v>#REF!</v>
      </c>
      <c r="Q217" s="39"/>
      <c r="R217" s="40">
        <f t="shared" ref="R217" si="186">IF(N217&gt;=0,0,(IF(-N217&lt;=60,O217,0)))</f>
        <v>0</v>
      </c>
      <c r="S217" s="40">
        <f t="shared" ref="S217" si="187">IF(N217&gt;=0,0,(IF(N217&gt;=-60,0,IF(-60&gt;=N217,IF(N217&gt;=-120,O217,0)))))</f>
        <v>0</v>
      </c>
      <c r="T217" s="40">
        <f t="shared" ref="T217" si="188">IF(N217&gt;=0,0,(IF(N217&gt;-60,0,IF(-60&gt;=N217,IF(N217&gt;=-120,0,IF(N217&gt;=-180,O217,0))))))</f>
        <v>0</v>
      </c>
      <c r="U217" s="40">
        <f t="shared" ref="U217" si="189">IF(N217&gt;=0,0,(IF(N217&gt;-60,0,IF(-60&gt;=N217,IF(N217&gt;-120,0,IF(N217&gt;=-180,0,IF(N217&gt;=-365,O217,0)))))))</f>
        <v>0</v>
      </c>
      <c r="V217" s="40">
        <f t="shared" ref="V217" si="190">IF(N217&gt;=0,0,IF(365&lt;-N217,O217,0))</f>
        <v>0</v>
      </c>
    </row>
    <row r="218" spans="1:22" s="99" customFormat="1" ht="19.5" customHeight="1">
      <c r="A218" s="104"/>
      <c r="B218" s="104"/>
      <c r="C218" s="106"/>
      <c r="D218" s="107"/>
      <c r="E218" s="108">
        <f t="shared" ref="E218:K218" si="191">SUM(E217:E217)</f>
        <v>63950.724999999999</v>
      </c>
      <c r="F218" s="108">
        <f t="shared" si="191"/>
        <v>0</v>
      </c>
      <c r="G218" s="108">
        <f t="shared" si="191"/>
        <v>0</v>
      </c>
      <c r="H218" s="108">
        <f t="shared" si="191"/>
        <v>0</v>
      </c>
      <c r="I218" s="108">
        <f t="shared" si="191"/>
        <v>63950.724999999999</v>
      </c>
      <c r="J218" s="113">
        <f t="shared" si="191"/>
        <v>76740.87</v>
      </c>
      <c r="K218" s="113">
        <f t="shared" si="191"/>
        <v>76740.87</v>
      </c>
      <c r="L218" s="109"/>
      <c r="M218" s="109"/>
      <c r="N218" s="110"/>
      <c r="O218" s="108">
        <f t="shared" ref="O218" si="192">SUM(O217:O217)</f>
        <v>0</v>
      </c>
      <c r="P218" s="108" t="e">
        <f t="shared" ref="P218" si="193">SUM(P217:P217)</f>
        <v>#REF!</v>
      </c>
      <c r="Q218" s="111"/>
      <c r="R218" s="112">
        <f t="shared" ref="R218" si="194">SUM(R217:R217)</f>
        <v>0</v>
      </c>
      <c r="S218" s="112">
        <f t="shared" ref="S218" si="195">SUM(S217:S217)</f>
        <v>0</v>
      </c>
      <c r="T218" s="112">
        <f t="shared" ref="T218" si="196">SUM(T217:T217)</f>
        <v>0</v>
      </c>
      <c r="U218" s="112">
        <f t="shared" ref="U218" si="197">SUM(U217:U217)</f>
        <v>0</v>
      </c>
      <c r="V218" s="112">
        <f t="shared" ref="V218" si="198">SUM(V217:V217)</f>
        <v>0</v>
      </c>
    </row>
    <row r="219" spans="1:22" ht="19.5" customHeight="1">
      <c r="A219" s="41" t="s">
        <v>152</v>
      </c>
      <c r="B219" s="41"/>
      <c r="C219" s="43"/>
      <c r="D219" s="44"/>
      <c r="E219" s="36">
        <f>25006.48/1.2</f>
        <v>20838.733333333334</v>
      </c>
      <c r="F219" s="36">
        <f t="shared" si="179"/>
        <v>0</v>
      </c>
      <c r="G219" s="36">
        <f t="shared" ref="G219" si="199">E219*$G$10</f>
        <v>0</v>
      </c>
      <c r="H219" s="36"/>
      <c r="I219" s="36">
        <f t="shared" ref="I219" si="200">+E219+F219-G219-H219</f>
        <v>20838.733333333334</v>
      </c>
      <c r="J219" s="36">
        <f t="shared" si="182"/>
        <v>25006.48</v>
      </c>
      <c r="K219" s="36">
        <v>25006.48</v>
      </c>
      <c r="L219" s="37"/>
      <c r="M219" s="37"/>
      <c r="N219" s="92">
        <f t="shared" ref="N219" si="201">-IF(L219=0,,IF(M219=0,($C$10-L219),M219-L219))</f>
        <v>0</v>
      </c>
      <c r="O219" s="36">
        <f t="shared" ref="O219" si="202">+J219-K219</f>
        <v>0</v>
      </c>
      <c r="P219" s="36" t="e">
        <f t="shared" ref="P219" si="203">+IF($C$10&lt;L219,0,O219)</f>
        <v>#REF!</v>
      </c>
      <c r="Q219" s="39"/>
      <c r="R219" s="40">
        <f t="shared" ref="R219" si="204">IF(N219&gt;=0,0,(IF(-N219&lt;=60,O219,0)))</f>
        <v>0</v>
      </c>
      <c r="S219" s="40">
        <f t="shared" ref="S219" si="205">IF(N219&gt;=0,0,(IF(N219&gt;=-60,0,IF(-60&gt;=N219,IF(N219&gt;=-120,O219,0)))))</f>
        <v>0</v>
      </c>
      <c r="T219" s="40">
        <f t="shared" ref="T219" si="206">IF(N219&gt;=0,0,(IF(N219&gt;-60,0,IF(-60&gt;=N219,IF(N219&gt;=-120,0,IF(N219&gt;=-180,O219,0))))))</f>
        <v>0</v>
      </c>
      <c r="U219" s="40">
        <f t="shared" ref="U219" si="207">IF(N219&gt;=0,0,(IF(N219&gt;-60,0,IF(-60&gt;=N219,IF(N219&gt;-120,0,IF(N219&gt;=-180,0,IF(N219&gt;=-365,O219,0)))))))</f>
        <v>0</v>
      </c>
      <c r="V219" s="40">
        <f t="shared" ref="V219" si="208">IF(N219&gt;=0,0,IF(365&lt;-N219,O219,0))</f>
        <v>0</v>
      </c>
    </row>
    <row r="220" spans="1:22" s="99" customFormat="1" ht="19.5" customHeight="1">
      <c r="A220" s="104"/>
      <c r="B220" s="104"/>
      <c r="C220" s="106"/>
      <c r="D220" s="107"/>
      <c r="E220" s="108">
        <f t="shared" ref="E220:K220" si="209">SUM(E219:E219)</f>
        <v>20838.733333333334</v>
      </c>
      <c r="F220" s="108">
        <f t="shared" si="209"/>
        <v>0</v>
      </c>
      <c r="G220" s="108">
        <f t="shared" si="209"/>
        <v>0</v>
      </c>
      <c r="H220" s="108">
        <f t="shared" si="209"/>
        <v>0</v>
      </c>
      <c r="I220" s="108">
        <f t="shared" si="209"/>
        <v>20838.733333333334</v>
      </c>
      <c r="J220" s="113">
        <f t="shared" si="209"/>
        <v>25006.48</v>
      </c>
      <c r="K220" s="113">
        <f t="shared" si="209"/>
        <v>25006.48</v>
      </c>
      <c r="L220" s="109"/>
      <c r="M220" s="109"/>
      <c r="N220" s="110"/>
      <c r="O220" s="108">
        <f t="shared" ref="O220" si="210">SUM(O219:O219)</f>
        <v>0</v>
      </c>
      <c r="P220" s="108" t="e">
        <f t="shared" ref="P220" si="211">SUM(P219:P219)</f>
        <v>#REF!</v>
      </c>
      <c r="Q220" s="111"/>
      <c r="R220" s="112">
        <f t="shared" ref="R220" si="212">SUM(R219:R219)</f>
        <v>0</v>
      </c>
      <c r="S220" s="112">
        <f t="shared" ref="S220" si="213">SUM(S219:S219)</f>
        <v>0</v>
      </c>
      <c r="T220" s="112">
        <f t="shared" ref="T220" si="214">SUM(T219:T219)</f>
        <v>0</v>
      </c>
      <c r="U220" s="112">
        <f t="shared" ref="U220" si="215">SUM(U219:U219)</f>
        <v>0</v>
      </c>
      <c r="V220" s="112">
        <f t="shared" ref="V220" si="216">SUM(V219:V219)</f>
        <v>0</v>
      </c>
    </row>
    <row r="221" spans="1:22" ht="19.5" customHeight="1">
      <c r="A221" s="41" t="s">
        <v>79</v>
      </c>
      <c r="B221" s="41"/>
      <c r="C221" s="43"/>
      <c r="D221" s="44"/>
      <c r="E221" s="36">
        <f>6866.17/1.2</f>
        <v>5721.8083333333334</v>
      </c>
      <c r="F221" s="36">
        <f t="shared" si="179"/>
        <v>0</v>
      </c>
      <c r="G221" s="36">
        <f t="shared" ref="G221" si="217">E221*$G$10</f>
        <v>0</v>
      </c>
      <c r="H221" s="36"/>
      <c r="I221" s="36">
        <f t="shared" ref="I221" si="218">+E221+F221-G221-H221</f>
        <v>5721.8083333333334</v>
      </c>
      <c r="J221" s="36">
        <f t="shared" si="182"/>
        <v>6866.17</v>
      </c>
      <c r="K221" s="36">
        <v>6866.17</v>
      </c>
      <c r="L221" s="37"/>
      <c r="M221" s="37"/>
      <c r="N221" s="92">
        <f t="shared" ref="N221" si="219">-IF(L221=0,,IF(M221=0,($C$10-L221),M221-L221))</f>
        <v>0</v>
      </c>
      <c r="O221" s="36">
        <f t="shared" ref="O221" si="220">+J221-K221</f>
        <v>0</v>
      </c>
      <c r="P221" s="36" t="e">
        <f t="shared" ref="P221" si="221">+IF($C$10&lt;L221,0,O221)</f>
        <v>#REF!</v>
      </c>
      <c r="Q221" s="39"/>
      <c r="R221" s="40">
        <f t="shared" ref="R221" si="222">IF(N221&gt;=0,0,(IF(-N221&lt;=60,O221,0)))</f>
        <v>0</v>
      </c>
      <c r="S221" s="40">
        <f t="shared" ref="S221" si="223">IF(N221&gt;=0,0,(IF(N221&gt;=-60,0,IF(-60&gt;=N221,IF(N221&gt;=-120,O221,0)))))</f>
        <v>0</v>
      </c>
      <c r="T221" s="40">
        <f t="shared" ref="T221" si="224">IF(N221&gt;=0,0,(IF(N221&gt;-60,0,IF(-60&gt;=N221,IF(N221&gt;=-120,0,IF(N221&gt;=-180,O221,0))))))</f>
        <v>0</v>
      </c>
      <c r="U221" s="40">
        <f t="shared" ref="U221" si="225">IF(N221&gt;=0,0,(IF(N221&gt;-60,0,IF(-60&gt;=N221,IF(N221&gt;-120,0,IF(N221&gt;=-180,0,IF(N221&gt;=-365,O221,0)))))))</f>
        <v>0</v>
      </c>
      <c r="V221" s="40">
        <f t="shared" ref="V221" si="226">IF(N221&gt;=0,0,IF(365&lt;-N221,O221,0))</f>
        <v>0</v>
      </c>
    </row>
    <row r="222" spans="1:22" s="99" customFormat="1" ht="19.5" customHeight="1">
      <c r="A222" s="104"/>
      <c r="B222" s="104"/>
      <c r="C222" s="106"/>
      <c r="D222" s="107"/>
      <c r="E222" s="108">
        <f t="shared" ref="E222:K222" si="227">SUM(E221:E221)</f>
        <v>5721.8083333333334</v>
      </c>
      <c r="F222" s="108">
        <f t="shared" si="227"/>
        <v>0</v>
      </c>
      <c r="G222" s="108">
        <f t="shared" si="227"/>
        <v>0</v>
      </c>
      <c r="H222" s="108">
        <f t="shared" si="227"/>
        <v>0</v>
      </c>
      <c r="I222" s="108">
        <f t="shared" si="227"/>
        <v>5721.8083333333334</v>
      </c>
      <c r="J222" s="113">
        <f t="shared" si="227"/>
        <v>6866.17</v>
      </c>
      <c r="K222" s="113">
        <f t="shared" si="227"/>
        <v>6866.17</v>
      </c>
      <c r="L222" s="109"/>
      <c r="M222" s="109"/>
      <c r="N222" s="110"/>
      <c r="O222" s="108">
        <f t="shared" ref="O222" si="228">SUM(O221:O221)</f>
        <v>0</v>
      </c>
      <c r="P222" s="108" t="e">
        <f t="shared" ref="P222" si="229">SUM(P221:P221)</f>
        <v>#REF!</v>
      </c>
      <c r="Q222" s="111"/>
      <c r="R222" s="112">
        <f t="shared" ref="R222" si="230">SUM(R221:R221)</f>
        <v>0</v>
      </c>
      <c r="S222" s="112">
        <f t="shared" ref="S222" si="231">SUM(S221:S221)</f>
        <v>0</v>
      </c>
      <c r="T222" s="112">
        <f t="shared" ref="T222" si="232">SUM(T221:T221)</f>
        <v>0</v>
      </c>
      <c r="U222" s="112">
        <f t="shared" ref="U222" si="233">SUM(U221:U221)</f>
        <v>0</v>
      </c>
      <c r="V222" s="112">
        <f t="shared" ref="V222" si="234">SUM(V221:V221)</f>
        <v>0</v>
      </c>
    </row>
    <row r="223" spans="1:22" ht="19.5" customHeight="1">
      <c r="A223" s="41" t="s">
        <v>172</v>
      </c>
      <c r="B223" s="41"/>
      <c r="C223" s="43"/>
      <c r="D223" s="44"/>
      <c r="E223" s="36">
        <f>71685/1.2</f>
        <v>59737.5</v>
      </c>
      <c r="F223" s="36">
        <f t="shared" si="179"/>
        <v>0</v>
      </c>
      <c r="G223" s="36">
        <f t="shared" ref="G223" si="235">E223*$G$10</f>
        <v>0</v>
      </c>
      <c r="H223" s="36"/>
      <c r="I223" s="36">
        <f t="shared" ref="I223" si="236">+E223+F223-G223-H223</f>
        <v>59737.5</v>
      </c>
      <c r="J223" s="36">
        <f t="shared" si="182"/>
        <v>71685</v>
      </c>
      <c r="K223" s="36">
        <v>72000</v>
      </c>
      <c r="L223" s="37"/>
      <c r="M223" s="37"/>
      <c r="N223" s="92">
        <f t="shared" ref="N223" si="237">-IF(L223=0,,IF(M223=0,($C$10-L223),M223-L223))</f>
        <v>0</v>
      </c>
      <c r="O223" s="36">
        <f t="shared" ref="O223" si="238">+J223-K223</f>
        <v>-315</v>
      </c>
      <c r="P223" s="36" t="e">
        <f t="shared" ref="P223" si="239">+IF($C$10&lt;L223,0,O223)</f>
        <v>#REF!</v>
      </c>
      <c r="Q223" s="39"/>
      <c r="R223" s="40">
        <f t="shared" ref="R223" si="240">IF(N223&gt;=0,0,(IF(-N223&lt;=60,O223,0)))</f>
        <v>0</v>
      </c>
      <c r="S223" s="40">
        <f t="shared" ref="S223" si="241">IF(N223&gt;=0,0,(IF(N223&gt;=-60,0,IF(-60&gt;=N223,IF(N223&gt;=-120,O223,0)))))</f>
        <v>0</v>
      </c>
      <c r="T223" s="40">
        <f t="shared" ref="T223" si="242">IF(N223&gt;=0,0,(IF(N223&gt;-60,0,IF(-60&gt;=N223,IF(N223&gt;=-120,0,IF(N223&gt;=-180,O223,0))))))</f>
        <v>0</v>
      </c>
      <c r="U223" s="40">
        <f t="shared" ref="U223" si="243">IF(N223&gt;=0,0,(IF(N223&gt;-60,0,IF(-60&gt;=N223,IF(N223&gt;-120,0,IF(N223&gt;=-180,0,IF(N223&gt;=-365,O223,0)))))))</f>
        <v>0</v>
      </c>
      <c r="V223" s="40">
        <f t="shared" ref="V223" si="244">IF(N223&gt;=0,0,IF(365&lt;-N223,O223,0))</f>
        <v>0</v>
      </c>
    </row>
    <row r="224" spans="1:22" s="99" customFormat="1" ht="19.5" customHeight="1">
      <c r="A224" s="104"/>
      <c r="B224" s="104"/>
      <c r="C224" s="106"/>
      <c r="D224" s="107"/>
      <c r="E224" s="108">
        <f t="shared" ref="E224:K224" si="245">SUM(E223:E223)</f>
        <v>59737.5</v>
      </c>
      <c r="F224" s="108">
        <f t="shared" si="245"/>
        <v>0</v>
      </c>
      <c r="G224" s="108">
        <f t="shared" si="245"/>
        <v>0</v>
      </c>
      <c r="H224" s="108">
        <f t="shared" si="245"/>
        <v>0</v>
      </c>
      <c r="I224" s="108">
        <f t="shared" si="245"/>
        <v>59737.5</v>
      </c>
      <c r="J224" s="113">
        <f t="shared" si="245"/>
        <v>71685</v>
      </c>
      <c r="K224" s="113">
        <f t="shared" si="245"/>
        <v>72000</v>
      </c>
      <c r="L224" s="109"/>
      <c r="M224" s="109"/>
      <c r="N224" s="110"/>
      <c r="O224" s="108">
        <f t="shared" ref="O224" si="246">SUM(O223:O223)</f>
        <v>-315</v>
      </c>
      <c r="P224" s="108" t="e">
        <f t="shared" ref="P224" si="247">SUM(P223:P223)</f>
        <v>#REF!</v>
      </c>
      <c r="Q224" s="111"/>
      <c r="R224" s="112">
        <f t="shared" ref="R224" si="248">SUM(R223:R223)</f>
        <v>0</v>
      </c>
      <c r="S224" s="112">
        <f t="shared" ref="S224" si="249">SUM(S223:S223)</f>
        <v>0</v>
      </c>
      <c r="T224" s="112">
        <f t="shared" ref="T224" si="250">SUM(T223:T223)</f>
        <v>0</v>
      </c>
      <c r="U224" s="112">
        <f t="shared" ref="U224" si="251">SUM(U223:U223)</f>
        <v>0</v>
      </c>
      <c r="V224" s="112">
        <f t="shared" ref="V224" si="252">SUM(V223:V223)</f>
        <v>0</v>
      </c>
    </row>
    <row r="225" spans="1:24" ht="19.5" customHeight="1">
      <c r="A225" s="41" t="s">
        <v>173</v>
      </c>
      <c r="B225" s="41"/>
      <c r="C225" s="43"/>
      <c r="D225" s="44"/>
      <c r="E225" s="36">
        <f>25635.49/1.2</f>
        <v>21362.908333333336</v>
      </c>
      <c r="F225" s="36">
        <f t="shared" ref="F225:F231" si="253">-E225*$F$10</f>
        <v>0</v>
      </c>
      <c r="G225" s="36">
        <f t="shared" ref="G225" si="254">E225*$G$10</f>
        <v>0</v>
      </c>
      <c r="H225" s="36"/>
      <c r="I225" s="36">
        <f t="shared" ref="I225" si="255">+E225+F225-G225-H225</f>
        <v>21362.908333333336</v>
      </c>
      <c r="J225" s="36">
        <f t="shared" ref="J225:J231" si="256">+I225+(I225*$I$4)</f>
        <v>25635.490000000005</v>
      </c>
      <c r="K225" s="36">
        <v>25635.490000000005</v>
      </c>
      <c r="L225" s="37"/>
      <c r="M225" s="37"/>
      <c r="N225" s="92">
        <f t="shared" ref="N225" si="257">-IF(L225=0,,IF(M225=0,($C$10-L225),M225-L225))</f>
        <v>0</v>
      </c>
      <c r="O225" s="36">
        <f t="shared" ref="O225" si="258">+J225-K225</f>
        <v>0</v>
      </c>
      <c r="P225" s="36" t="e">
        <f t="shared" ref="P225" si="259">+IF($C$10&lt;L225,0,O225)</f>
        <v>#REF!</v>
      </c>
      <c r="Q225" s="39"/>
      <c r="R225" s="40">
        <f t="shared" ref="R225" si="260">IF(N225&gt;=0,0,(IF(-N225&lt;=60,O225,0)))</f>
        <v>0</v>
      </c>
      <c r="S225" s="40">
        <f t="shared" ref="S225" si="261">IF(N225&gt;=0,0,(IF(N225&gt;=-60,0,IF(-60&gt;=N225,IF(N225&gt;=-120,O225,0)))))</f>
        <v>0</v>
      </c>
      <c r="T225" s="40">
        <f t="shared" ref="T225" si="262">IF(N225&gt;=0,0,(IF(N225&gt;-60,0,IF(-60&gt;=N225,IF(N225&gt;=-120,0,IF(N225&gt;=-180,O225,0))))))</f>
        <v>0</v>
      </c>
      <c r="U225" s="40">
        <f t="shared" ref="U225" si="263">IF(N225&gt;=0,0,(IF(N225&gt;-60,0,IF(-60&gt;=N225,IF(N225&gt;-120,0,IF(N225&gt;=-180,0,IF(N225&gt;=-365,O225,0)))))))</f>
        <v>0</v>
      </c>
      <c r="V225" s="40">
        <f t="shared" ref="V225" si="264">IF(N225&gt;=0,0,IF(365&lt;-N225,O225,0))</f>
        <v>0</v>
      </c>
    </row>
    <row r="226" spans="1:24" s="99" customFormat="1" ht="19.5" customHeight="1">
      <c r="A226" s="104"/>
      <c r="B226" s="104"/>
      <c r="C226" s="106"/>
      <c r="D226" s="107"/>
      <c r="E226" s="108">
        <f t="shared" ref="E226:K226" si="265">SUM(E225:E225)</f>
        <v>21362.908333333336</v>
      </c>
      <c r="F226" s="108">
        <f t="shared" si="265"/>
        <v>0</v>
      </c>
      <c r="G226" s="108">
        <f t="shared" si="265"/>
        <v>0</v>
      </c>
      <c r="H226" s="108">
        <f t="shared" si="265"/>
        <v>0</v>
      </c>
      <c r="I226" s="108">
        <f t="shared" si="265"/>
        <v>21362.908333333336</v>
      </c>
      <c r="J226" s="113">
        <f t="shared" si="265"/>
        <v>25635.490000000005</v>
      </c>
      <c r="K226" s="113">
        <f t="shared" si="265"/>
        <v>25635.490000000005</v>
      </c>
      <c r="L226" s="109"/>
      <c r="M226" s="109"/>
      <c r="N226" s="110"/>
      <c r="O226" s="108">
        <f t="shared" ref="O226" si="266">SUM(O225:O225)</f>
        <v>0</v>
      </c>
      <c r="P226" s="108" t="e">
        <f t="shared" ref="P226" si="267">SUM(P225:P225)</f>
        <v>#REF!</v>
      </c>
      <c r="Q226" s="111"/>
      <c r="R226" s="112">
        <f t="shared" ref="R226" si="268">SUM(R225:R225)</f>
        <v>0</v>
      </c>
      <c r="S226" s="112">
        <f t="shared" ref="S226" si="269">SUM(S225:S225)</f>
        <v>0</v>
      </c>
      <c r="T226" s="112">
        <f t="shared" ref="T226" si="270">SUM(T225:T225)</f>
        <v>0</v>
      </c>
      <c r="U226" s="112">
        <f t="shared" ref="U226" si="271">SUM(U225:U225)</f>
        <v>0</v>
      </c>
      <c r="V226" s="112">
        <f t="shared" ref="V226" si="272">SUM(V225:V225)</f>
        <v>0</v>
      </c>
    </row>
    <row r="227" spans="1:24" ht="19.5" customHeight="1">
      <c r="A227" s="41" t="s">
        <v>161</v>
      </c>
      <c r="B227" s="41"/>
      <c r="C227" s="43"/>
      <c r="D227" s="44"/>
      <c r="E227" s="36">
        <f>59089.04/1.2</f>
        <v>49240.866666666669</v>
      </c>
      <c r="F227" s="36">
        <f t="shared" si="253"/>
        <v>0</v>
      </c>
      <c r="G227" s="36">
        <f t="shared" ref="G227" si="273">E227*$G$10</f>
        <v>0</v>
      </c>
      <c r="H227" s="36"/>
      <c r="I227" s="36">
        <f t="shared" ref="I227" si="274">+E227+F227-G227-H227</f>
        <v>49240.866666666669</v>
      </c>
      <c r="J227" s="36">
        <f t="shared" si="256"/>
        <v>59089.04</v>
      </c>
      <c r="K227" s="36">
        <v>59089.04</v>
      </c>
      <c r="L227" s="37"/>
      <c r="M227" s="37"/>
      <c r="N227" s="92">
        <f t="shared" ref="N227" si="275">-IF(L227=0,,IF(M227=0,($C$10-L227),M227-L227))</f>
        <v>0</v>
      </c>
      <c r="O227" s="36">
        <f t="shared" ref="O227" si="276">+J227-K227</f>
        <v>0</v>
      </c>
      <c r="P227" s="36" t="e">
        <f t="shared" ref="P227" si="277">+IF($C$10&lt;L227,0,O227)</f>
        <v>#REF!</v>
      </c>
      <c r="Q227" s="39"/>
      <c r="R227" s="40">
        <f t="shared" ref="R227" si="278">IF(N227&gt;=0,0,(IF(-N227&lt;=60,O227,0)))</f>
        <v>0</v>
      </c>
      <c r="S227" s="40">
        <f t="shared" ref="S227" si="279">IF(N227&gt;=0,0,(IF(N227&gt;=-60,0,IF(-60&gt;=N227,IF(N227&gt;=-120,O227,0)))))</f>
        <v>0</v>
      </c>
      <c r="T227" s="40">
        <f t="shared" ref="T227" si="280">IF(N227&gt;=0,0,(IF(N227&gt;-60,0,IF(-60&gt;=N227,IF(N227&gt;=-120,0,IF(N227&gt;=-180,O227,0))))))</f>
        <v>0</v>
      </c>
      <c r="U227" s="40">
        <f t="shared" ref="U227" si="281">IF(N227&gt;=0,0,(IF(N227&gt;-60,0,IF(-60&gt;=N227,IF(N227&gt;-120,0,IF(N227&gt;=-180,0,IF(N227&gt;=-365,O227,0)))))))</f>
        <v>0</v>
      </c>
      <c r="V227" s="40">
        <f t="shared" ref="V227" si="282">IF(N227&gt;=0,0,IF(365&lt;-N227,O227,0))</f>
        <v>0</v>
      </c>
    </row>
    <row r="228" spans="1:24" s="99" customFormat="1" ht="19.5" customHeight="1">
      <c r="A228" s="104"/>
      <c r="B228" s="104"/>
      <c r="C228" s="106"/>
      <c r="D228" s="107"/>
      <c r="E228" s="108">
        <f t="shared" ref="E228:K228" si="283">SUM(E227:E227)</f>
        <v>49240.866666666669</v>
      </c>
      <c r="F228" s="108">
        <f t="shared" si="283"/>
        <v>0</v>
      </c>
      <c r="G228" s="108">
        <f t="shared" si="283"/>
        <v>0</v>
      </c>
      <c r="H228" s="108">
        <f t="shared" si="283"/>
        <v>0</v>
      </c>
      <c r="I228" s="108">
        <f t="shared" si="283"/>
        <v>49240.866666666669</v>
      </c>
      <c r="J228" s="113">
        <f t="shared" si="283"/>
        <v>59089.04</v>
      </c>
      <c r="K228" s="113">
        <f t="shared" si="283"/>
        <v>59089.04</v>
      </c>
      <c r="L228" s="109"/>
      <c r="M228" s="109"/>
      <c r="N228" s="110"/>
      <c r="O228" s="108">
        <f t="shared" ref="O228" si="284">SUM(O227:O227)</f>
        <v>0</v>
      </c>
      <c r="P228" s="108" t="e">
        <f t="shared" ref="P228" si="285">SUM(P227:P227)</f>
        <v>#REF!</v>
      </c>
      <c r="Q228" s="111"/>
      <c r="R228" s="112">
        <f t="shared" ref="R228" si="286">SUM(R227:R227)</f>
        <v>0</v>
      </c>
      <c r="S228" s="112">
        <f t="shared" ref="S228" si="287">SUM(S227:S227)</f>
        <v>0</v>
      </c>
      <c r="T228" s="112">
        <f t="shared" ref="T228" si="288">SUM(T227:T227)</f>
        <v>0</v>
      </c>
      <c r="U228" s="112">
        <f t="shared" ref="U228" si="289">SUM(U227:U227)</f>
        <v>0</v>
      </c>
      <c r="V228" s="112">
        <f t="shared" ref="V228" si="290">SUM(V227:V227)</f>
        <v>0</v>
      </c>
    </row>
    <row r="229" spans="1:24" ht="19.5" customHeight="1">
      <c r="A229" s="41" t="s">
        <v>134</v>
      </c>
      <c r="B229" s="41"/>
      <c r="C229" s="43"/>
      <c r="D229" s="44"/>
      <c r="E229" s="36">
        <f>261762.82/1.2</f>
        <v>218135.68333333335</v>
      </c>
      <c r="F229" s="36">
        <f t="shared" si="253"/>
        <v>0</v>
      </c>
      <c r="G229" s="36">
        <f t="shared" ref="G229" si="291">E229*$G$10</f>
        <v>0</v>
      </c>
      <c r="H229" s="36"/>
      <c r="I229" s="36">
        <f t="shared" ref="I229" si="292">+E229+F229-G229-H229</f>
        <v>218135.68333333335</v>
      </c>
      <c r="J229" s="36">
        <f t="shared" si="256"/>
        <v>261762.82</v>
      </c>
      <c r="K229" s="36">
        <v>261762.83</v>
      </c>
      <c r="L229" s="37"/>
      <c r="M229" s="37"/>
      <c r="N229" s="92">
        <f t="shared" ref="N229" si="293">-IF(L229=0,,IF(M229=0,($C$10-L229),M229-L229))</f>
        <v>0</v>
      </c>
      <c r="O229" s="36">
        <f t="shared" ref="O229" si="294">+J229-K229</f>
        <v>-9.9999999802093953E-3</v>
      </c>
      <c r="P229" s="36" t="e">
        <f t="shared" ref="P229" si="295">+IF($C$10&lt;L229,0,O229)</f>
        <v>#REF!</v>
      </c>
      <c r="Q229" s="39"/>
      <c r="R229" s="40">
        <f t="shared" ref="R229" si="296">IF(N229&gt;=0,0,(IF(-N229&lt;=60,O229,0)))</f>
        <v>0</v>
      </c>
      <c r="S229" s="40">
        <f t="shared" ref="S229" si="297">IF(N229&gt;=0,0,(IF(N229&gt;=-60,0,IF(-60&gt;=N229,IF(N229&gt;=-120,O229,0)))))</f>
        <v>0</v>
      </c>
      <c r="T229" s="40">
        <f t="shared" ref="T229" si="298">IF(N229&gt;=0,0,(IF(N229&gt;-60,0,IF(-60&gt;=N229,IF(N229&gt;=-120,0,IF(N229&gt;=-180,O229,0))))))</f>
        <v>0</v>
      </c>
      <c r="U229" s="40">
        <f t="shared" ref="U229" si="299">IF(N229&gt;=0,0,(IF(N229&gt;-60,0,IF(-60&gt;=N229,IF(N229&gt;-120,0,IF(N229&gt;=-180,0,IF(N229&gt;=-365,O229,0)))))))</f>
        <v>0</v>
      </c>
      <c r="V229" s="40">
        <f t="shared" ref="V229" si="300">IF(N229&gt;=0,0,IF(365&lt;-N229,O229,0))</f>
        <v>0</v>
      </c>
    </row>
    <row r="230" spans="1:24" s="99" customFormat="1" ht="19.5" customHeight="1">
      <c r="A230" s="104"/>
      <c r="B230" s="104"/>
      <c r="C230" s="106"/>
      <c r="D230" s="107"/>
      <c r="E230" s="108">
        <f t="shared" ref="E230:K230" si="301">SUM(E229:E229)</f>
        <v>218135.68333333335</v>
      </c>
      <c r="F230" s="108">
        <f t="shared" si="301"/>
        <v>0</v>
      </c>
      <c r="G230" s="108">
        <f t="shared" si="301"/>
        <v>0</v>
      </c>
      <c r="H230" s="108">
        <f t="shared" si="301"/>
        <v>0</v>
      </c>
      <c r="I230" s="108">
        <f t="shared" si="301"/>
        <v>218135.68333333335</v>
      </c>
      <c r="J230" s="113">
        <f t="shared" si="301"/>
        <v>261762.82</v>
      </c>
      <c r="K230" s="113">
        <f t="shared" si="301"/>
        <v>261762.83</v>
      </c>
      <c r="L230" s="109"/>
      <c r="M230" s="109"/>
      <c r="N230" s="110"/>
      <c r="O230" s="108">
        <f t="shared" ref="O230" si="302">SUM(O229:O229)</f>
        <v>-9.9999999802093953E-3</v>
      </c>
      <c r="P230" s="108" t="e">
        <f t="shared" ref="P230" si="303">SUM(P229:P229)</f>
        <v>#REF!</v>
      </c>
      <c r="Q230" s="111"/>
      <c r="R230" s="112">
        <f t="shared" ref="R230" si="304">SUM(R229:R229)</f>
        <v>0</v>
      </c>
      <c r="S230" s="112">
        <f t="shared" ref="S230" si="305">SUM(S229:S229)</f>
        <v>0</v>
      </c>
      <c r="T230" s="112">
        <f t="shared" ref="T230" si="306">SUM(T229:T229)</f>
        <v>0</v>
      </c>
      <c r="U230" s="112">
        <f t="shared" ref="U230" si="307">SUM(U229:U229)</f>
        <v>0</v>
      </c>
      <c r="V230" s="112">
        <f t="shared" ref="V230" si="308">SUM(V229:V229)</f>
        <v>0</v>
      </c>
    </row>
    <row r="231" spans="1:24" ht="19.5" customHeight="1">
      <c r="A231" s="41" t="s">
        <v>68</v>
      </c>
      <c r="B231" s="41"/>
      <c r="C231" s="43"/>
      <c r="D231" s="44"/>
      <c r="E231" s="36">
        <f>1798991.62/1.2</f>
        <v>1499159.6833333336</v>
      </c>
      <c r="F231" s="36">
        <f t="shared" si="253"/>
        <v>0</v>
      </c>
      <c r="G231" s="36">
        <f t="shared" ref="G231" si="309">E231*$G$10</f>
        <v>0</v>
      </c>
      <c r="H231" s="36"/>
      <c r="I231" s="36">
        <f t="shared" ref="I231" si="310">+E231+F231-G231-H231</f>
        <v>1499159.6833333336</v>
      </c>
      <c r="J231" s="36">
        <f t="shared" si="256"/>
        <v>1798991.6200000003</v>
      </c>
      <c r="K231" s="36">
        <v>1798991.6200000003</v>
      </c>
      <c r="L231" s="37"/>
      <c r="M231" s="37"/>
      <c r="N231" s="92">
        <f t="shared" ref="N231" si="311">-IF(L231=0,,IF(M231=0,($C$10-L231),M231-L231))</f>
        <v>0</v>
      </c>
      <c r="O231" s="36">
        <f t="shared" ref="O231" si="312">+J231-K231</f>
        <v>0</v>
      </c>
      <c r="P231" s="36" t="e">
        <f t="shared" ref="P231" si="313">+IF($C$10&lt;L231,0,O231)</f>
        <v>#REF!</v>
      </c>
      <c r="Q231" s="39"/>
      <c r="R231" s="40">
        <f t="shared" ref="R231" si="314">IF(N231&gt;=0,0,(IF(-N231&lt;=60,O231,0)))</f>
        <v>0</v>
      </c>
      <c r="S231" s="40">
        <f t="shared" ref="S231" si="315">IF(N231&gt;=0,0,(IF(N231&gt;=-60,0,IF(-60&gt;=N231,IF(N231&gt;=-120,O231,0)))))</f>
        <v>0</v>
      </c>
      <c r="T231" s="40">
        <f t="shared" ref="T231" si="316">IF(N231&gt;=0,0,(IF(N231&gt;-60,0,IF(-60&gt;=N231,IF(N231&gt;=-120,0,IF(N231&gt;=-180,O231,0))))))</f>
        <v>0</v>
      </c>
      <c r="U231" s="40">
        <f t="shared" ref="U231" si="317">IF(N231&gt;=0,0,(IF(N231&gt;-60,0,IF(-60&gt;=N231,IF(N231&gt;-120,0,IF(N231&gt;=-180,0,IF(N231&gt;=-365,O231,0)))))))</f>
        <v>0</v>
      </c>
      <c r="V231" s="40">
        <f t="shared" ref="V231" si="318">IF(N231&gt;=0,0,IF(365&lt;-N231,O231,0))</f>
        <v>0</v>
      </c>
    </row>
    <row r="232" spans="1:24" s="99" customFormat="1" ht="19.5" customHeight="1">
      <c r="A232" s="104"/>
      <c r="B232" s="104"/>
      <c r="C232" s="106"/>
      <c r="D232" s="107"/>
      <c r="E232" s="108">
        <f t="shared" ref="E232:K232" si="319">SUM(E231:E231)</f>
        <v>1499159.6833333336</v>
      </c>
      <c r="F232" s="108">
        <f t="shared" si="319"/>
        <v>0</v>
      </c>
      <c r="G232" s="108">
        <f t="shared" si="319"/>
        <v>0</v>
      </c>
      <c r="H232" s="108">
        <f t="shared" si="319"/>
        <v>0</v>
      </c>
      <c r="I232" s="108">
        <f t="shared" si="319"/>
        <v>1499159.6833333336</v>
      </c>
      <c r="J232" s="113">
        <f t="shared" si="319"/>
        <v>1798991.6200000003</v>
      </c>
      <c r="K232" s="113">
        <f t="shared" si="319"/>
        <v>1798991.6200000003</v>
      </c>
      <c r="L232" s="109"/>
      <c r="M232" s="109"/>
      <c r="N232" s="110"/>
      <c r="O232" s="108">
        <f t="shared" ref="O232" si="320">SUM(O231:O231)</f>
        <v>0</v>
      </c>
      <c r="P232" s="108" t="e">
        <f t="shared" ref="P232" si="321">SUM(P231:P231)</f>
        <v>#REF!</v>
      </c>
      <c r="Q232" s="111"/>
      <c r="R232" s="112">
        <f t="shared" ref="R232" si="322">SUM(R231:R231)</f>
        <v>0</v>
      </c>
      <c r="S232" s="112">
        <f t="shared" ref="S232" si="323">SUM(S231:S231)</f>
        <v>0</v>
      </c>
      <c r="T232" s="112">
        <f t="shared" ref="T232" si="324">SUM(T231:T231)</f>
        <v>0</v>
      </c>
      <c r="U232" s="112">
        <f t="shared" ref="U232" si="325">SUM(U231:U231)</f>
        <v>0</v>
      </c>
      <c r="V232" s="112">
        <f t="shared" ref="V232" si="326">SUM(V231:V231)</f>
        <v>0</v>
      </c>
    </row>
    <row r="233" spans="1:24" ht="19.5" customHeight="1">
      <c r="A233" s="41" t="s">
        <v>174</v>
      </c>
      <c r="B233" s="41"/>
      <c r="C233" s="43"/>
      <c r="D233" s="44"/>
      <c r="E233" s="36">
        <f>49200/1.2</f>
        <v>41000</v>
      </c>
      <c r="F233" s="36">
        <f t="shared" ref="F233" si="327">-E233*$F$10</f>
        <v>0</v>
      </c>
      <c r="G233" s="36">
        <f t="shared" ref="G233" si="328">E233*$G$10</f>
        <v>0</v>
      </c>
      <c r="H233" s="36"/>
      <c r="I233" s="36">
        <f t="shared" ref="I233" si="329">+E233+F233-G233-H233</f>
        <v>41000</v>
      </c>
      <c r="J233" s="36">
        <f t="shared" ref="J233" si="330">+I233+(I233*$I$4)</f>
        <v>49200</v>
      </c>
      <c r="K233" s="36">
        <v>49200</v>
      </c>
      <c r="L233" s="37"/>
      <c r="M233" s="37"/>
      <c r="N233" s="92">
        <f t="shared" ref="N233" si="331">-IF(L233=0,,IF(M233=0,($C$10-L233),M233-L233))</f>
        <v>0</v>
      </c>
      <c r="O233" s="36">
        <f t="shared" ref="O233" si="332">+J233-K233</f>
        <v>0</v>
      </c>
      <c r="P233" s="36" t="e">
        <f t="shared" ref="P233" si="333">+IF($C$10&lt;L233,0,O233)</f>
        <v>#REF!</v>
      </c>
      <c r="Q233" s="39"/>
      <c r="R233" s="40">
        <f t="shared" ref="R233" si="334">IF(N233&gt;=0,0,(IF(-N233&lt;=60,O233,0)))</f>
        <v>0</v>
      </c>
      <c r="S233" s="40">
        <f t="shared" ref="S233" si="335">IF(N233&gt;=0,0,(IF(N233&gt;=-60,0,IF(-60&gt;=N233,IF(N233&gt;=-120,O233,0)))))</f>
        <v>0</v>
      </c>
      <c r="T233" s="40">
        <f t="shared" ref="T233" si="336">IF(N233&gt;=0,0,(IF(N233&gt;-60,0,IF(-60&gt;=N233,IF(N233&gt;=-120,0,IF(N233&gt;=-180,O233,0))))))</f>
        <v>0</v>
      </c>
      <c r="U233" s="40">
        <f t="shared" ref="U233" si="337">IF(N233&gt;=0,0,(IF(N233&gt;-60,0,IF(-60&gt;=N233,IF(N233&gt;-120,0,IF(N233&gt;=-180,0,IF(N233&gt;=-365,O233,0)))))))</f>
        <v>0</v>
      </c>
      <c r="V233" s="40">
        <f t="shared" ref="V233" si="338">IF(N233&gt;=0,0,IF(365&lt;-N233,O233,0))</f>
        <v>0</v>
      </c>
    </row>
    <row r="234" spans="1:24" s="99" customFormat="1" ht="19.5" customHeight="1">
      <c r="A234" s="104"/>
      <c r="B234" s="104"/>
      <c r="C234" s="106"/>
      <c r="D234" s="107"/>
      <c r="E234" s="108">
        <f t="shared" ref="E234:K234" si="339">SUM(E233:E233)</f>
        <v>41000</v>
      </c>
      <c r="F234" s="108">
        <f t="shared" si="339"/>
        <v>0</v>
      </c>
      <c r="G234" s="108">
        <f t="shared" si="339"/>
        <v>0</v>
      </c>
      <c r="H234" s="108">
        <f t="shared" si="339"/>
        <v>0</v>
      </c>
      <c r="I234" s="108">
        <f t="shared" si="339"/>
        <v>41000</v>
      </c>
      <c r="J234" s="113">
        <f t="shared" si="339"/>
        <v>49200</v>
      </c>
      <c r="K234" s="113">
        <f t="shared" si="339"/>
        <v>49200</v>
      </c>
      <c r="L234" s="109"/>
      <c r="M234" s="109"/>
      <c r="N234" s="110"/>
      <c r="O234" s="108">
        <f t="shared" ref="O234" si="340">SUM(O233:O233)</f>
        <v>0</v>
      </c>
      <c r="P234" s="108" t="e">
        <f t="shared" ref="P234" si="341">SUM(P233:P233)</f>
        <v>#REF!</v>
      </c>
      <c r="Q234" s="111"/>
      <c r="R234" s="112">
        <f t="shared" ref="R234" si="342">SUM(R233:R233)</f>
        <v>0</v>
      </c>
      <c r="S234" s="112">
        <f t="shared" ref="S234" si="343">SUM(S233:S233)</f>
        <v>0</v>
      </c>
      <c r="T234" s="112">
        <f t="shared" ref="T234" si="344">SUM(T233:T233)</f>
        <v>0</v>
      </c>
      <c r="U234" s="112">
        <f t="shared" ref="U234" si="345">SUM(U233:U233)</f>
        <v>0</v>
      </c>
      <c r="V234" s="112">
        <f t="shared" ref="V234" si="346">SUM(V233:V233)</f>
        <v>0</v>
      </c>
    </row>
    <row r="235" spans="1:24" ht="19.5" customHeight="1">
      <c r="A235" s="41" t="s">
        <v>164</v>
      </c>
      <c r="B235" s="41"/>
      <c r="C235" s="43"/>
      <c r="D235" s="44"/>
      <c r="E235" s="36">
        <f>480444.47/1.2</f>
        <v>400370.39166666666</v>
      </c>
      <c r="F235" s="36">
        <f t="shared" ref="F235" si="347">-E235*$F$10</f>
        <v>0</v>
      </c>
      <c r="G235" s="36">
        <f t="shared" ref="G235" si="348">E235*$G$10</f>
        <v>0</v>
      </c>
      <c r="H235" s="36"/>
      <c r="I235" s="36">
        <f t="shared" ref="I235" si="349">+E235+F235-G235-H235</f>
        <v>400370.39166666666</v>
      </c>
      <c r="J235" s="36">
        <f t="shared" ref="J235" si="350">+I235+(I235*$I$4)</f>
        <v>480444.47</v>
      </c>
      <c r="K235" s="36">
        <v>480444.47</v>
      </c>
      <c r="L235" s="37"/>
      <c r="M235" s="37"/>
      <c r="N235" s="92">
        <f t="shared" ref="N235" si="351">-IF(L235=0,,IF(M235=0,($C$10-L235),M235-L235))</f>
        <v>0</v>
      </c>
      <c r="O235" s="36">
        <f t="shared" ref="O235" si="352">+J235-K235</f>
        <v>0</v>
      </c>
      <c r="P235" s="36" t="e">
        <f t="shared" ref="P235" si="353">+IF($C$10&lt;L235,0,O235)</f>
        <v>#REF!</v>
      </c>
      <c r="Q235" s="39"/>
      <c r="R235" s="40">
        <f t="shared" ref="R235" si="354">IF(N235&gt;=0,0,(IF(-N235&lt;=60,O235,0)))</f>
        <v>0</v>
      </c>
      <c r="S235" s="40">
        <f t="shared" ref="S235" si="355">IF(N235&gt;=0,0,(IF(N235&gt;=-60,0,IF(-60&gt;=N235,IF(N235&gt;=-120,O235,0)))))</f>
        <v>0</v>
      </c>
      <c r="T235" s="40">
        <f t="shared" ref="T235" si="356">IF(N235&gt;=0,0,(IF(N235&gt;-60,0,IF(-60&gt;=N235,IF(N235&gt;=-120,0,IF(N235&gt;=-180,O235,0))))))</f>
        <v>0</v>
      </c>
      <c r="U235" s="40">
        <f t="shared" ref="U235" si="357">IF(N235&gt;=0,0,(IF(N235&gt;-60,0,IF(-60&gt;=N235,IF(N235&gt;-120,0,IF(N235&gt;=-180,0,IF(N235&gt;=-365,O235,0)))))))</f>
        <v>0</v>
      </c>
      <c r="V235" s="40">
        <f t="shared" ref="V235" si="358">IF(N235&gt;=0,0,IF(365&lt;-N235,O235,0))</f>
        <v>0</v>
      </c>
    </row>
    <row r="236" spans="1:24" s="99" customFormat="1" ht="19.5" customHeight="1">
      <c r="A236" s="104"/>
      <c r="B236" s="104"/>
      <c r="C236" s="106"/>
      <c r="D236" s="107"/>
      <c r="E236" s="108">
        <f t="shared" ref="E236:K236" si="359">SUM(E235:E235)</f>
        <v>400370.39166666666</v>
      </c>
      <c r="F236" s="108">
        <f t="shared" si="359"/>
        <v>0</v>
      </c>
      <c r="G236" s="108">
        <f t="shared" si="359"/>
        <v>0</v>
      </c>
      <c r="H236" s="108">
        <f t="shared" si="359"/>
        <v>0</v>
      </c>
      <c r="I236" s="108">
        <f t="shared" si="359"/>
        <v>400370.39166666666</v>
      </c>
      <c r="J236" s="113">
        <f t="shared" si="359"/>
        <v>480444.47</v>
      </c>
      <c r="K236" s="113">
        <f t="shared" si="359"/>
        <v>480444.47</v>
      </c>
      <c r="L236" s="109"/>
      <c r="M236" s="109"/>
      <c r="N236" s="110"/>
      <c r="O236" s="108">
        <f t="shared" ref="O236:P236" si="360">SUM(O235:O235)</f>
        <v>0</v>
      </c>
      <c r="P236" s="108" t="e">
        <f t="shared" si="360"/>
        <v>#REF!</v>
      </c>
      <c r="Q236" s="111"/>
      <c r="R236" s="112">
        <f t="shared" ref="R236:V236" si="361">SUM(R235:R235)</f>
        <v>0</v>
      </c>
      <c r="S236" s="112">
        <f t="shared" si="361"/>
        <v>0</v>
      </c>
      <c r="T236" s="112">
        <f t="shared" si="361"/>
        <v>0</v>
      </c>
      <c r="U236" s="112">
        <f t="shared" si="361"/>
        <v>0</v>
      </c>
      <c r="V236" s="112">
        <f t="shared" si="361"/>
        <v>0</v>
      </c>
    </row>
    <row r="237" spans="1:24" ht="19.5" customHeight="1">
      <c r="A237" s="41" t="s">
        <v>226</v>
      </c>
      <c r="B237" s="41"/>
      <c r="C237" s="43"/>
      <c r="D237" s="44"/>
      <c r="E237" s="36">
        <v>11897812.58</v>
      </c>
      <c r="F237" s="36">
        <f>-E237*$F$10</f>
        <v>0</v>
      </c>
      <c r="G237" s="36">
        <f>E237*$G$10</f>
        <v>0</v>
      </c>
      <c r="H237" s="36"/>
      <c r="I237" s="36">
        <f>+E237+F237-G237-H237</f>
        <v>11897812.58</v>
      </c>
      <c r="J237" s="36">
        <f>+I237+(I237*$I$4)</f>
        <v>14277375.096000001</v>
      </c>
      <c r="K237" s="36">
        <v>14277375.096000001</v>
      </c>
      <c r="L237" s="37"/>
      <c r="M237" s="37"/>
      <c r="N237" s="92">
        <f>-IF(L237=0,,IF(M237=0,($C$10-L237),M237-L237))</f>
        <v>0</v>
      </c>
      <c r="O237" s="36">
        <f>+J237-K237</f>
        <v>0</v>
      </c>
      <c r="P237" s="36" t="e">
        <f>+IF($C$10&lt;L237,0,O237)</f>
        <v>#REF!</v>
      </c>
      <c r="Q237" s="39"/>
      <c r="R237" s="40">
        <f>IF(N237&gt;=0,0,(IF(-N237&lt;=60,O237,0)))</f>
        <v>0</v>
      </c>
      <c r="S237" s="40">
        <f>IF(N237&gt;=0,0,(IF(N237&gt;=-60,0,IF(-60&gt;=N237,IF(N237&gt;=-120,O237,0)))))</f>
        <v>0</v>
      </c>
      <c r="T237" s="40">
        <f>IF(N237&gt;=0,0,(IF(N237&gt;-60,0,IF(-60&gt;=N237,IF(N237&gt;=-120,0,IF(N237&gt;=-180,O237,0))))))</f>
        <v>0</v>
      </c>
      <c r="U237" s="40">
        <f>IF(N237&gt;=0,0,(IF(N237&gt;-60,0,IF(-60&gt;=N237,IF(N237&gt;-120,0,IF(N237&gt;=-180,0,IF(N237&gt;=-365,O237,0)))))))</f>
        <v>0</v>
      </c>
      <c r="V237" s="40">
        <f>IF(N237&gt;=0,0,IF(365&lt;-N237,O237,0))</f>
        <v>0</v>
      </c>
    </row>
    <row r="238" spans="1:24" s="99" customFormat="1" ht="19.5" customHeight="1">
      <c r="A238" s="104"/>
      <c r="B238" s="104"/>
      <c r="C238" s="106"/>
      <c r="D238" s="107"/>
      <c r="E238" s="108">
        <f t="shared" ref="E238:K238" si="362">SUM(E237:E237)</f>
        <v>11897812.58</v>
      </c>
      <c r="F238" s="108">
        <f t="shared" si="362"/>
        <v>0</v>
      </c>
      <c r="G238" s="108">
        <f t="shared" si="362"/>
        <v>0</v>
      </c>
      <c r="H238" s="108">
        <f t="shared" si="362"/>
        <v>0</v>
      </c>
      <c r="I238" s="108">
        <f t="shared" si="362"/>
        <v>11897812.58</v>
      </c>
      <c r="J238" s="113">
        <f t="shared" si="362"/>
        <v>14277375.096000001</v>
      </c>
      <c r="K238" s="113">
        <f t="shared" si="362"/>
        <v>14277375.096000001</v>
      </c>
      <c r="L238" s="109"/>
      <c r="M238" s="109"/>
      <c r="N238" s="110"/>
      <c r="O238" s="108">
        <f>SUM(O237:O237)</f>
        <v>0</v>
      </c>
      <c r="P238" s="108" t="e">
        <f>SUM(P237:P237)</f>
        <v>#REF!</v>
      </c>
      <c r="Q238" s="111"/>
      <c r="R238" s="112">
        <f>SUM(R237:R237)</f>
        <v>0</v>
      </c>
      <c r="S238" s="112">
        <f>SUM(S237:S237)</f>
        <v>0</v>
      </c>
      <c r="T238" s="112">
        <f>SUM(T237:T237)</f>
        <v>0</v>
      </c>
      <c r="U238" s="112">
        <f>SUM(U237:U237)</f>
        <v>0</v>
      </c>
      <c r="V238" s="112">
        <f>SUM(V237:V237)</f>
        <v>0</v>
      </c>
    </row>
    <row r="239" spans="1:24" s="99" customFormat="1" ht="18.75" customHeight="1" thickBot="1">
      <c r="A239" s="104"/>
      <c r="B239" s="155" t="s">
        <v>228</v>
      </c>
      <c r="C239" s="156"/>
      <c r="D239" s="157"/>
      <c r="E239" s="130">
        <f>SUM(E238,E236,E234,E232,E230,E228,E226,E224,E222,E220,E218,E216,E214,E212,E210,E208)</f>
        <v>15349884.330000002</v>
      </c>
      <c r="F239" s="130">
        <f t="shared" ref="F239:K239" si="363">SUM(F238,F236,F234,F232,F230,F228,F226,F224,F222,F220,F218,F216,F214,F212,F210,F208)</f>
        <v>0</v>
      </c>
      <c r="G239" s="130">
        <f t="shared" si="363"/>
        <v>0</v>
      </c>
      <c r="H239" s="130">
        <f t="shared" si="363"/>
        <v>0</v>
      </c>
      <c r="I239" s="130">
        <f t="shared" si="363"/>
        <v>15349884.330000002</v>
      </c>
      <c r="J239" s="130">
        <f t="shared" si="363"/>
        <v>18419861.196000002</v>
      </c>
      <c r="K239" s="130">
        <f t="shared" si="363"/>
        <v>18420176.166000005</v>
      </c>
      <c r="L239" s="109"/>
      <c r="M239" s="109"/>
      <c r="N239" s="110"/>
      <c r="O239" s="108">
        <f t="shared" ref="O239" si="364">SUM(O238,O236,O234,O232,O230,O228,O226,O224,O222,O220,O218,O216,O214,O212,O210,O208)</f>
        <v>-314.96999999994296</v>
      </c>
      <c r="P239" s="108" t="e">
        <f t="shared" ref="P239" si="365">SUM(P238,P236,P234,P232,P230,P228,P226,P224,P222,P220,P218,P216,P214,P212,P210,P208)</f>
        <v>#REF!</v>
      </c>
      <c r="Q239" s="111">
        <f t="shared" ref="Q239" si="366">SUM(Q238,Q236,Q234,Q232,Q230,Q228,Q226,Q224,Q222,Q220,Q218,Q216,Q214,Q212,Q210,Q208)</f>
        <v>0</v>
      </c>
      <c r="R239" s="112">
        <f t="shared" ref="R239" si="367">SUM(R238,R236,R234,R232,R230,R228,R226,R224,R222,R220,R218,R216,R214,R212,R210,R208)</f>
        <v>0</v>
      </c>
      <c r="S239" s="112">
        <f t="shared" ref="S239" si="368">SUM(S238,S236,S234,S232,S230,S228,S226,S224,S222,S220,S218,S216,S214,S212,S210,S208)</f>
        <v>0</v>
      </c>
      <c r="T239" s="112">
        <f t="shared" ref="T239" si="369">SUM(T238,T236,T234,T232,T230,T228,T226,T224,T222,T220,T218,T216,T214,T212,T210,T208)</f>
        <v>0</v>
      </c>
      <c r="U239" s="112">
        <f t="shared" ref="U239" si="370">SUM(U238,U236,U234,U232,U230,U228,U226,U224,U222,U220,U218,U216,U214,U212,U210,U208)</f>
        <v>0</v>
      </c>
      <c r="V239" s="112">
        <f t="shared" ref="V239" si="371">SUM(V238,V236,V234,V232,V230,V228,V226,V224,V222,V220,V218,V216,V214,V212,V210,V208)</f>
        <v>0</v>
      </c>
      <c r="X239" s="129"/>
    </row>
    <row r="240" spans="1:24" s="111" customFormat="1" ht="28.5" customHeight="1" thickBot="1">
      <c r="A240" s="120"/>
      <c r="B240" s="121" t="s">
        <v>43</v>
      </c>
      <c r="C240" s="121"/>
      <c r="D240" s="121"/>
      <c r="E240" s="122">
        <f>E239+E205+E191+E119</f>
        <v>120515014.64500001</v>
      </c>
      <c r="F240" s="122">
        <f t="shared" ref="F240:K240" si="372">F239+F205+F191+F119</f>
        <v>0</v>
      </c>
      <c r="G240" s="122">
        <f t="shared" si="372"/>
        <v>0</v>
      </c>
      <c r="H240" s="122">
        <f t="shared" si="372"/>
        <v>0</v>
      </c>
      <c r="I240" s="122">
        <f t="shared" si="372"/>
        <v>120515014.64500001</v>
      </c>
      <c r="J240" s="122">
        <f t="shared" si="372"/>
        <v>144618017.574</v>
      </c>
      <c r="K240" s="122">
        <f t="shared" si="372"/>
        <v>144195245.84400001</v>
      </c>
      <c r="L240" s="123"/>
      <c r="M240" s="123"/>
      <c r="N240" s="123"/>
      <c r="O240" s="122">
        <f t="shared" ref="O240" si="373">O239+O205+O191+O119</f>
        <v>422771.7300000001</v>
      </c>
      <c r="P240" s="122" t="e">
        <f t="shared" ref="P240" si="374">P239+P205+P191+P119</f>
        <v>#REF!</v>
      </c>
      <c r="Q240" s="111">
        <f t="shared" ref="Q240" si="375">Q239+Q205+Q191+Q119</f>
        <v>0</v>
      </c>
      <c r="R240" s="124" t="e">
        <f t="shared" ref="R240" si="376">R239+R205+R191+R119</f>
        <v>#REF!</v>
      </c>
      <c r="S240" s="124" t="e">
        <f t="shared" ref="S240" si="377">S239+S205+S191+S119</f>
        <v>#REF!</v>
      </c>
      <c r="T240" s="124" t="e">
        <f t="shared" ref="T240" si="378">T239+T205+T191+T119</f>
        <v>#REF!</v>
      </c>
      <c r="U240" s="124" t="e">
        <f t="shared" ref="U240" si="379">U239+U205+U191+U119</f>
        <v>#REF!</v>
      </c>
      <c r="V240" s="124" t="e">
        <f t="shared" ref="V240" si="380">V239+V205+V191+V119</f>
        <v>#REF!</v>
      </c>
    </row>
    <row r="241" spans="1:22" ht="21" customHeight="1">
      <c r="A241" s="45"/>
      <c r="B241" s="46"/>
      <c r="C241" s="46"/>
      <c r="D241" s="47" t="s">
        <v>44</v>
      </c>
      <c r="E241" s="48">
        <f>+E240/$M$7</f>
        <v>1.0000000039690768</v>
      </c>
      <c r="F241" s="46"/>
      <c r="G241" s="128"/>
      <c r="H241" s="46"/>
      <c r="I241" s="46"/>
      <c r="J241" s="47" t="s">
        <v>45</v>
      </c>
      <c r="K241" s="48">
        <f>+K240/J240</f>
        <v>0.99707663168744753</v>
      </c>
      <c r="L241" s="46"/>
      <c r="M241" s="46"/>
      <c r="N241" s="46"/>
      <c r="O241" s="46"/>
      <c r="P241" s="49"/>
      <c r="Q241" s="39"/>
      <c r="R241" s="39"/>
      <c r="S241" s="39"/>
      <c r="T241" s="39"/>
      <c r="U241" s="39"/>
      <c r="V241" s="39"/>
    </row>
    <row r="242" spans="1:22" ht="21" customHeight="1" thickBot="1">
      <c r="A242" s="50"/>
      <c r="B242" s="51"/>
      <c r="C242" s="51"/>
      <c r="D242" s="52" t="s">
        <v>46</v>
      </c>
      <c r="E242" s="53">
        <f>+$M$7-$E$240</f>
        <v>-0.47833333909511566</v>
      </c>
      <c r="F242" s="54">
        <f>+E242/M7</f>
        <v>-3.9690767362280925E-9</v>
      </c>
      <c r="G242" s="51"/>
      <c r="H242" s="51"/>
      <c r="I242" s="51"/>
      <c r="J242" s="117"/>
      <c r="K242" s="51"/>
      <c r="L242" s="51"/>
      <c r="M242" s="51"/>
      <c r="N242" s="51"/>
      <c r="O242" s="51"/>
      <c r="P242" s="55"/>
      <c r="Q242" s="39"/>
      <c r="R242" s="39"/>
      <c r="S242" s="39"/>
      <c r="T242" s="39"/>
      <c r="U242" s="39"/>
      <c r="V242" s="39"/>
    </row>
    <row r="243" spans="1:22">
      <c r="A243" s="39"/>
      <c r="B243" s="45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9"/>
      <c r="O243" s="39"/>
      <c r="P243" s="39"/>
      <c r="Q243" s="39"/>
      <c r="R243" s="39"/>
      <c r="S243" s="39"/>
      <c r="T243" s="39"/>
      <c r="U243" s="39"/>
      <c r="V243" s="39"/>
    </row>
    <row r="244" spans="1:22" ht="21">
      <c r="A244" s="39"/>
      <c r="B244" s="56"/>
      <c r="C244" s="91" t="s">
        <v>47</v>
      </c>
      <c r="D244" s="91"/>
      <c r="E244" s="91"/>
      <c r="F244" s="91"/>
      <c r="G244" s="91"/>
      <c r="H244" s="91" t="s">
        <v>229</v>
      </c>
      <c r="I244" s="57"/>
      <c r="J244" s="57"/>
      <c r="K244" s="57"/>
      <c r="L244" s="57"/>
      <c r="M244" s="57"/>
      <c r="N244" s="58"/>
      <c r="O244" s="39"/>
      <c r="P244" s="39"/>
      <c r="Q244" s="39"/>
      <c r="R244" s="39"/>
      <c r="S244" s="39"/>
      <c r="T244" s="39"/>
      <c r="U244" s="39"/>
      <c r="V244" s="39"/>
    </row>
    <row r="245" spans="1:22" ht="17.25" thickBot="1">
      <c r="A245" s="39"/>
      <c r="B245" s="56"/>
      <c r="C245" s="57"/>
      <c r="D245" s="57"/>
      <c r="E245" s="57"/>
      <c r="F245" s="57"/>
      <c r="G245" s="59"/>
      <c r="H245" s="57"/>
      <c r="I245" s="57"/>
      <c r="J245" s="57"/>
      <c r="K245" s="57"/>
      <c r="L245" s="57"/>
      <c r="M245" s="57"/>
      <c r="N245" s="58"/>
      <c r="O245" s="39"/>
      <c r="P245" s="39"/>
      <c r="Q245" s="39"/>
      <c r="R245" s="39"/>
      <c r="S245" s="39"/>
      <c r="T245" s="39"/>
      <c r="U245" s="39"/>
      <c r="V245" s="39"/>
    </row>
    <row r="246" spans="1:22" ht="18" customHeight="1" thickBot="1">
      <c r="A246" s="39"/>
      <c r="B246" s="56"/>
      <c r="C246" s="158" t="s">
        <v>48</v>
      </c>
      <c r="D246" s="159"/>
      <c r="E246" s="160"/>
      <c r="F246" s="79" t="s">
        <v>57</v>
      </c>
      <c r="G246" s="61">
        <f>+M7</f>
        <v>120515014.16666667</v>
      </c>
      <c r="H246" s="60"/>
      <c r="I246" s="62"/>
      <c r="J246" s="60"/>
      <c r="K246" s="60"/>
      <c r="L246" s="60"/>
      <c r="M246" s="60"/>
      <c r="N246" s="63"/>
      <c r="O246" s="39"/>
      <c r="P246" s="39"/>
      <c r="Q246" s="39"/>
      <c r="R246" s="39"/>
      <c r="S246" s="39"/>
      <c r="T246" s="39"/>
      <c r="U246" s="39"/>
      <c r="V246" s="39"/>
    </row>
    <row r="247" spans="1:22" ht="17.25" thickBot="1">
      <c r="A247" s="39"/>
      <c r="B247" s="56"/>
      <c r="C247" s="79"/>
      <c r="D247" s="79"/>
      <c r="E247" s="79"/>
      <c r="F247" s="79"/>
      <c r="G247" s="60"/>
      <c r="H247" s="60"/>
      <c r="I247" s="60"/>
      <c r="J247" s="60"/>
      <c r="K247" s="60"/>
      <c r="L247" s="60"/>
      <c r="M247" s="60"/>
      <c r="N247" s="63"/>
      <c r="O247" s="39"/>
      <c r="P247" s="39"/>
      <c r="Q247" s="39"/>
      <c r="R247" s="39"/>
      <c r="S247" s="39"/>
      <c r="T247" s="39"/>
      <c r="U247" s="39"/>
      <c r="V247" s="39"/>
    </row>
    <row r="248" spans="1:22" ht="18" customHeight="1" thickBot="1">
      <c r="A248" s="39"/>
      <c r="B248" s="56"/>
      <c r="C248" s="149" t="s">
        <v>49</v>
      </c>
      <c r="D248" s="150"/>
      <c r="E248" s="151"/>
      <c r="F248" s="79" t="s">
        <v>57</v>
      </c>
      <c r="G248" s="64">
        <f>+E240</f>
        <v>120515014.64500001</v>
      </c>
      <c r="H248" s="60"/>
      <c r="I248" s="60"/>
      <c r="J248" s="65">
        <f>G248/G246</f>
        <v>1.0000000039690768</v>
      </c>
      <c r="K248" s="100" t="s">
        <v>50</v>
      </c>
      <c r="L248" s="66"/>
      <c r="M248" s="66"/>
      <c r="N248" s="63"/>
      <c r="O248" s="39"/>
      <c r="P248" s="39"/>
      <c r="Q248" s="39"/>
      <c r="R248" s="39"/>
      <c r="S248" s="39"/>
      <c r="T248" s="39"/>
      <c r="U248" s="39"/>
      <c r="V248" s="39"/>
    </row>
    <row r="249" spans="1:22" ht="17.25" thickBot="1">
      <c r="B249" s="67"/>
      <c r="C249" s="79"/>
      <c r="D249" s="79"/>
      <c r="E249" s="79"/>
      <c r="F249" s="79"/>
      <c r="G249" s="60"/>
      <c r="H249" s="60"/>
      <c r="I249" s="60"/>
      <c r="J249" s="60"/>
      <c r="K249" s="101"/>
      <c r="L249" s="60"/>
      <c r="M249" s="60"/>
      <c r="N249" s="63"/>
    </row>
    <row r="250" spans="1:22" ht="18" customHeight="1" thickBot="1">
      <c r="B250" s="67"/>
      <c r="C250" s="152" t="s">
        <v>58</v>
      </c>
      <c r="D250" s="153"/>
      <c r="E250" s="154"/>
      <c r="F250" s="79" t="s">
        <v>56</v>
      </c>
      <c r="G250" s="68">
        <f>+K240</f>
        <v>144195245.84400001</v>
      </c>
      <c r="H250" s="60"/>
      <c r="I250" s="60"/>
      <c r="J250" s="69">
        <f>+G250/J240</f>
        <v>0.99707663168744753</v>
      </c>
      <c r="K250" s="102" t="s">
        <v>51</v>
      </c>
      <c r="L250" s="70"/>
      <c r="M250" s="70"/>
      <c r="N250" s="63"/>
    </row>
    <row r="251" spans="1:22" ht="17.25" thickBot="1">
      <c r="B251" s="67"/>
      <c r="C251" s="79"/>
      <c r="D251" s="79"/>
      <c r="E251" s="79"/>
      <c r="F251" s="79"/>
      <c r="G251" s="60"/>
      <c r="H251" s="60"/>
      <c r="I251" s="60"/>
      <c r="J251" s="60"/>
      <c r="K251" s="101"/>
      <c r="L251" s="60"/>
      <c r="M251" s="60"/>
      <c r="N251" s="63"/>
    </row>
    <row r="252" spans="1:22" ht="18" customHeight="1" thickBot="1">
      <c r="B252" s="67"/>
      <c r="C252" s="152" t="s">
        <v>52</v>
      </c>
      <c r="D252" s="153"/>
      <c r="E252" s="154"/>
      <c r="F252" s="79" t="s">
        <v>56</v>
      </c>
      <c r="G252" s="71">
        <f>+O240</f>
        <v>422771.7300000001</v>
      </c>
      <c r="H252" s="60"/>
      <c r="I252" s="60"/>
      <c r="J252" s="72">
        <f>+G252/J240</f>
        <v>2.923368312552555E-3</v>
      </c>
      <c r="K252" s="102" t="s">
        <v>51</v>
      </c>
      <c r="L252" s="73"/>
      <c r="M252" s="73"/>
      <c r="N252" s="63"/>
    </row>
    <row r="253" spans="1:22" ht="17.25" thickBot="1">
      <c r="B253" s="67"/>
      <c r="C253" s="79"/>
      <c r="D253" s="79"/>
      <c r="E253" s="79"/>
      <c r="F253" s="79"/>
      <c r="G253" s="60"/>
      <c r="H253" s="60"/>
      <c r="I253" s="60"/>
      <c r="J253" s="60"/>
      <c r="K253" s="101"/>
      <c r="L253" s="60"/>
      <c r="M253" s="60"/>
      <c r="N253" s="63"/>
    </row>
    <row r="254" spans="1:22" ht="18" customHeight="1" thickBot="1">
      <c r="B254" s="67"/>
      <c r="C254" s="152" t="s">
        <v>54</v>
      </c>
      <c r="D254" s="153"/>
      <c r="E254" s="154"/>
      <c r="F254" s="79" t="s">
        <v>56</v>
      </c>
      <c r="G254" s="74" t="e">
        <f>+P240</f>
        <v>#REF!</v>
      </c>
      <c r="H254" s="60"/>
      <c r="I254" s="60"/>
      <c r="J254" s="75" t="e">
        <f>+G254/J240</f>
        <v>#REF!</v>
      </c>
      <c r="K254" s="102" t="s">
        <v>51</v>
      </c>
      <c r="L254" s="70"/>
      <c r="M254" s="70"/>
      <c r="N254" s="63"/>
    </row>
    <row r="255" spans="1:22" ht="5.25" customHeight="1" thickBot="1">
      <c r="B255" s="76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8"/>
    </row>
  </sheetData>
  <mergeCells count="22">
    <mergeCell ref="C248:E248"/>
    <mergeCell ref="C250:E250"/>
    <mergeCell ref="C252:E252"/>
    <mergeCell ref="C254:E254"/>
    <mergeCell ref="B119:D119"/>
    <mergeCell ref="B191:D191"/>
    <mergeCell ref="B205:D205"/>
    <mergeCell ref="B239:D239"/>
    <mergeCell ref="C246:E246"/>
    <mergeCell ref="M5:N5"/>
    <mergeCell ref="M6:N6"/>
    <mergeCell ref="M7:N7"/>
    <mergeCell ref="M8:N8"/>
    <mergeCell ref="O10:P10"/>
    <mergeCell ref="C3:E4"/>
    <mergeCell ref="M3:N3"/>
    <mergeCell ref="M4:N4"/>
    <mergeCell ref="C1:E2"/>
    <mergeCell ref="F1:F2"/>
    <mergeCell ref="G1:J1"/>
    <mergeCell ref="M1:N1"/>
    <mergeCell ref="M2:N2"/>
  </mergeCells>
  <printOptions horizontalCentered="1"/>
  <pageMargins left="0.19685039370078741" right="0.19685039370078741" top="0.19685039370078741" bottom="0.19685039370078741" header="0" footer="0"/>
  <pageSetup paperSize="9" scale="49" fitToHeight="5" orientation="landscape" r:id="rId1"/>
  <rowBreaks count="1" manualBreakCount="1">
    <brk id="242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8"/>
  <sheetViews>
    <sheetView workbookViewId="0">
      <selection activeCell="F1" sqref="F1:F2"/>
    </sheetView>
  </sheetViews>
  <sheetFormatPr baseColWidth="10" defaultColWidth="11.42578125" defaultRowHeight="16.5"/>
  <cols>
    <col min="1" max="1" width="22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11.28515625" style="7" bestFit="1" customWidth="1"/>
    <col min="23" max="16384" width="11.42578125" style="7"/>
  </cols>
  <sheetData>
    <row r="1" spans="1:24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18088461.370000001</v>
      </c>
      <c r="N1" s="144"/>
      <c r="O1" s="5" t="s">
        <v>3</v>
      </c>
      <c r="P1" s="6"/>
    </row>
    <row r="2" spans="1:24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4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/>
      <c r="N3" s="137"/>
      <c r="O3" s="11"/>
      <c r="P3" s="12"/>
    </row>
    <row r="4" spans="1:24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4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4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4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18088461.370000001</v>
      </c>
      <c r="N7" s="145"/>
      <c r="O7" s="11"/>
      <c r="P7" s="12"/>
    </row>
    <row r="8" spans="1:24">
      <c r="A8" s="23" t="s">
        <v>18</v>
      </c>
      <c r="B8" s="24"/>
      <c r="C8" s="24"/>
      <c r="D8" s="25" t="s">
        <v>198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21706153.644000001</v>
      </c>
      <c r="N8" s="146"/>
      <c r="O8" s="30"/>
      <c r="P8" s="31"/>
    </row>
    <row r="10" spans="1:24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I10" s="98">
        <f>+M1-J10</f>
        <v>-639940.40500001237</v>
      </c>
      <c r="J10" s="7">
        <v>18728401.775000013</v>
      </c>
      <c r="K10" s="7">
        <v>-12738.75</v>
      </c>
      <c r="L10" s="7">
        <v>21721442.530000009</v>
      </c>
      <c r="M10" s="98">
        <f>+M8-L10</f>
        <v>-15288.886000007391</v>
      </c>
      <c r="O10" s="147" t="s">
        <v>22</v>
      </c>
      <c r="P10" s="148"/>
    </row>
    <row r="11" spans="1:24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4" ht="19.5" customHeight="1">
      <c r="A12" s="41" t="s">
        <v>94</v>
      </c>
      <c r="B12" s="42"/>
      <c r="C12" s="126"/>
      <c r="D12" s="44"/>
      <c r="E12" s="36">
        <f>877731.6/1.2</f>
        <v>731443</v>
      </c>
      <c r="F12" s="36">
        <v>0</v>
      </c>
      <c r="G12" s="36">
        <v>0</v>
      </c>
      <c r="H12" s="36"/>
      <c r="I12" s="36">
        <f>+E12+F12-G12-H12</f>
        <v>731443</v>
      </c>
      <c r="J12" s="36">
        <f>+I12+(I12*$I$4)</f>
        <v>877731.6</v>
      </c>
      <c r="K12" s="36">
        <v>877731.6</v>
      </c>
      <c r="L12" s="37"/>
      <c r="M12" s="37"/>
      <c r="N12" s="92">
        <f>-IF(L12=0,,IF(M12=0,($C$10-L12),M12-L12))</f>
        <v>0</v>
      </c>
      <c r="O12" s="36">
        <f>+J12-K12</f>
        <v>0</v>
      </c>
      <c r="P12" s="36" t="e">
        <f>+IF($C$10&lt;L12,0,O12)</f>
        <v>#REF!</v>
      </c>
      <c r="Q12" s="39"/>
      <c r="R12" s="40">
        <f>IF(N12&gt;=0,0,(IF(-N12&lt;=60,O12,0)))</f>
        <v>0</v>
      </c>
      <c r="S12" s="40">
        <f>IF(N12&gt;=0,0,(IF(N12&gt;=-60,0,IF(-60&gt;=N12,IF(N12&gt;=-120,O12,0)))))</f>
        <v>0</v>
      </c>
      <c r="T12" s="40">
        <f>IF(N12&gt;=0,0,(IF(N12&gt;-60,0,IF(-60&gt;=N12,IF(N12&gt;=-120,0,IF(N12&gt;=-180,O12,0))))))</f>
        <v>0</v>
      </c>
      <c r="U12" s="40">
        <f>IF(N12&gt;=0,0,(IF(N12&gt;-60,0,IF(-60&gt;=N12,IF(N12&gt;-120,0,IF(N12&gt;=-180,0,IF(N12&gt;=-365,O12,0)))))))</f>
        <v>0</v>
      </c>
      <c r="V12" s="40">
        <f>IF(N12&gt;=0,0,IF(365&lt;-N12,O12,0))</f>
        <v>0</v>
      </c>
      <c r="X12" s="7" t="s">
        <v>187</v>
      </c>
    </row>
    <row r="13" spans="1:24" s="99" customFormat="1" ht="19.5" customHeight="1">
      <c r="A13" s="104"/>
      <c r="B13" s="105"/>
      <c r="C13" s="106"/>
      <c r="D13" s="107"/>
      <c r="E13" s="108">
        <f t="shared" ref="E13:K13" si="0">SUM(E12:E12)</f>
        <v>731443</v>
      </c>
      <c r="F13" s="108">
        <f t="shared" si="0"/>
        <v>0</v>
      </c>
      <c r="G13" s="108">
        <f t="shared" si="0"/>
        <v>0</v>
      </c>
      <c r="H13" s="108">
        <f t="shared" si="0"/>
        <v>0</v>
      </c>
      <c r="I13" s="108">
        <f t="shared" si="0"/>
        <v>731443</v>
      </c>
      <c r="J13" s="113">
        <f t="shared" si="0"/>
        <v>877731.6</v>
      </c>
      <c r="K13" s="113">
        <f t="shared" si="0"/>
        <v>877731.6</v>
      </c>
      <c r="L13" s="109"/>
      <c r="M13" s="109"/>
      <c r="N13" s="110"/>
      <c r="O13" s="108">
        <f>SUM(O12:O12)</f>
        <v>0</v>
      </c>
      <c r="P13" s="108" t="e">
        <f>SUM(P12:P12)</f>
        <v>#REF!</v>
      </c>
      <c r="Q13" s="114"/>
      <c r="R13" s="115">
        <f>SUM(R12:R12)</f>
        <v>0</v>
      </c>
      <c r="S13" s="115">
        <f>SUM(S12:S12)</f>
        <v>0</v>
      </c>
      <c r="T13" s="115">
        <f>SUM(T12:T12)</f>
        <v>0</v>
      </c>
      <c r="U13" s="115">
        <f>SUM(U12:U12)</f>
        <v>0</v>
      </c>
      <c r="V13" s="115">
        <f>SUM(V12:V12)</f>
        <v>0</v>
      </c>
    </row>
    <row r="14" spans="1:24" ht="19.5" customHeight="1">
      <c r="A14" s="41" t="s">
        <v>97</v>
      </c>
      <c r="B14" s="42"/>
      <c r="C14" s="125"/>
      <c r="D14" s="44"/>
      <c r="E14" s="36">
        <f>758497.61/1.2</f>
        <v>632081.34166666667</v>
      </c>
      <c r="F14" s="36">
        <f>-E14*$F$10</f>
        <v>0</v>
      </c>
      <c r="G14" s="36">
        <f>E14*$G$10</f>
        <v>0</v>
      </c>
      <c r="H14" s="36"/>
      <c r="I14" s="36">
        <f>+E14+F14-G14-H14</f>
        <v>632081.34166666667</v>
      </c>
      <c r="J14" s="36">
        <f>+I14+(I14*$I$4)</f>
        <v>758497.61</v>
      </c>
      <c r="K14" s="36">
        <v>758497.61</v>
      </c>
      <c r="L14" s="37"/>
      <c r="M14" s="37"/>
      <c r="N14" s="92">
        <f>-IF(L14=0,,IF(M14=0,($C$10-L14),M14-L14))</f>
        <v>0</v>
      </c>
      <c r="O14" s="36">
        <f>+J14-K14</f>
        <v>0</v>
      </c>
      <c r="P14" s="36" t="e">
        <f>+IF($C$10&lt;L14,0,O14)</f>
        <v>#REF!</v>
      </c>
      <c r="Q14" s="39"/>
      <c r="R14" s="40">
        <f>IF(N14&gt;=0,0,(IF(-N14&lt;=60,O14,0)))</f>
        <v>0</v>
      </c>
      <c r="S14" s="40">
        <f>IF(N14&gt;=0,0,(IF(N14&gt;=-60,0,IF(-60&gt;=N14,IF(N14&gt;=-120,O14,0)))))</f>
        <v>0</v>
      </c>
      <c r="T14" s="40">
        <f>IF(N14&gt;=0,0,(IF(N14&gt;-60,0,IF(-60&gt;=N14,IF(N14&gt;=-120,0,IF(N14&gt;=-180,O14,0))))))</f>
        <v>0</v>
      </c>
      <c r="U14" s="40">
        <f>IF(N14&gt;=0,0,(IF(N14&gt;-60,0,IF(-60&gt;=N14,IF(N14&gt;-120,0,IF(N14&gt;=-180,0,IF(N14&gt;=-365,O14,0)))))))</f>
        <v>0</v>
      </c>
      <c r="V14" s="40">
        <f>IF(N14&gt;=0,0,IF(365&lt;-N14,O14,0))</f>
        <v>0</v>
      </c>
    </row>
    <row r="15" spans="1:24" s="99" customFormat="1" ht="19.5" customHeight="1">
      <c r="A15" s="104"/>
      <c r="B15" s="105"/>
      <c r="C15" s="106"/>
      <c r="D15" s="107"/>
      <c r="E15" s="108">
        <f t="shared" ref="E15:K15" si="1">SUM(E14:E14)</f>
        <v>632081.34166666667</v>
      </c>
      <c r="F15" s="108">
        <f t="shared" si="1"/>
        <v>0</v>
      </c>
      <c r="G15" s="108">
        <f t="shared" si="1"/>
        <v>0</v>
      </c>
      <c r="H15" s="108">
        <f t="shared" si="1"/>
        <v>0</v>
      </c>
      <c r="I15" s="108">
        <f t="shared" si="1"/>
        <v>632081.34166666667</v>
      </c>
      <c r="J15" s="113">
        <f t="shared" si="1"/>
        <v>758497.61</v>
      </c>
      <c r="K15" s="113">
        <f t="shared" si="1"/>
        <v>758497.61</v>
      </c>
      <c r="L15" s="109"/>
      <c r="M15" s="109"/>
      <c r="N15" s="110"/>
      <c r="O15" s="108">
        <f>SUM(O14:O14)</f>
        <v>0</v>
      </c>
      <c r="P15" s="108" t="e">
        <f>SUM(P14:P14)</f>
        <v>#REF!</v>
      </c>
      <c r="Q15" s="114"/>
      <c r="R15" s="115">
        <f>SUM(R14:R14)</f>
        <v>0</v>
      </c>
      <c r="S15" s="115">
        <f>SUM(S14:S14)</f>
        <v>0</v>
      </c>
      <c r="T15" s="115">
        <f>SUM(T14:T14)</f>
        <v>0</v>
      </c>
      <c r="U15" s="115">
        <f>SUM(U14:U14)</f>
        <v>0</v>
      </c>
      <c r="V15" s="115">
        <f>SUM(V14:V14)</f>
        <v>0</v>
      </c>
    </row>
    <row r="16" spans="1:24" ht="19.5" customHeight="1">
      <c r="A16" s="41" t="s">
        <v>62</v>
      </c>
      <c r="B16" s="42"/>
      <c r="C16" s="125"/>
      <c r="D16" s="44"/>
      <c r="E16" s="36">
        <f>371378.46/1.2</f>
        <v>309482.05000000005</v>
      </c>
      <c r="F16" s="36">
        <f>-E16*$F$10</f>
        <v>0</v>
      </c>
      <c r="G16" s="36">
        <f>E16*$G$10</f>
        <v>0</v>
      </c>
      <c r="H16" s="36"/>
      <c r="I16" s="36">
        <f>+E16+F16-G16-H16</f>
        <v>309482.05000000005</v>
      </c>
      <c r="J16" s="36">
        <f>+I16+(I16*$I$4)</f>
        <v>371378.46000000008</v>
      </c>
      <c r="K16" s="36">
        <v>371378.46000000008</v>
      </c>
      <c r="L16" s="37"/>
      <c r="M16" s="37"/>
      <c r="N16" s="92">
        <f>-IF(L16=0,,IF(M16=0,($C$10-L16),M16-L16))</f>
        <v>0</v>
      </c>
      <c r="O16" s="36">
        <f>+J16-K16</f>
        <v>0</v>
      </c>
      <c r="P16" s="36" t="e">
        <f>+IF($C$10&lt;L16,0,O16)</f>
        <v>#REF!</v>
      </c>
      <c r="Q16" s="39"/>
      <c r="R16" s="40">
        <f>IF(N16&gt;=0,0,(IF(-N16&lt;=60,O16,0)))</f>
        <v>0</v>
      </c>
      <c r="S16" s="40">
        <f>IF(N16&gt;=0,0,(IF(N16&gt;=-60,0,IF(-60&gt;=N16,IF(N16&gt;=-120,O16,0)))))</f>
        <v>0</v>
      </c>
      <c r="T16" s="40">
        <f>IF(N16&gt;=0,0,(IF(N16&gt;-60,0,IF(-60&gt;=N16,IF(N16&gt;=-120,0,IF(N16&gt;=-180,O16,0))))))</f>
        <v>0</v>
      </c>
      <c r="U16" s="40">
        <f>IF(N16&gt;=0,0,(IF(N16&gt;-60,0,IF(-60&gt;=N16,IF(N16&gt;-120,0,IF(N16&gt;=-180,0,IF(N16&gt;=-365,O16,0)))))))</f>
        <v>0</v>
      </c>
      <c r="V16" s="40">
        <f>IF(N16&gt;=0,0,IF(365&lt;-N16,O16,0))</f>
        <v>0</v>
      </c>
    </row>
    <row r="17" spans="1:22" s="99" customFormat="1" ht="19.5" customHeight="1">
      <c r="A17" s="104"/>
      <c r="B17" s="105"/>
      <c r="C17" s="106"/>
      <c r="D17" s="107"/>
      <c r="E17" s="108">
        <f t="shared" ref="E17:K17" si="2">SUM(E16:E16)</f>
        <v>309482.05000000005</v>
      </c>
      <c r="F17" s="108">
        <f t="shared" si="2"/>
        <v>0</v>
      </c>
      <c r="G17" s="108">
        <f t="shared" si="2"/>
        <v>0</v>
      </c>
      <c r="H17" s="108">
        <f t="shared" si="2"/>
        <v>0</v>
      </c>
      <c r="I17" s="108">
        <f t="shared" si="2"/>
        <v>309482.05000000005</v>
      </c>
      <c r="J17" s="113">
        <f t="shared" si="2"/>
        <v>371378.46000000008</v>
      </c>
      <c r="K17" s="113">
        <f t="shared" si="2"/>
        <v>371378.46000000008</v>
      </c>
      <c r="L17" s="109"/>
      <c r="M17" s="109"/>
      <c r="N17" s="110"/>
      <c r="O17" s="108">
        <f>SUM(O16:O16)</f>
        <v>0</v>
      </c>
      <c r="P17" s="108" t="e">
        <f>SUM(P16:P16)</f>
        <v>#REF!</v>
      </c>
      <c r="Q17" s="114"/>
      <c r="R17" s="115">
        <f>SUM(R16:R16)</f>
        <v>0</v>
      </c>
      <c r="S17" s="115">
        <f>SUM(S16:S16)</f>
        <v>0</v>
      </c>
      <c r="T17" s="115">
        <f>SUM(T16:T16)</f>
        <v>0</v>
      </c>
      <c r="U17" s="115">
        <f>SUM(U16:U16)</f>
        <v>0</v>
      </c>
      <c r="V17" s="115">
        <f>SUM(V16:V16)</f>
        <v>0</v>
      </c>
    </row>
    <row r="18" spans="1:22" ht="19.5" customHeight="1">
      <c r="A18" s="41" t="s">
        <v>63</v>
      </c>
      <c r="B18" s="42"/>
      <c r="C18" s="43"/>
      <c r="D18" s="44"/>
      <c r="E18" s="36">
        <f>4292896.33/1.2</f>
        <v>3577413.6083333334</v>
      </c>
      <c r="F18" s="36">
        <f>-E18*$F$10</f>
        <v>0</v>
      </c>
      <c r="G18" s="36">
        <f>E18*$G$10</f>
        <v>0</v>
      </c>
      <c r="H18" s="36"/>
      <c r="I18" s="36">
        <f>+E18+F18-G18-H18</f>
        <v>3577413.6083333334</v>
      </c>
      <c r="J18" s="36">
        <f>+I18+(I18*$I$4)</f>
        <v>4292896.33</v>
      </c>
      <c r="K18" s="36">
        <v>4292896.33</v>
      </c>
      <c r="L18" s="37"/>
      <c r="M18" s="37"/>
      <c r="N18" s="92">
        <f>-IF(L18=0,,IF(M18=0,($C$10-L18),M18-L18))</f>
        <v>0</v>
      </c>
      <c r="O18" s="36">
        <f>+J18-K18</f>
        <v>0</v>
      </c>
      <c r="P18" s="36" t="e">
        <f>+IF($C$10&lt;L18,0,O18)</f>
        <v>#REF!</v>
      </c>
      <c r="Q18" s="39"/>
      <c r="R18" s="40">
        <f>IF(N18&gt;=0,0,(IF(-N18&lt;=60,O18,0)))</f>
        <v>0</v>
      </c>
      <c r="S18" s="40">
        <f>IF(N18&gt;=0,0,(IF(N18&gt;=-60,0,IF(-60&gt;=N18,IF(N18&gt;=-120,O18,0)))))</f>
        <v>0</v>
      </c>
      <c r="T18" s="40">
        <f>IF(N18&gt;=0,0,(IF(N18&gt;-60,0,IF(-60&gt;=N18,IF(N18&gt;=-120,0,IF(N18&gt;=-180,O18,0))))))</f>
        <v>0</v>
      </c>
      <c r="U18" s="40">
        <f>IF(N18&gt;=0,0,(IF(N18&gt;-60,0,IF(-60&gt;=N18,IF(N18&gt;-120,0,IF(N18&gt;=-180,0,IF(N18&gt;=-365,O18,0)))))))</f>
        <v>0</v>
      </c>
      <c r="V18" s="40">
        <f>IF(N18&gt;=0,0,IF(365&lt;-N18,O18,0))</f>
        <v>0</v>
      </c>
    </row>
    <row r="19" spans="1:22" s="99" customFormat="1" ht="19.5" customHeight="1">
      <c r="A19" s="104"/>
      <c r="B19" s="104"/>
      <c r="C19" s="106"/>
      <c r="D19" s="107"/>
      <c r="E19" s="108">
        <f t="shared" ref="E19:K19" si="3">SUM(E18:E18)</f>
        <v>3577413.6083333334</v>
      </c>
      <c r="F19" s="108">
        <f t="shared" si="3"/>
        <v>0</v>
      </c>
      <c r="G19" s="108">
        <f t="shared" si="3"/>
        <v>0</v>
      </c>
      <c r="H19" s="108">
        <f t="shared" si="3"/>
        <v>0</v>
      </c>
      <c r="I19" s="108">
        <f t="shared" si="3"/>
        <v>3577413.6083333334</v>
      </c>
      <c r="J19" s="113">
        <f t="shared" si="3"/>
        <v>4292896.33</v>
      </c>
      <c r="K19" s="113">
        <f t="shared" si="3"/>
        <v>4292896.33</v>
      </c>
      <c r="L19" s="109"/>
      <c r="M19" s="109"/>
      <c r="N19" s="110"/>
      <c r="O19" s="108">
        <f>SUM(O18:O18)</f>
        <v>0</v>
      </c>
      <c r="P19" s="108" t="e">
        <f>SUM(P18:P18)</f>
        <v>#REF!</v>
      </c>
      <c r="Q19" s="111"/>
      <c r="R19" s="112">
        <f>SUM(R18:R18)</f>
        <v>0</v>
      </c>
      <c r="S19" s="112">
        <f>SUM(S18:S18)</f>
        <v>0</v>
      </c>
      <c r="T19" s="112">
        <f>SUM(T18:T18)</f>
        <v>0</v>
      </c>
      <c r="U19" s="112">
        <f>SUM(U18:U18)</f>
        <v>0</v>
      </c>
      <c r="V19" s="112">
        <f>SUM(V18:V18)</f>
        <v>0</v>
      </c>
    </row>
    <row r="20" spans="1:22" ht="19.5" customHeight="1">
      <c r="A20" s="41" t="s">
        <v>199</v>
      </c>
      <c r="B20" s="42"/>
      <c r="C20" s="43"/>
      <c r="D20" s="44"/>
      <c r="E20" s="36">
        <f>207244.17/1.2</f>
        <v>172703.47500000001</v>
      </c>
      <c r="F20" s="36">
        <f>-E20*$F$10</f>
        <v>0</v>
      </c>
      <c r="G20" s="36">
        <f>E20*$G$10</f>
        <v>0</v>
      </c>
      <c r="H20" s="36"/>
      <c r="I20" s="36">
        <f>+E20+F20-G20-H20</f>
        <v>172703.47500000001</v>
      </c>
      <c r="J20" s="36">
        <f>+I20+(I20*$I$4)</f>
        <v>207244.17</v>
      </c>
      <c r="K20" s="36">
        <v>207244.17</v>
      </c>
      <c r="L20" s="37"/>
      <c r="M20" s="37"/>
      <c r="N20" s="92">
        <f>-IF(L20=0,,IF(M20=0,($C$10-L20),M20-L20))</f>
        <v>0</v>
      </c>
      <c r="O20" s="36">
        <f>+J20-K20</f>
        <v>0</v>
      </c>
      <c r="P20" s="36" t="e">
        <f>+IF($C$10&lt;L20,0,O20)</f>
        <v>#REF!</v>
      </c>
      <c r="Q20" s="39"/>
      <c r="R20" s="40">
        <f>IF(N20&gt;=0,0,(IF(-N20&lt;=60,O20,0)))</f>
        <v>0</v>
      </c>
      <c r="S20" s="40">
        <f>IF(N20&gt;=0,0,(IF(N20&gt;=-60,0,IF(-60&gt;=N20,IF(N20&gt;=-120,O20,0)))))</f>
        <v>0</v>
      </c>
      <c r="T20" s="40">
        <f>IF(N20&gt;=0,0,(IF(N20&gt;-60,0,IF(-60&gt;=N20,IF(N20&gt;=-120,0,IF(N20&gt;=-180,O20,0))))))</f>
        <v>0</v>
      </c>
      <c r="U20" s="40">
        <f>IF(N20&gt;=0,0,(IF(N20&gt;-60,0,IF(-60&gt;=N20,IF(N20&gt;-120,0,IF(N20&gt;=-180,0,IF(N20&gt;=-365,O20,0)))))))</f>
        <v>0</v>
      </c>
      <c r="V20" s="40">
        <f>IF(N20&gt;=0,0,IF(365&lt;-N20,O20,0))</f>
        <v>0</v>
      </c>
    </row>
    <row r="21" spans="1:22" s="99" customFormat="1" ht="19.5" customHeight="1">
      <c r="A21" s="104"/>
      <c r="B21" s="104"/>
      <c r="C21" s="106"/>
      <c r="D21" s="107"/>
      <c r="E21" s="108">
        <f t="shared" ref="E21:K21" si="4">SUM(E20:E20)</f>
        <v>172703.47500000001</v>
      </c>
      <c r="F21" s="108">
        <f t="shared" si="4"/>
        <v>0</v>
      </c>
      <c r="G21" s="108">
        <f t="shared" si="4"/>
        <v>0</v>
      </c>
      <c r="H21" s="108">
        <f t="shared" si="4"/>
        <v>0</v>
      </c>
      <c r="I21" s="108">
        <f t="shared" si="4"/>
        <v>172703.47500000001</v>
      </c>
      <c r="J21" s="113">
        <f t="shared" si="4"/>
        <v>207244.17</v>
      </c>
      <c r="K21" s="113">
        <f t="shared" si="4"/>
        <v>207244.17</v>
      </c>
      <c r="L21" s="109"/>
      <c r="M21" s="109"/>
      <c r="N21" s="110"/>
      <c r="O21" s="108">
        <f>SUM(O20:O20)</f>
        <v>0</v>
      </c>
      <c r="P21" s="108" t="e">
        <f>SUM(P20:P20)</f>
        <v>#REF!</v>
      </c>
      <c r="Q21" s="111"/>
      <c r="R21" s="112">
        <f>SUM(R20:R20)</f>
        <v>0</v>
      </c>
      <c r="S21" s="112">
        <f>SUM(S20:S20)</f>
        <v>0</v>
      </c>
      <c r="T21" s="112">
        <f>SUM(T20:T20)</f>
        <v>0</v>
      </c>
      <c r="U21" s="112">
        <f>SUM(U20:U20)</f>
        <v>0</v>
      </c>
      <c r="V21" s="112">
        <f>SUM(V20:V20)</f>
        <v>0</v>
      </c>
    </row>
    <row r="22" spans="1:22" ht="19.5" customHeight="1">
      <c r="A22" s="41" t="s">
        <v>159</v>
      </c>
      <c r="B22" s="41"/>
      <c r="C22" s="43"/>
      <c r="D22" s="44"/>
      <c r="E22" s="36">
        <f>60002.39/1.2</f>
        <v>50001.991666666669</v>
      </c>
      <c r="F22" s="36">
        <f>-E22*$F$10</f>
        <v>0</v>
      </c>
      <c r="G22" s="36">
        <f>E22*$G$10</f>
        <v>0</v>
      </c>
      <c r="H22" s="36"/>
      <c r="I22" s="36">
        <f>+E22+F22-G22-H22</f>
        <v>50001.991666666669</v>
      </c>
      <c r="J22" s="36">
        <f>+I22+(I22*$I$4)</f>
        <v>60002.39</v>
      </c>
      <c r="K22" s="36">
        <v>60002.39</v>
      </c>
      <c r="L22" s="37"/>
      <c r="M22" s="37"/>
      <c r="N22" s="92">
        <f>-IF(L22=0,,IF(M22=0,($C$10-L22),M22-L22))</f>
        <v>0</v>
      </c>
      <c r="O22" s="36">
        <f>+J22-K22</f>
        <v>0</v>
      </c>
      <c r="P22" s="36" t="e">
        <f>+IF($C$10&lt;L22,0,O22)</f>
        <v>#REF!</v>
      </c>
      <c r="Q22" s="39"/>
      <c r="R22" s="40">
        <f>IF(N22&gt;=0,0,(IF(-N22&lt;=60,O22,0)))</f>
        <v>0</v>
      </c>
      <c r="S22" s="40">
        <f>IF(N22&gt;=0,0,(IF(N22&gt;=-60,0,IF(-60&gt;=N22,IF(N22&gt;=-120,O22,0)))))</f>
        <v>0</v>
      </c>
      <c r="T22" s="40">
        <f>IF(N22&gt;=0,0,(IF(N22&gt;-60,0,IF(-60&gt;=N22,IF(N22&gt;=-120,0,IF(N22&gt;=-180,O22,0))))))</f>
        <v>0</v>
      </c>
      <c r="U22" s="40">
        <f>IF(N22&gt;=0,0,(IF(N22&gt;-60,0,IF(-60&gt;=N22,IF(N22&gt;-120,0,IF(N22&gt;=-180,0,IF(N22&gt;=-365,O22,0)))))))</f>
        <v>0</v>
      </c>
      <c r="V22" s="40">
        <f>IF(N22&gt;=0,0,IF(365&lt;-N22,O22,0))</f>
        <v>0</v>
      </c>
    </row>
    <row r="23" spans="1:22" s="99" customFormat="1" ht="19.5" customHeight="1">
      <c r="A23" s="104"/>
      <c r="B23" s="105"/>
      <c r="C23" s="106"/>
      <c r="D23" s="107"/>
      <c r="E23" s="108">
        <f t="shared" ref="E23:K23" si="5">SUM(E22:E22)</f>
        <v>50001.991666666669</v>
      </c>
      <c r="F23" s="108">
        <f t="shared" si="5"/>
        <v>0</v>
      </c>
      <c r="G23" s="108">
        <f t="shared" si="5"/>
        <v>0</v>
      </c>
      <c r="H23" s="108">
        <f t="shared" si="5"/>
        <v>0</v>
      </c>
      <c r="I23" s="108">
        <f t="shared" si="5"/>
        <v>50001.991666666669</v>
      </c>
      <c r="J23" s="113">
        <f t="shared" si="5"/>
        <v>60002.39</v>
      </c>
      <c r="K23" s="113">
        <f t="shared" si="5"/>
        <v>60002.39</v>
      </c>
      <c r="L23" s="109"/>
      <c r="M23" s="109"/>
      <c r="N23" s="110"/>
      <c r="O23" s="108">
        <f>SUM(O22)</f>
        <v>0</v>
      </c>
      <c r="P23" s="108" t="e">
        <f>SUM(P22)</f>
        <v>#REF!</v>
      </c>
      <c r="Q23" s="111"/>
      <c r="R23" s="112">
        <f>SUM(R22)</f>
        <v>0</v>
      </c>
      <c r="S23" s="112">
        <f>SUM(S22)</f>
        <v>0</v>
      </c>
      <c r="T23" s="112">
        <f>SUM(T22)</f>
        <v>0</v>
      </c>
      <c r="U23" s="112">
        <f>SUM(U22)</f>
        <v>0</v>
      </c>
      <c r="V23" s="112">
        <f>SUM(V22)</f>
        <v>0</v>
      </c>
    </row>
    <row r="24" spans="1:22" ht="19.5" customHeight="1">
      <c r="A24" s="41" t="s">
        <v>73</v>
      </c>
      <c r="B24" s="41"/>
      <c r="C24" s="43"/>
      <c r="D24" s="44"/>
      <c r="E24" s="36">
        <f>3569238.79/1.2</f>
        <v>2974365.6583333337</v>
      </c>
      <c r="F24" s="36">
        <f>-E24*$F$10</f>
        <v>0</v>
      </c>
      <c r="G24" s="36">
        <f>E24*$G$10</f>
        <v>0</v>
      </c>
      <c r="H24" s="36"/>
      <c r="I24" s="36">
        <f>+E24+F24-G24-H24</f>
        <v>2974365.6583333337</v>
      </c>
      <c r="J24" s="36">
        <f>+I24+(I24*$I$4)</f>
        <v>3569238.7900000005</v>
      </c>
      <c r="K24" s="36">
        <v>3569238.7900000005</v>
      </c>
      <c r="L24" s="37"/>
      <c r="M24" s="37"/>
      <c r="N24" s="92">
        <f>-IF(L24=0,,IF(M24=0,($C$10-L24),M24-L24))</f>
        <v>0</v>
      </c>
      <c r="O24" s="36">
        <f>+J24-K24</f>
        <v>0</v>
      </c>
      <c r="P24" s="36" t="e">
        <f>+IF($C$10&lt;L24,0,O24)</f>
        <v>#REF!</v>
      </c>
      <c r="Q24" s="39"/>
      <c r="R24" s="40">
        <f>IF(N24&gt;=0,0,(IF(-N24&lt;=60,O24,0)))</f>
        <v>0</v>
      </c>
      <c r="S24" s="40">
        <f>IF(N24&gt;=0,0,(IF(N24&gt;=-60,0,IF(-60&gt;=N24,IF(N24&gt;=-120,O24,0)))))</f>
        <v>0</v>
      </c>
      <c r="T24" s="40">
        <f>IF(N24&gt;=0,0,(IF(N24&gt;-60,0,IF(-60&gt;=N24,IF(N24&gt;=-120,0,IF(N24&gt;=-180,O24,0))))))</f>
        <v>0</v>
      </c>
      <c r="U24" s="40">
        <f>IF(N24&gt;=0,0,(IF(N24&gt;-60,0,IF(-60&gt;=N24,IF(N24&gt;-120,0,IF(N24&gt;=-180,0,IF(N24&gt;=-365,O24,0)))))))</f>
        <v>0</v>
      </c>
      <c r="V24" s="40">
        <f>IF(N24&gt;=0,0,IF(365&lt;-N24,O24,0))</f>
        <v>0</v>
      </c>
    </row>
    <row r="25" spans="1:22" s="99" customFormat="1" ht="19.5" customHeight="1">
      <c r="A25" s="104"/>
      <c r="B25" s="104"/>
      <c r="C25" s="106"/>
      <c r="D25" s="107"/>
      <c r="E25" s="108">
        <f t="shared" ref="E25:K25" si="6">SUM(E24:E24)</f>
        <v>2974365.6583333337</v>
      </c>
      <c r="F25" s="108">
        <f t="shared" si="6"/>
        <v>0</v>
      </c>
      <c r="G25" s="108">
        <f t="shared" si="6"/>
        <v>0</v>
      </c>
      <c r="H25" s="108">
        <f t="shared" si="6"/>
        <v>0</v>
      </c>
      <c r="I25" s="108">
        <f t="shared" si="6"/>
        <v>2974365.6583333337</v>
      </c>
      <c r="J25" s="113">
        <f t="shared" si="6"/>
        <v>3569238.7900000005</v>
      </c>
      <c r="K25" s="113">
        <f t="shared" si="6"/>
        <v>3569238.7900000005</v>
      </c>
      <c r="L25" s="109"/>
      <c r="M25" s="109"/>
      <c r="N25" s="110"/>
      <c r="O25" s="108">
        <f>SUM(O24:O24)</f>
        <v>0</v>
      </c>
      <c r="P25" s="108" t="e">
        <f>SUM(P24:P24)</f>
        <v>#REF!</v>
      </c>
      <c r="Q25" s="111"/>
      <c r="R25" s="112">
        <f>SUM(R24:R24)</f>
        <v>0</v>
      </c>
      <c r="S25" s="112">
        <f>SUM(S24:S24)</f>
        <v>0</v>
      </c>
      <c r="T25" s="112">
        <f>SUM(T24:T24)</f>
        <v>0</v>
      </c>
      <c r="U25" s="112">
        <f>SUM(U24:U24)</f>
        <v>0</v>
      </c>
      <c r="V25" s="112">
        <f>SUM(V24:V24)</f>
        <v>0</v>
      </c>
    </row>
    <row r="26" spans="1:22" ht="19.5" customHeight="1">
      <c r="A26" s="41" t="s">
        <v>100</v>
      </c>
      <c r="B26" s="41"/>
      <c r="C26" s="43"/>
      <c r="D26" s="44"/>
      <c r="E26" s="36">
        <f>153511.36/1.2</f>
        <v>127926.13333333333</v>
      </c>
      <c r="F26" s="36">
        <f>-E26*$F$10</f>
        <v>0</v>
      </c>
      <c r="G26" s="36">
        <f>E26*$G$10</f>
        <v>0</v>
      </c>
      <c r="H26" s="36"/>
      <c r="I26" s="36">
        <f>+E26+F26-G26-H26</f>
        <v>127926.13333333333</v>
      </c>
      <c r="J26" s="36">
        <f>+I26+(I26*$I$4)</f>
        <v>153511.35999999999</v>
      </c>
      <c r="K26" s="36">
        <v>153511.35999999999</v>
      </c>
      <c r="L26" s="37"/>
      <c r="M26" s="37"/>
      <c r="N26" s="92">
        <f>-IF(L26=0,,IF(M26=0,($C$10-L26),M26-L26))</f>
        <v>0</v>
      </c>
      <c r="O26" s="36">
        <f>+J26-K26</f>
        <v>0</v>
      </c>
      <c r="P26" s="36" t="e">
        <f>+IF($C$10&lt;L26,0,O26)</f>
        <v>#REF!</v>
      </c>
      <c r="Q26" s="39"/>
      <c r="R26" s="40">
        <f>IF(N26&gt;=0,0,(IF(-N26&lt;=60,O26,0)))</f>
        <v>0</v>
      </c>
      <c r="S26" s="40">
        <f>IF(N26&gt;=0,0,(IF(N26&gt;=-60,0,IF(-60&gt;=N26,IF(N26&gt;=-120,O26,0)))))</f>
        <v>0</v>
      </c>
      <c r="T26" s="40">
        <f>IF(N26&gt;=0,0,(IF(N26&gt;-60,0,IF(-60&gt;=N26,IF(N26&gt;=-120,0,IF(N26&gt;=-180,O26,0))))))</f>
        <v>0</v>
      </c>
      <c r="U26" s="40">
        <f>IF(N26&gt;=0,0,(IF(N26&gt;-60,0,IF(-60&gt;=N26,IF(N26&gt;-120,0,IF(N26&gt;=-180,0,IF(N26&gt;=-365,O26,0)))))))</f>
        <v>0</v>
      </c>
      <c r="V26" s="40">
        <f>IF(N26&gt;=0,0,IF(365&lt;-N26,O26,0))</f>
        <v>0</v>
      </c>
    </row>
    <row r="27" spans="1:22" s="99" customFormat="1" ht="19.5" customHeight="1">
      <c r="A27" s="104"/>
      <c r="B27" s="105"/>
      <c r="C27" s="106"/>
      <c r="D27" s="107"/>
      <c r="E27" s="108">
        <f t="shared" ref="E27:K27" si="7">SUM(E26:E26)</f>
        <v>127926.13333333333</v>
      </c>
      <c r="F27" s="108">
        <f t="shared" si="7"/>
        <v>0</v>
      </c>
      <c r="G27" s="108">
        <f t="shared" si="7"/>
        <v>0</v>
      </c>
      <c r="H27" s="108">
        <f t="shared" si="7"/>
        <v>0</v>
      </c>
      <c r="I27" s="108">
        <f t="shared" si="7"/>
        <v>127926.13333333333</v>
      </c>
      <c r="J27" s="113">
        <f t="shared" si="7"/>
        <v>153511.35999999999</v>
      </c>
      <c r="K27" s="113">
        <f t="shared" si="7"/>
        <v>153511.35999999999</v>
      </c>
      <c r="L27" s="109"/>
      <c r="M27" s="109"/>
      <c r="N27" s="110"/>
      <c r="O27" s="108">
        <f>SUM(O26)</f>
        <v>0</v>
      </c>
      <c r="P27" s="108" t="e">
        <f>SUM(P26)</f>
        <v>#REF!</v>
      </c>
      <c r="Q27" s="111"/>
      <c r="R27" s="112">
        <f>SUM(R26)</f>
        <v>0</v>
      </c>
      <c r="S27" s="112">
        <f>SUM(S26)</f>
        <v>0</v>
      </c>
      <c r="T27" s="112">
        <f>SUM(T26)</f>
        <v>0</v>
      </c>
      <c r="U27" s="112">
        <f>SUM(U26)</f>
        <v>0</v>
      </c>
      <c r="V27" s="112">
        <f>SUM(V26)</f>
        <v>0</v>
      </c>
    </row>
    <row r="28" spans="1:22" ht="19.5" customHeight="1">
      <c r="A28" s="41" t="s">
        <v>192</v>
      </c>
      <c r="B28" s="41"/>
      <c r="C28" s="43"/>
      <c r="D28" s="44"/>
      <c r="E28" s="36">
        <f>230369.67/1.2</f>
        <v>191974.72500000001</v>
      </c>
      <c r="F28" s="36">
        <f>-E28*$F$10</f>
        <v>0</v>
      </c>
      <c r="G28" s="36">
        <f>E28*$G$10</f>
        <v>0</v>
      </c>
      <c r="H28" s="36"/>
      <c r="I28" s="36">
        <f>+E28+F28-G28-H28</f>
        <v>191974.72500000001</v>
      </c>
      <c r="J28" s="36">
        <f>+I28+(I28*$I$4)</f>
        <v>230369.67</v>
      </c>
      <c r="K28" s="36">
        <v>230369.67</v>
      </c>
      <c r="L28" s="37"/>
      <c r="M28" s="37"/>
      <c r="N28" s="92">
        <f>-IF(L28=0,,IF(M28=0,($C$10-L28),M28-L28))</f>
        <v>0</v>
      </c>
      <c r="O28" s="36">
        <f>+J28-K28</f>
        <v>0</v>
      </c>
      <c r="P28" s="36" t="e">
        <f>+IF($C$10&lt;L28,0,O28)</f>
        <v>#REF!</v>
      </c>
      <c r="Q28" s="39"/>
      <c r="R28" s="40">
        <f>IF(N28&gt;=0,0,(IF(-N28&lt;=60,O28,0)))</f>
        <v>0</v>
      </c>
      <c r="S28" s="40">
        <f>IF(N28&gt;=0,0,(IF(N28&gt;=-60,0,IF(-60&gt;=N28,IF(N28&gt;=-120,O28,0)))))</f>
        <v>0</v>
      </c>
      <c r="T28" s="40">
        <f>IF(N28&gt;=0,0,(IF(N28&gt;-60,0,IF(-60&gt;=N28,IF(N28&gt;=-120,0,IF(N28&gt;=-180,O28,0))))))</f>
        <v>0</v>
      </c>
      <c r="U28" s="40">
        <f>IF(N28&gt;=0,0,(IF(N28&gt;-60,0,IF(-60&gt;=N28,IF(N28&gt;-120,0,IF(N28&gt;=-180,0,IF(N28&gt;=-365,O28,0)))))))</f>
        <v>0</v>
      </c>
      <c r="V28" s="40">
        <f>IF(N28&gt;=0,0,IF(365&lt;-N28,O28,0))</f>
        <v>0</v>
      </c>
    </row>
    <row r="29" spans="1:22" s="99" customFormat="1" ht="19.5" customHeight="1">
      <c r="A29" s="104"/>
      <c r="B29" s="105"/>
      <c r="C29" s="106"/>
      <c r="D29" s="107"/>
      <c r="E29" s="108">
        <f t="shared" ref="E29:K29" si="8">SUM(E28:E28)</f>
        <v>191974.72500000001</v>
      </c>
      <c r="F29" s="108">
        <f t="shared" si="8"/>
        <v>0</v>
      </c>
      <c r="G29" s="108">
        <f t="shared" si="8"/>
        <v>0</v>
      </c>
      <c r="H29" s="108">
        <f t="shared" si="8"/>
        <v>0</v>
      </c>
      <c r="I29" s="108">
        <f t="shared" si="8"/>
        <v>191974.72500000001</v>
      </c>
      <c r="J29" s="113">
        <f t="shared" si="8"/>
        <v>230369.67</v>
      </c>
      <c r="K29" s="113">
        <f t="shared" si="8"/>
        <v>230369.67</v>
      </c>
      <c r="L29" s="109"/>
      <c r="M29" s="109"/>
      <c r="N29" s="110"/>
      <c r="O29" s="108">
        <f>SUM(O28:O28)</f>
        <v>0</v>
      </c>
      <c r="P29" s="108" t="e">
        <f>SUM(P28:P28)</f>
        <v>#REF!</v>
      </c>
      <c r="Q29" s="111"/>
      <c r="R29" s="112">
        <f>SUM(R28:R28)</f>
        <v>0</v>
      </c>
      <c r="S29" s="112">
        <f>SUM(S28:S28)</f>
        <v>0</v>
      </c>
      <c r="T29" s="112">
        <f>SUM(T28:T28)</f>
        <v>0</v>
      </c>
      <c r="U29" s="112">
        <f>SUM(U28:U28)</f>
        <v>0</v>
      </c>
      <c r="V29" s="112">
        <f>SUM(V28:V28)</f>
        <v>0</v>
      </c>
    </row>
    <row r="30" spans="1:22" ht="19.5" customHeight="1">
      <c r="A30" s="41" t="s">
        <v>166</v>
      </c>
      <c r="B30" s="41"/>
      <c r="C30" s="43"/>
      <c r="D30" s="44"/>
      <c r="E30" s="36">
        <f>735.22/1.2</f>
        <v>612.68333333333339</v>
      </c>
      <c r="F30" s="36">
        <f>-E30*$F$10</f>
        <v>0</v>
      </c>
      <c r="G30" s="36">
        <f>E30*$G$10</f>
        <v>0</v>
      </c>
      <c r="H30" s="36"/>
      <c r="I30" s="36">
        <f>+E30+F30-G30-H30</f>
        <v>612.68333333333339</v>
      </c>
      <c r="J30" s="36">
        <f>+I30+(I30*$I$4)</f>
        <v>735.22</v>
      </c>
      <c r="K30" s="36">
        <v>735.22</v>
      </c>
      <c r="L30" s="37"/>
      <c r="M30" s="37"/>
      <c r="N30" s="92">
        <f>-IF(L30=0,,IF(M30=0,($C$10-L30),M30-L30))</f>
        <v>0</v>
      </c>
      <c r="O30" s="36">
        <f>+J30-K30</f>
        <v>0</v>
      </c>
      <c r="P30" s="36" t="e">
        <f>+IF($C$10&lt;L30,0,O30)</f>
        <v>#REF!</v>
      </c>
      <c r="Q30" s="39"/>
      <c r="R30" s="40">
        <f>IF(N30&gt;=0,0,(IF(-N30&lt;=60,O30,0)))</f>
        <v>0</v>
      </c>
      <c r="S30" s="40">
        <f>IF(N30&gt;=0,0,(IF(N30&gt;=-60,0,IF(-60&gt;=N30,IF(N30&gt;=-120,O30,0)))))</f>
        <v>0</v>
      </c>
      <c r="T30" s="40">
        <f>IF(N30&gt;=0,0,(IF(N30&gt;-60,0,IF(-60&gt;=N30,IF(N30&gt;=-120,0,IF(N30&gt;=-180,O30,0))))))</f>
        <v>0</v>
      </c>
      <c r="U30" s="40">
        <f>IF(N30&gt;=0,0,(IF(N30&gt;-60,0,IF(-60&gt;=N30,IF(N30&gt;-120,0,IF(N30&gt;=-180,0,IF(N30&gt;=-365,O30,0)))))))</f>
        <v>0</v>
      </c>
      <c r="V30" s="40">
        <f>IF(N30&gt;=0,0,IF(365&lt;-N30,O30,0))</f>
        <v>0</v>
      </c>
    </row>
    <row r="31" spans="1:22" s="99" customFormat="1" ht="19.5" customHeight="1">
      <c r="A31" s="104"/>
      <c r="B31" s="105"/>
      <c r="C31" s="106"/>
      <c r="D31" s="107"/>
      <c r="E31" s="108">
        <f t="shared" ref="E31:K31" si="9">SUM(E30:E30)</f>
        <v>612.68333333333339</v>
      </c>
      <c r="F31" s="108">
        <f t="shared" si="9"/>
        <v>0</v>
      </c>
      <c r="G31" s="108">
        <f t="shared" si="9"/>
        <v>0</v>
      </c>
      <c r="H31" s="108">
        <f t="shared" si="9"/>
        <v>0</v>
      </c>
      <c r="I31" s="108">
        <f t="shared" si="9"/>
        <v>612.68333333333339</v>
      </c>
      <c r="J31" s="113">
        <f t="shared" si="9"/>
        <v>735.22</v>
      </c>
      <c r="K31" s="113">
        <f t="shared" si="9"/>
        <v>735.22</v>
      </c>
      <c r="L31" s="109"/>
      <c r="M31" s="109"/>
      <c r="N31" s="110"/>
      <c r="O31" s="108">
        <f>SUM(O30:O30)</f>
        <v>0</v>
      </c>
      <c r="P31" s="108" t="e">
        <f>SUM(P30:P30)</f>
        <v>#REF!</v>
      </c>
      <c r="Q31" s="111"/>
      <c r="R31" s="112">
        <f>SUM(R30:R30)</f>
        <v>0</v>
      </c>
      <c r="S31" s="112">
        <f>SUM(S30:S30)</f>
        <v>0</v>
      </c>
      <c r="T31" s="112">
        <f>SUM(T30:T30)</f>
        <v>0</v>
      </c>
      <c r="U31" s="112">
        <f>SUM(U30:U30)</f>
        <v>0</v>
      </c>
      <c r="V31" s="112">
        <f>SUM(V30:V30)</f>
        <v>0</v>
      </c>
    </row>
    <row r="32" spans="1:22" ht="19.5" customHeight="1">
      <c r="A32" s="41" t="s">
        <v>200</v>
      </c>
      <c r="B32" s="41"/>
      <c r="C32" s="43"/>
      <c r="D32" s="44"/>
      <c r="E32" s="36">
        <f>64954.55/1.2</f>
        <v>54128.791666666672</v>
      </c>
      <c r="F32" s="36">
        <f>-E32*$F$10</f>
        <v>0</v>
      </c>
      <c r="G32" s="36">
        <f>E32*$G$10</f>
        <v>0</v>
      </c>
      <c r="H32" s="36"/>
      <c r="I32" s="36">
        <f>+E32+F32-G32-H32</f>
        <v>54128.791666666672</v>
      </c>
      <c r="J32" s="36">
        <f>+I32+(I32*$I$4)</f>
        <v>64954.55</v>
      </c>
      <c r="K32" s="36">
        <v>64954.55</v>
      </c>
      <c r="L32" s="37"/>
      <c r="M32" s="37"/>
      <c r="N32" s="92">
        <f>-IF(L32=0,,IF(M32=0,($C$10-L32),M32-L32))</f>
        <v>0</v>
      </c>
      <c r="O32" s="36">
        <f>+J32-K32</f>
        <v>0</v>
      </c>
      <c r="P32" s="36" t="e">
        <f>+IF($C$10&lt;L32,0,O32)</f>
        <v>#REF!</v>
      </c>
      <c r="Q32" s="39"/>
      <c r="R32" s="40">
        <f>IF(N32&gt;=0,0,(IF(-N32&lt;=60,O32,0)))</f>
        <v>0</v>
      </c>
      <c r="S32" s="40">
        <f>IF(N32&gt;=0,0,(IF(N32&gt;=-60,0,IF(-60&gt;=N32,IF(N32&gt;=-120,O32,0)))))</f>
        <v>0</v>
      </c>
      <c r="T32" s="40">
        <f>IF(N32&gt;=0,0,(IF(N32&gt;-60,0,IF(-60&gt;=N32,IF(N32&gt;=-120,0,IF(N32&gt;=-180,O32,0))))))</f>
        <v>0</v>
      </c>
      <c r="U32" s="40">
        <f>IF(N32&gt;=0,0,(IF(N32&gt;-60,0,IF(-60&gt;=N32,IF(N32&gt;-120,0,IF(N32&gt;=-180,0,IF(N32&gt;=-365,O32,0)))))))</f>
        <v>0</v>
      </c>
      <c r="V32" s="40">
        <f>IF(N32&gt;=0,0,IF(365&lt;-N32,O32,0))</f>
        <v>0</v>
      </c>
    </row>
    <row r="33" spans="1:22" s="99" customFormat="1" ht="19.5" customHeight="1">
      <c r="A33" s="104"/>
      <c r="B33" s="105"/>
      <c r="C33" s="106"/>
      <c r="D33" s="107"/>
      <c r="E33" s="108">
        <f t="shared" ref="E33:K33" si="10">SUM(E32:E32)</f>
        <v>54128.791666666672</v>
      </c>
      <c r="F33" s="108">
        <f t="shared" si="10"/>
        <v>0</v>
      </c>
      <c r="G33" s="108">
        <f t="shared" si="10"/>
        <v>0</v>
      </c>
      <c r="H33" s="108">
        <f t="shared" si="10"/>
        <v>0</v>
      </c>
      <c r="I33" s="108">
        <f t="shared" si="10"/>
        <v>54128.791666666672</v>
      </c>
      <c r="J33" s="113">
        <f t="shared" si="10"/>
        <v>64954.55</v>
      </c>
      <c r="K33" s="113">
        <f t="shared" si="10"/>
        <v>64954.55</v>
      </c>
      <c r="L33" s="109"/>
      <c r="M33" s="109"/>
      <c r="N33" s="110"/>
      <c r="O33" s="108">
        <f>SUM(O32:O32)</f>
        <v>0</v>
      </c>
      <c r="P33" s="108" t="e">
        <f>SUM(P32:P32)</f>
        <v>#REF!</v>
      </c>
      <c r="Q33" s="111"/>
      <c r="R33" s="112">
        <f>SUM(R32:R32)</f>
        <v>0</v>
      </c>
      <c r="S33" s="112">
        <f>SUM(S32:S32)</f>
        <v>0</v>
      </c>
      <c r="T33" s="112">
        <f>SUM(T32:T32)</f>
        <v>0</v>
      </c>
      <c r="U33" s="112">
        <f>SUM(U32:U32)</f>
        <v>0</v>
      </c>
      <c r="V33" s="112">
        <f>SUM(V32:V32)</f>
        <v>0</v>
      </c>
    </row>
    <row r="34" spans="1:22" ht="19.5" customHeight="1">
      <c r="A34" s="41" t="s">
        <v>193</v>
      </c>
      <c r="B34" s="41"/>
      <c r="C34" s="43"/>
      <c r="D34" s="44"/>
      <c r="E34" s="36">
        <f>238972.44/1.2</f>
        <v>199143.7</v>
      </c>
      <c r="F34" s="36">
        <f>-E34*$F$10</f>
        <v>0</v>
      </c>
      <c r="G34" s="36">
        <f>E34*$G$10</f>
        <v>0</v>
      </c>
      <c r="H34" s="36"/>
      <c r="I34" s="36">
        <f>+E34+F34-G34-H34</f>
        <v>199143.7</v>
      </c>
      <c r="J34" s="36">
        <f>+I34+(I34*$I$4)</f>
        <v>238972.44</v>
      </c>
      <c r="K34" s="36">
        <v>238972.44</v>
      </c>
      <c r="L34" s="37"/>
      <c r="M34" s="116"/>
      <c r="N34" s="92">
        <f>-IF(L34=0,,IF(M34=0,($C$10-L34),M34-L34))</f>
        <v>0</v>
      </c>
      <c r="O34" s="36">
        <f>+J34-K34</f>
        <v>0</v>
      </c>
      <c r="P34" s="36" t="e">
        <f>+IF($C$10&lt;L34,0,O34)</f>
        <v>#REF!</v>
      </c>
      <c r="Q34" s="39"/>
      <c r="R34" s="40">
        <f>IF(N34&gt;=0,0,(IF(-N34&lt;=60,O34,0)))</f>
        <v>0</v>
      </c>
      <c r="S34" s="40">
        <f>IF(N34&gt;=0,0,(IF(N34&gt;=-60,0,IF(-60&gt;=N34,IF(N34&gt;=-120,O34,0)))))</f>
        <v>0</v>
      </c>
      <c r="T34" s="40">
        <f>IF(N34&gt;=0,0,(IF(N34&gt;-60,0,IF(-60&gt;=N34,IF(N34&gt;=-120,0,IF(N34&gt;=-180,O34,0))))))</f>
        <v>0</v>
      </c>
      <c r="U34" s="40">
        <f>IF(N34&gt;=0,0,(IF(N34&gt;-60,0,IF(-60&gt;=N34,IF(N34&gt;-120,0,IF(N34&gt;=-180,0,IF(N34&gt;=-365,O34,0)))))))</f>
        <v>0</v>
      </c>
      <c r="V34" s="40">
        <f>IF(N34&gt;=0,0,IF(365&lt;-N34,O34,0))</f>
        <v>0</v>
      </c>
    </row>
    <row r="35" spans="1:22" s="99" customFormat="1" ht="19.5" customHeight="1">
      <c r="A35" s="104"/>
      <c r="B35" s="104"/>
      <c r="C35" s="106"/>
      <c r="D35" s="107"/>
      <c r="E35" s="108">
        <f t="shared" ref="E35:K35" si="11">SUM(E34:E34)</f>
        <v>199143.7</v>
      </c>
      <c r="F35" s="108">
        <f t="shared" si="11"/>
        <v>0</v>
      </c>
      <c r="G35" s="108">
        <f t="shared" si="11"/>
        <v>0</v>
      </c>
      <c r="H35" s="108">
        <f t="shared" si="11"/>
        <v>0</v>
      </c>
      <c r="I35" s="108">
        <f t="shared" si="11"/>
        <v>199143.7</v>
      </c>
      <c r="J35" s="113">
        <f t="shared" si="11"/>
        <v>238972.44</v>
      </c>
      <c r="K35" s="113">
        <f t="shared" si="11"/>
        <v>238972.44</v>
      </c>
      <c r="L35" s="109"/>
      <c r="M35" s="119"/>
      <c r="N35" s="110"/>
      <c r="O35" s="108">
        <f>SUM(O34:O34)</f>
        <v>0</v>
      </c>
      <c r="P35" s="108" t="e">
        <f>SUM(P34:P34)</f>
        <v>#REF!</v>
      </c>
      <c r="Q35" s="111"/>
      <c r="R35" s="112">
        <f>SUM(R34:R34)</f>
        <v>0</v>
      </c>
      <c r="S35" s="112">
        <f>SUM(S34:S34)</f>
        <v>0</v>
      </c>
      <c r="T35" s="112">
        <f>SUM(T34:T34)</f>
        <v>0</v>
      </c>
      <c r="U35" s="112">
        <f>SUM(U34:U34)</f>
        <v>0</v>
      </c>
      <c r="V35" s="112">
        <f>SUM(V34:V34)</f>
        <v>0</v>
      </c>
    </row>
    <row r="36" spans="1:22" ht="19.5" customHeight="1">
      <c r="A36" s="41" t="s">
        <v>147</v>
      </c>
      <c r="B36" s="41"/>
      <c r="C36" s="43"/>
      <c r="D36" s="44"/>
      <c r="E36" s="36">
        <f>2431.5/1.2</f>
        <v>2026.25</v>
      </c>
      <c r="F36" s="36">
        <f>-E36*$F$10</f>
        <v>0</v>
      </c>
      <c r="G36" s="36">
        <f>E36*$G$10</f>
        <v>0</v>
      </c>
      <c r="H36" s="36"/>
      <c r="I36" s="36">
        <f>+E36+F36-G36-H36</f>
        <v>2026.25</v>
      </c>
      <c r="J36" s="36">
        <f>+I36+(I36*$I$4)</f>
        <v>2431.5</v>
      </c>
      <c r="K36" s="36">
        <v>2431.5</v>
      </c>
      <c r="L36" s="37"/>
      <c r="M36" s="116"/>
      <c r="N36" s="92">
        <f>-IF(L36=0,,IF(M36=0,($C$10-L36),M36-L36))</f>
        <v>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s="99" customFormat="1" ht="19.5" customHeight="1">
      <c r="A37" s="104"/>
      <c r="B37" s="104"/>
      <c r="C37" s="106"/>
      <c r="D37" s="107"/>
      <c r="E37" s="108">
        <f t="shared" ref="E37:K37" si="12">SUM(E36:E36)</f>
        <v>2026.25</v>
      </c>
      <c r="F37" s="108">
        <f t="shared" si="12"/>
        <v>0</v>
      </c>
      <c r="G37" s="108">
        <f t="shared" si="12"/>
        <v>0</v>
      </c>
      <c r="H37" s="108">
        <f t="shared" si="12"/>
        <v>0</v>
      </c>
      <c r="I37" s="108">
        <f t="shared" si="12"/>
        <v>2026.25</v>
      </c>
      <c r="J37" s="113">
        <f t="shared" si="12"/>
        <v>2431.5</v>
      </c>
      <c r="K37" s="113">
        <f t="shared" si="12"/>
        <v>2431.5</v>
      </c>
      <c r="L37" s="109"/>
      <c r="M37" s="119"/>
      <c r="N37" s="110"/>
      <c r="O37" s="108">
        <f>SUM(O36:O36)</f>
        <v>0</v>
      </c>
      <c r="P37" s="108" t="e">
        <f>SUM(P36:P36)</f>
        <v>#REF!</v>
      </c>
      <c r="Q37" s="111"/>
      <c r="R37" s="112">
        <f>SUM(R36:R36)</f>
        <v>0</v>
      </c>
      <c r="S37" s="112">
        <f>SUM(S36:S36)</f>
        <v>0</v>
      </c>
      <c r="T37" s="112">
        <f>SUM(T36:T36)</f>
        <v>0</v>
      </c>
      <c r="U37" s="112">
        <f>SUM(U36:U36)</f>
        <v>0</v>
      </c>
      <c r="V37" s="112">
        <f>SUM(V36:V36)</f>
        <v>0</v>
      </c>
    </row>
    <row r="38" spans="1:22" ht="19.5" customHeight="1">
      <c r="A38" s="41" t="s">
        <v>201</v>
      </c>
      <c r="B38" s="41"/>
      <c r="C38" s="43"/>
      <c r="D38" s="44"/>
      <c r="E38" s="36">
        <f>18414.05/1.2</f>
        <v>15345.041666666666</v>
      </c>
      <c r="F38" s="36">
        <f>-E38*$F$10</f>
        <v>0</v>
      </c>
      <c r="G38" s="36">
        <f>E38*$G$10</f>
        <v>0</v>
      </c>
      <c r="H38" s="36"/>
      <c r="I38" s="36">
        <f>+E38+F38-G38-H38</f>
        <v>15345.041666666666</v>
      </c>
      <c r="J38" s="36">
        <f>+I38+(I38*$I$4)</f>
        <v>18414.05</v>
      </c>
      <c r="K38" s="36">
        <v>18414.05</v>
      </c>
      <c r="L38" s="37"/>
      <c r="M38" s="116"/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9.5" customHeight="1">
      <c r="A39" s="104"/>
      <c r="B39" s="104"/>
      <c r="C39" s="106"/>
      <c r="D39" s="107"/>
      <c r="E39" s="108">
        <f t="shared" ref="E39:K39" si="13">SUM(E38:E38)</f>
        <v>15345.041666666666</v>
      </c>
      <c r="F39" s="108">
        <f t="shared" si="13"/>
        <v>0</v>
      </c>
      <c r="G39" s="108">
        <f t="shared" si="13"/>
        <v>0</v>
      </c>
      <c r="H39" s="108">
        <f t="shared" si="13"/>
        <v>0</v>
      </c>
      <c r="I39" s="108">
        <f t="shared" si="13"/>
        <v>15345.041666666666</v>
      </c>
      <c r="J39" s="113">
        <f t="shared" si="13"/>
        <v>18414.05</v>
      </c>
      <c r="K39" s="113">
        <f t="shared" si="13"/>
        <v>18414.05</v>
      </c>
      <c r="L39" s="109"/>
      <c r="M39" s="11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69</v>
      </c>
      <c r="B40" s="41"/>
      <c r="C40" s="43"/>
      <c r="D40" s="44"/>
      <c r="E40" s="36">
        <f>472475.11/1.2</f>
        <v>393729.25833333336</v>
      </c>
      <c r="F40" s="36">
        <f>-E40*$F$10</f>
        <v>0</v>
      </c>
      <c r="G40" s="36">
        <f>E40*$G$10</f>
        <v>0</v>
      </c>
      <c r="H40" s="36"/>
      <c r="I40" s="36">
        <f>+E40+F40-G40-H40</f>
        <v>393729.25833333336</v>
      </c>
      <c r="J40" s="36">
        <f>+I40+(I40*$I$4)</f>
        <v>472475.11000000004</v>
      </c>
      <c r="K40" s="36">
        <v>472475.11000000004</v>
      </c>
      <c r="L40" s="37"/>
      <c r="M40" s="116"/>
      <c r="N40" s="92">
        <f>-IF(L40=0,,IF(M40=0,($C$10-L40),M40-L40))</f>
        <v>0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9.5" customHeight="1">
      <c r="A41" s="104"/>
      <c r="B41" s="104"/>
      <c r="C41" s="106"/>
      <c r="D41" s="107"/>
      <c r="E41" s="108">
        <f t="shared" ref="E41:K41" si="14">SUM(E40:E40)</f>
        <v>393729.25833333336</v>
      </c>
      <c r="F41" s="108">
        <f t="shared" si="14"/>
        <v>0</v>
      </c>
      <c r="G41" s="108">
        <f t="shared" si="14"/>
        <v>0</v>
      </c>
      <c r="H41" s="108">
        <f t="shared" si="14"/>
        <v>0</v>
      </c>
      <c r="I41" s="108">
        <f t="shared" si="14"/>
        <v>393729.25833333336</v>
      </c>
      <c r="J41" s="113">
        <f t="shared" si="14"/>
        <v>472475.11000000004</v>
      </c>
      <c r="K41" s="113">
        <f t="shared" si="14"/>
        <v>472475.11000000004</v>
      </c>
      <c r="L41" s="109"/>
      <c r="M41" s="11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75</v>
      </c>
      <c r="B42" s="41"/>
      <c r="C42" s="43"/>
      <c r="D42" s="44"/>
      <c r="E42" s="36">
        <f>7298324.01/1.2</f>
        <v>6081936.6749999998</v>
      </c>
      <c r="F42" s="36">
        <f>-E42*$F$10</f>
        <v>0</v>
      </c>
      <c r="G42" s="36">
        <f>E42*$G$10</f>
        <v>0</v>
      </c>
      <c r="H42" s="36"/>
      <c r="I42" s="36">
        <f>+E42+F42-G42-H42</f>
        <v>6081936.6749999998</v>
      </c>
      <c r="J42" s="36">
        <f>+I42+(I42*$I$4)</f>
        <v>7298324.0099999998</v>
      </c>
      <c r="K42" s="36">
        <v>7298324.0099999998</v>
      </c>
      <c r="L42" s="37"/>
      <c r="M42" s="37"/>
      <c r="N42" s="92">
        <f>-IF(L42=0,,IF(M42=0,($C$10-L42),M42-L42))</f>
        <v>0</v>
      </c>
      <c r="O42" s="36">
        <f>+J42-K42</f>
        <v>0</v>
      </c>
      <c r="P42" s="36" t="e">
        <f>+IF($C$10&lt;L42,0,O42)</f>
        <v>#REF!</v>
      </c>
      <c r="Q42" s="39"/>
      <c r="R42" s="40">
        <f>IF(N42&gt;=0,0,(IF(-N42&lt;=60,O42,0)))</f>
        <v>0</v>
      </c>
      <c r="S42" s="40">
        <f>IF(N42&gt;=0,0,(IF(N42&gt;=-60,0,IF(-60&gt;=N42,IF(N42&gt;=-120,O42,0)))))</f>
        <v>0</v>
      </c>
      <c r="T42" s="40">
        <f>IF(N42&gt;=0,0,(IF(N42&gt;-60,0,IF(-60&gt;=N42,IF(N42&gt;=-120,0,IF(N42&gt;=-180,O42,0))))))</f>
        <v>0</v>
      </c>
      <c r="U42" s="40">
        <f>IF(N42&gt;=0,0,(IF(N42&gt;-60,0,IF(-60&gt;=N42,IF(N42&gt;-120,0,IF(N42&gt;=-180,0,IF(N42&gt;=-365,O42,0)))))))</f>
        <v>0</v>
      </c>
      <c r="V42" s="40">
        <f>IF(N42&gt;=0,0,IF(365&lt;-N42,O42,0))</f>
        <v>0</v>
      </c>
    </row>
    <row r="43" spans="1:22" s="99" customFormat="1" ht="19.5" customHeight="1">
      <c r="A43" s="104"/>
      <c r="B43" s="105"/>
      <c r="C43" s="106"/>
      <c r="D43" s="107"/>
      <c r="E43" s="108">
        <f t="shared" ref="E43:K43" si="15">SUM(E42:E42)</f>
        <v>6081936.6749999998</v>
      </c>
      <c r="F43" s="108">
        <f t="shared" si="15"/>
        <v>0</v>
      </c>
      <c r="G43" s="108">
        <f t="shared" si="15"/>
        <v>0</v>
      </c>
      <c r="H43" s="108">
        <f t="shared" si="15"/>
        <v>0</v>
      </c>
      <c r="I43" s="108">
        <f t="shared" si="15"/>
        <v>6081936.6749999998</v>
      </c>
      <c r="J43" s="113">
        <f t="shared" si="15"/>
        <v>7298324.0099999998</v>
      </c>
      <c r="K43" s="113">
        <f t="shared" si="15"/>
        <v>7298324.0099999998</v>
      </c>
      <c r="L43" s="109"/>
      <c r="M43" s="109"/>
      <c r="N43" s="110"/>
      <c r="O43" s="108">
        <f>SUM(O42:O42)</f>
        <v>0</v>
      </c>
      <c r="P43" s="108" t="e">
        <f>SUM(P42:P42)</f>
        <v>#REF!</v>
      </c>
      <c r="Q43" s="111"/>
      <c r="R43" s="112">
        <f>SUM(R42:R42)</f>
        <v>0</v>
      </c>
      <c r="S43" s="112">
        <f>SUM(S42:S42)</f>
        <v>0</v>
      </c>
      <c r="T43" s="112">
        <f>SUM(T42:T42)</f>
        <v>0</v>
      </c>
      <c r="U43" s="112">
        <f>SUM(U42:U42)</f>
        <v>0</v>
      </c>
      <c r="V43" s="112">
        <f>SUM(V42:V42)</f>
        <v>0</v>
      </c>
    </row>
    <row r="44" spans="1:22" ht="19.5" customHeight="1">
      <c r="A44" s="41" t="s">
        <v>176</v>
      </c>
      <c r="B44" s="41"/>
      <c r="C44" s="43"/>
      <c r="D44" s="44"/>
      <c r="E44" s="36">
        <f>316253.7/1.2</f>
        <v>263544.75</v>
      </c>
      <c r="F44" s="36">
        <f>-E44*$F$10</f>
        <v>0</v>
      </c>
      <c r="G44" s="36">
        <f>E44*$G$10</f>
        <v>0</v>
      </c>
      <c r="H44" s="36"/>
      <c r="I44" s="36">
        <f>+E44+F44-G44-H44</f>
        <v>263544.75</v>
      </c>
      <c r="J44" s="36">
        <f>+I44+(I44*$I$4)</f>
        <v>316253.7</v>
      </c>
      <c r="K44" s="36">
        <v>316253.7</v>
      </c>
      <c r="L44" s="37"/>
      <c r="M44" s="37"/>
      <c r="N44" s="92">
        <f>-IF(L44=0,,IF(M44=0,($C$10-L44),M44-L44))</f>
        <v>0</v>
      </c>
      <c r="O44" s="36">
        <f>+J44-K44</f>
        <v>0</v>
      </c>
      <c r="P44" s="36" t="e">
        <f>+IF($C$10&lt;L44,0,O44)</f>
        <v>#REF!</v>
      </c>
      <c r="Q44" s="39"/>
      <c r="R44" s="40">
        <f>IF(N44&gt;=0,0,(IF(-N44&lt;=60,O44,0)))</f>
        <v>0</v>
      </c>
      <c r="S44" s="40">
        <f>IF(N44&gt;=0,0,(IF(N44&gt;=-60,0,IF(-60&gt;=N44,IF(N44&gt;=-120,O44,0)))))</f>
        <v>0</v>
      </c>
      <c r="T44" s="40">
        <f>IF(N44&gt;=0,0,(IF(N44&gt;-60,0,IF(-60&gt;=N44,IF(N44&gt;=-120,0,IF(N44&gt;=-180,O44,0))))))</f>
        <v>0</v>
      </c>
      <c r="U44" s="40">
        <f>IF(N44&gt;=0,0,(IF(N44&gt;-60,0,IF(-60&gt;=N44,IF(N44&gt;-120,0,IF(N44&gt;=-180,0,IF(N44&gt;=-365,O44,0)))))))</f>
        <v>0</v>
      </c>
      <c r="V44" s="40">
        <f>IF(N44&gt;=0,0,IF(365&lt;-N44,O44,0))</f>
        <v>0</v>
      </c>
    </row>
    <row r="45" spans="1:22" s="99" customFormat="1" ht="19.5" customHeight="1">
      <c r="A45" s="104"/>
      <c r="B45" s="104"/>
      <c r="C45" s="106"/>
      <c r="D45" s="107"/>
      <c r="E45" s="108">
        <f t="shared" ref="E45:K45" si="16">SUM(E44:E44)</f>
        <v>263544.75</v>
      </c>
      <c r="F45" s="108">
        <f t="shared" si="16"/>
        <v>0</v>
      </c>
      <c r="G45" s="108">
        <f t="shared" si="16"/>
        <v>0</v>
      </c>
      <c r="H45" s="108">
        <f t="shared" si="16"/>
        <v>0</v>
      </c>
      <c r="I45" s="108">
        <f t="shared" si="16"/>
        <v>263544.75</v>
      </c>
      <c r="J45" s="113">
        <f t="shared" si="16"/>
        <v>316253.7</v>
      </c>
      <c r="K45" s="113">
        <f t="shared" si="16"/>
        <v>316253.7</v>
      </c>
      <c r="L45" s="109"/>
      <c r="M45" s="109"/>
      <c r="N45" s="110"/>
      <c r="O45" s="108">
        <f>SUM(O44:O44)</f>
        <v>0</v>
      </c>
      <c r="P45" s="108" t="e">
        <f>SUM(P44:P44)</f>
        <v>#REF!</v>
      </c>
      <c r="Q45" s="111"/>
      <c r="R45" s="112">
        <f>SUM(R44:R44)</f>
        <v>0</v>
      </c>
      <c r="S45" s="112">
        <f>SUM(S44:S44)</f>
        <v>0</v>
      </c>
      <c r="T45" s="112">
        <f>SUM(T44:T44)</f>
        <v>0</v>
      </c>
      <c r="U45" s="112">
        <f>SUM(U44:U44)</f>
        <v>0</v>
      </c>
      <c r="V45" s="112">
        <f>SUM(V44:V44)</f>
        <v>0</v>
      </c>
    </row>
    <row r="46" spans="1:22" ht="19.5" customHeight="1">
      <c r="A46" s="41" t="s">
        <v>66</v>
      </c>
      <c r="B46" s="41"/>
      <c r="C46" s="43"/>
      <c r="D46" s="44"/>
      <c r="E46" s="36">
        <f>62190.05/1.2</f>
        <v>51825.041666666672</v>
      </c>
      <c r="F46" s="36">
        <f>-E46*$F$10</f>
        <v>0</v>
      </c>
      <c r="G46" s="36">
        <f>E46*$G$10</f>
        <v>0</v>
      </c>
      <c r="H46" s="36"/>
      <c r="I46" s="36">
        <f>+E46+F46-G46-H46</f>
        <v>51825.041666666672</v>
      </c>
      <c r="J46" s="36">
        <f>+I46+(I46*$I$4)</f>
        <v>62190.05</v>
      </c>
      <c r="K46" s="36">
        <v>62190.05</v>
      </c>
      <c r="L46" s="37"/>
      <c r="M46" s="116"/>
      <c r="N46" s="92">
        <f>-IF(L46=0,,IF(M46=0,($C$10-L46),M46-L46))</f>
        <v>0</v>
      </c>
      <c r="O46" s="36">
        <f>+J46-K46</f>
        <v>0</v>
      </c>
      <c r="P46" s="36" t="e">
        <f>+IF($C$10&lt;L46,0,O46)</f>
        <v>#REF!</v>
      </c>
      <c r="Q46" s="39"/>
      <c r="R46" s="40">
        <f>IF(N46&gt;=0,0,(IF(-N46&lt;=60,O46,0)))</f>
        <v>0</v>
      </c>
      <c r="S46" s="40">
        <f>IF(N46&gt;=0,0,(IF(N46&gt;=-60,0,IF(-60&gt;=N46,IF(N46&gt;=-120,O46,0)))))</f>
        <v>0</v>
      </c>
      <c r="T46" s="40">
        <f>IF(N46&gt;=0,0,(IF(N46&gt;-60,0,IF(-60&gt;=N46,IF(N46&gt;=-120,0,IF(N46&gt;=-180,O46,0))))))</f>
        <v>0</v>
      </c>
      <c r="U46" s="40">
        <f>IF(N46&gt;=0,0,(IF(N46&gt;-60,0,IF(-60&gt;=N46,IF(N46&gt;-120,0,IF(N46&gt;=-180,0,IF(N46&gt;=-365,O46,0)))))))</f>
        <v>0</v>
      </c>
      <c r="V46" s="40">
        <f>IF(N46&gt;=0,0,IF(365&lt;-N46,O46,0))</f>
        <v>0</v>
      </c>
    </row>
    <row r="47" spans="1:22" s="99" customFormat="1" ht="19.5" customHeight="1">
      <c r="A47" s="104"/>
      <c r="B47" s="104"/>
      <c r="C47" s="106"/>
      <c r="D47" s="107"/>
      <c r="E47" s="108">
        <f t="shared" ref="E47:K47" si="17">SUM(E46:E46)</f>
        <v>51825.041666666672</v>
      </c>
      <c r="F47" s="108">
        <f t="shared" si="17"/>
        <v>0</v>
      </c>
      <c r="G47" s="108">
        <f t="shared" si="17"/>
        <v>0</v>
      </c>
      <c r="H47" s="108">
        <f t="shared" si="17"/>
        <v>0</v>
      </c>
      <c r="I47" s="108">
        <f t="shared" si="17"/>
        <v>51825.041666666672</v>
      </c>
      <c r="J47" s="113">
        <f t="shared" si="17"/>
        <v>62190.05</v>
      </c>
      <c r="K47" s="113">
        <f t="shared" si="17"/>
        <v>62190.05</v>
      </c>
      <c r="L47" s="109"/>
      <c r="M47" s="109"/>
      <c r="N47" s="110"/>
      <c r="O47" s="108">
        <f>SUM(O46:O46)</f>
        <v>0</v>
      </c>
      <c r="P47" s="108" t="e">
        <f>SUM(P46:P46)</f>
        <v>#REF!</v>
      </c>
      <c r="Q47" s="111"/>
      <c r="R47" s="112">
        <f>SUM(R46:R46)</f>
        <v>0</v>
      </c>
      <c r="S47" s="112">
        <f>SUM(S46:S46)</f>
        <v>0</v>
      </c>
      <c r="T47" s="112">
        <f>SUM(T46:T46)</f>
        <v>0</v>
      </c>
      <c r="U47" s="112">
        <f>SUM(U46:U46)</f>
        <v>0</v>
      </c>
      <c r="V47" s="112">
        <f>SUM(V46:V46)</f>
        <v>0</v>
      </c>
    </row>
    <row r="48" spans="1:22" ht="19.5" customHeight="1">
      <c r="A48" s="41" t="s">
        <v>148</v>
      </c>
      <c r="B48" s="41"/>
      <c r="C48" s="43"/>
      <c r="D48" s="44"/>
      <c r="E48" s="36">
        <f>222270.38/1.2</f>
        <v>185225.31666666668</v>
      </c>
      <c r="F48" s="36">
        <f>-E48*$F$10</f>
        <v>0</v>
      </c>
      <c r="G48" s="36">
        <f>E48*$G$10</f>
        <v>0</v>
      </c>
      <c r="H48" s="36"/>
      <c r="I48" s="36">
        <f>+E48+F48-G48-H48</f>
        <v>185225.31666666668</v>
      </c>
      <c r="J48" s="36">
        <f>+I48+(I48*$I$4)</f>
        <v>222270.38</v>
      </c>
      <c r="K48" s="36">
        <v>222270.38</v>
      </c>
      <c r="L48" s="37"/>
      <c r="M48" s="116"/>
      <c r="N48" s="92">
        <f>-IF(L48=0,,IF(M48=0,($C$10-L48),M48-L48))</f>
        <v>0</v>
      </c>
      <c r="O48" s="36">
        <f>+J48-K48</f>
        <v>0</v>
      </c>
      <c r="P48" s="36" t="e">
        <f>+IF($C$10&lt;L48,0,O48)</f>
        <v>#REF!</v>
      </c>
      <c r="Q48" s="39"/>
      <c r="R48" s="40">
        <f>IF(N48&gt;=0,0,(IF(-N48&lt;=60,O48,0)))</f>
        <v>0</v>
      </c>
      <c r="S48" s="40">
        <f>IF(N48&gt;=0,0,(IF(N48&gt;=-60,0,IF(-60&gt;=N48,IF(N48&gt;=-120,O48,0)))))</f>
        <v>0</v>
      </c>
      <c r="T48" s="40">
        <f>IF(N48&gt;=0,0,(IF(N48&gt;-60,0,IF(-60&gt;=N48,IF(N48&gt;=-120,0,IF(N48&gt;=-180,O48,0))))))</f>
        <v>0</v>
      </c>
      <c r="U48" s="40">
        <f>IF(N48&gt;=0,0,(IF(N48&gt;-60,0,IF(-60&gt;=N48,IF(N48&gt;-120,0,IF(N48&gt;=-180,0,IF(N48&gt;=-365,O48,0)))))))</f>
        <v>0</v>
      </c>
      <c r="V48" s="40">
        <f>IF(N48&gt;=0,0,IF(365&lt;-N48,O48,0))</f>
        <v>0</v>
      </c>
    </row>
    <row r="49" spans="1:22" s="99" customFormat="1" ht="19.5" customHeight="1">
      <c r="A49" s="104"/>
      <c r="B49" s="104"/>
      <c r="C49" s="106"/>
      <c r="D49" s="107"/>
      <c r="E49" s="108">
        <f t="shared" ref="E49:K49" si="18">SUM(E48:E48)</f>
        <v>185225.31666666668</v>
      </c>
      <c r="F49" s="108">
        <f t="shared" si="18"/>
        <v>0</v>
      </c>
      <c r="G49" s="108">
        <f t="shared" si="18"/>
        <v>0</v>
      </c>
      <c r="H49" s="108">
        <f t="shared" si="18"/>
        <v>0</v>
      </c>
      <c r="I49" s="108">
        <f t="shared" si="18"/>
        <v>185225.31666666668</v>
      </c>
      <c r="J49" s="113">
        <f t="shared" si="18"/>
        <v>222270.38</v>
      </c>
      <c r="K49" s="113">
        <f t="shared" si="18"/>
        <v>222270.38</v>
      </c>
      <c r="L49" s="109"/>
      <c r="M49" s="109"/>
      <c r="N49" s="110"/>
      <c r="O49" s="108">
        <f>SUM(O48:O48)</f>
        <v>0</v>
      </c>
      <c r="P49" s="108" t="e">
        <f>SUM(P48:P48)</f>
        <v>#REF!</v>
      </c>
      <c r="Q49" s="111"/>
      <c r="R49" s="112">
        <f>SUM(R48:R48)</f>
        <v>0</v>
      </c>
      <c r="S49" s="112">
        <f>SUM(S48:S48)</f>
        <v>0</v>
      </c>
      <c r="T49" s="112">
        <f>SUM(T48:T48)</f>
        <v>0</v>
      </c>
      <c r="U49" s="112">
        <f>SUM(U48:U48)</f>
        <v>0</v>
      </c>
      <c r="V49" s="112">
        <f>SUM(V48:V48)</f>
        <v>0</v>
      </c>
    </row>
    <row r="50" spans="1:22" ht="19.5" customHeight="1">
      <c r="A50" s="41" t="s">
        <v>77</v>
      </c>
      <c r="B50" s="41"/>
      <c r="C50" s="43"/>
      <c r="D50" s="44"/>
      <c r="E50" s="36">
        <f>15272.69/1.2</f>
        <v>12727.241666666667</v>
      </c>
      <c r="F50" s="36">
        <f>-E50*$F$10</f>
        <v>0</v>
      </c>
      <c r="G50" s="36">
        <f>E50*$G$10</f>
        <v>0</v>
      </c>
      <c r="H50" s="36"/>
      <c r="I50" s="36">
        <f>+E50+F50-G50-H50</f>
        <v>12727.241666666667</v>
      </c>
      <c r="J50" s="36">
        <f>+I50+(I50*$I$4)</f>
        <v>15272.69</v>
      </c>
      <c r="K50" s="36">
        <v>15272.69</v>
      </c>
      <c r="L50" s="37"/>
      <c r="M50" s="37"/>
      <c r="N50" s="92">
        <f>-IF(L50=0,,IF(M50=0,($C$10-L50),M50-L50))</f>
        <v>0</v>
      </c>
      <c r="O50" s="36">
        <f>+J50-K50</f>
        <v>0</v>
      </c>
      <c r="P50" s="36" t="e">
        <f>+IF($C$10&lt;L50,0,O50)</f>
        <v>#REF!</v>
      </c>
      <c r="Q50" s="39"/>
      <c r="R50" s="40">
        <f>IF(N50&gt;=0,0,(IF(-N50&lt;=60,O50,0)))</f>
        <v>0</v>
      </c>
      <c r="S50" s="40">
        <f>IF(N50&gt;=0,0,(IF(N50&gt;=-60,0,IF(-60&gt;=N50,IF(N50&gt;=-120,O50,0)))))</f>
        <v>0</v>
      </c>
      <c r="T50" s="40">
        <f>IF(N50&gt;=0,0,(IF(N50&gt;-60,0,IF(-60&gt;=N50,IF(N50&gt;=-120,0,IF(N50&gt;=-180,O50,0))))))</f>
        <v>0</v>
      </c>
      <c r="U50" s="40">
        <f>IF(N50&gt;=0,0,(IF(N50&gt;-60,0,IF(-60&gt;=N50,IF(N50&gt;-120,0,IF(N50&gt;=-180,0,IF(N50&gt;=-365,O50,0)))))))</f>
        <v>0</v>
      </c>
      <c r="V50" s="40">
        <f>IF(N50&gt;=0,0,IF(365&lt;-N50,O50,0))</f>
        <v>0</v>
      </c>
    </row>
    <row r="51" spans="1:22" s="99" customFormat="1" ht="19.5" customHeight="1">
      <c r="A51" s="104"/>
      <c r="B51" s="104"/>
      <c r="C51" s="106"/>
      <c r="D51" s="107"/>
      <c r="E51" s="108">
        <f t="shared" ref="E51:K51" si="19">SUM(E50:E50)</f>
        <v>12727.241666666667</v>
      </c>
      <c r="F51" s="108">
        <f t="shared" si="19"/>
        <v>0</v>
      </c>
      <c r="G51" s="108">
        <f t="shared" si="19"/>
        <v>0</v>
      </c>
      <c r="H51" s="108">
        <f t="shared" si="19"/>
        <v>0</v>
      </c>
      <c r="I51" s="108">
        <f t="shared" si="19"/>
        <v>12727.241666666667</v>
      </c>
      <c r="J51" s="113">
        <f t="shared" si="19"/>
        <v>15272.69</v>
      </c>
      <c r="K51" s="113">
        <f t="shared" si="19"/>
        <v>15272.69</v>
      </c>
      <c r="L51" s="109"/>
      <c r="M51" s="109"/>
      <c r="N51" s="110"/>
      <c r="O51" s="108">
        <f>SUM(O50:O50)</f>
        <v>0</v>
      </c>
      <c r="P51" s="108" t="e">
        <f>SUM(P50:P50)</f>
        <v>#REF!</v>
      </c>
      <c r="Q51" s="111"/>
      <c r="R51" s="112">
        <f>SUM(R50:R50)</f>
        <v>0</v>
      </c>
      <c r="S51" s="112">
        <f>SUM(S50:S50)</f>
        <v>0</v>
      </c>
      <c r="T51" s="112">
        <f>SUM(T50:T50)</f>
        <v>0</v>
      </c>
      <c r="U51" s="112">
        <f>SUM(U50:U50)</f>
        <v>0</v>
      </c>
      <c r="V51" s="112">
        <f>SUM(V50:V50)</f>
        <v>0</v>
      </c>
    </row>
    <row r="52" spans="1:22" ht="19.5" customHeight="1">
      <c r="A52" s="41" t="s">
        <v>188</v>
      </c>
      <c r="B52" s="41"/>
      <c r="C52" s="43"/>
      <c r="D52" s="44"/>
      <c r="E52" s="36">
        <f>270565.96/1.2</f>
        <v>225471.63333333336</v>
      </c>
      <c r="F52" s="36">
        <f>-E52*$F$10</f>
        <v>0</v>
      </c>
      <c r="G52" s="36">
        <f>E52*$G$10</f>
        <v>0</v>
      </c>
      <c r="H52" s="36"/>
      <c r="I52" s="36">
        <f>+E52+F52-G52-H52</f>
        <v>225471.63333333336</v>
      </c>
      <c r="J52" s="36">
        <f>+I52+(I52*$I$4)</f>
        <v>270565.96000000002</v>
      </c>
      <c r="K52" s="36">
        <v>270565.96000000002</v>
      </c>
      <c r="L52" s="37"/>
      <c r="M52" s="116"/>
      <c r="N52" s="92">
        <f>-IF(L52=0,,IF(M52=0,($C$10-L52),M52-L52))</f>
        <v>0</v>
      </c>
      <c r="O52" s="36">
        <f>+J52-K52</f>
        <v>0</v>
      </c>
      <c r="P52" s="36" t="e">
        <f>+IF($C$10&lt;L52,0,O52)</f>
        <v>#REF!</v>
      </c>
      <c r="Q52" s="39"/>
      <c r="R52" s="40">
        <f>IF(N52&gt;=0,0,(IF(-N52&lt;=60,O52,0)))</f>
        <v>0</v>
      </c>
      <c r="S52" s="40">
        <f>IF(N52&gt;=0,0,(IF(N52&gt;=-60,0,IF(-60&gt;=N52,IF(N52&gt;=-120,O52,0)))))</f>
        <v>0</v>
      </c>
      <c r="T52" s="40">
        <f>IF(N52&gt;=0,0,(IF(N52&gt;-60,0,IF(-60&gt;=N52,IF(N52&gt;=-120,0,IF(N52&gt;=-180,O52,0))))))</f>
        <v>0</v>
      </c>
      <c r="U52" s="40">
        <f>IF(N52&gt;=0,0,(IF(N52&gt;-60,0,IF(-60&gt;=N52,IF(N52&gt;-120,0,IF(N52&gt;=-180,0,IF(N52&gt;=-365,O52,0)))))))</f>
        <v>0</v>
      </c>
      <c r="V52" s="40">
        <f>IF(N52&gt;=0,0,IF(365&lt;-N52,O52,0))</f>
        <v>0</v>
      </c>
    </row>
    <row r="53" spans="1:22" s="99" customFormat="1" ht="19.5" customHeight="1">
      <c r="A53" s="104"/>
      <c r="B53" s="104"/>
      <c r="C53" s="106"/>
      <c r="D53" s="107"/>
      <c r="E53" s="108">
        <f t="shared" ref="E53:K53" si="20">SUM(E52:E52)</f>
        <v>225471.63333333336</v>
      </c>
      <c r="F53" s="108">
        <f t="shared" si="20"/>
        <v>0</v>
      </c>
      <c r="G53" s="108">
        <f t="shared" si="20"/>
        <v>0</v>
      </c>
      <c r="H53" s="108">
        <f t="shared" si="20"/>
        <v>0</v>
      </c>
      <c r="I53" s="108">
        <f t="shared" si="20"/>
        <v>225471.63333333336</v>
      </c>
      <c r="J53" s="113">
        <f t="shared" si="20"/>
        <v>270565.96000000002</v>
      </c>
      <c r="K53" s="113">
        <f t="shared" si="20"/>
        <v>270565.96000000002</v>
      </c>
      <c r="L53" s="109"/>
      <c r="M53" s="109"/>
      <c r="N53" s="110"/>
      <c r="O53" s="108">
        <f>SUM(O52:O52)</f>
        <v>0</v>
      </c>
      <c r="P53" s="108" t="e">
        <f>SUM(P52:P52)</f>
        <v>#REF!</v>
      </c>
      <c r="Q53" s="111"/>
      <c r="R53" s="112">
        <f>SUM(R52:R52)</f>
        <v>0</v>
      </c>
      <c r="S53" s="112">
        <f>SUM(S52:S52)</f>
        <v>0</v>
      </c>
      <c r="T53" s="112">
        <f>SUM(T52:T52)</f>
        <v>0</v>
      </c>
      <c r="U53" s="112">
        <f>SUM(U52:U52)</f>
        <v>0</v>
      </c>
      <c r="V53" s="112">
        <f>SUM(V52:V52)</f>
        <v>0</v>
      </c>
    </row>
    <row r="54" spans="1:22" ht="19.5" customHeight="1">
      <c r="A54" s="41" t="s">
        <v>202</v>
      </c>
      <c r="B54" s="41"/>
      <c r="C54" s="43"/>
      <c r="D54" s="44"/>
      <c r="E54" s="36">
        <f>84006.72/1.2</f>
        <v>70005.600000000006</v>
      </c>
      <c r="F54" s="36">
        <f>-E54*$F$10</f>
        <v>0</v>
      </c>
      <c r="G54" s="36">
        <f>E54*$G$10</f>
        <v>0</v>
      </c>
      <c r="H54" s="36"/>
      <c r="I54" s="36">
        <f>+E54+F54-G54-H54</f>
        <v>70005.600000000006</v>
      </c>
      <c r="J54" s="36">
        <f>+I54+(I54*$I$4)</f>
        <v>84006.720000000001</v>
      </c>
      <c r="K54" s="36">
        <v>84006.720000000001</v>
      </c>
      <c r="L54" s="37"/>
      <c r="M54" s="37"/>
      <c r="N54" s="92">
        <f>-IF(L54=0,,IF(M54=0,($C$10-L54),M54-L54))</f>
        <v>0</v>
      </c>
      <c r="O54" s="36">
        <f>+J54-K54</f>
        <v>0</v>
      </c>
      <c r="P54" s="36" t="e">
        <f>+IF($C$10&lt;L54,0,O54)</f>
        <v>#REF!</v>
      </c>
      <c r="Q54" s="39"/>
      <c r="R54" s="40">
        <f>IF(N54&gt;=0,0,(IF(-N54&lt;=60,O54,0)))</f>
        <v>0</v>
      </c>
      <c r="S54" s="40">
        <f>IF(N54&gt;=0,0,(IF(N54&gt;=-60,0,IF(-60&gt;=N54,IF(N54&gt;=-120,O54,0)))))</f>
        <v>0</v>
      </c>
      <c r="T54" s="40">
        <f>IF(N54&gt;=0,0,(IF(N54&gt;-60,0,IF(-60&gt;=N54,IF(N54&gt;=-120,0,IF(N54&gt;=-180,O54,0))))))</f>
        <v>0</v>
      </c>
      <c r="U54" s="40">
        <f>IF(N54&gt;=0,0,(IF(N54&gt;-60,0,IF(-60&gt;=N54,IF(N54&gt;-120,0,IF(N54&gt;=-180,0,IF(N54&gt;=-365,O54,0)))))))</f>
        <v>0</v>
      </c>
      <c r="V54" s="40">
        <f>IF(N54&gt;=0,0,IF(365&lt;-N54,O54,0))</f>
        <v>0</v>
      </c>
    </row>
    <row r="55" spans="1:22" s="99" customFormat="1" ht="19.5" customHeight="1">
      <c r="A55" s="104"/>
      <c r="B55" s="104"/>
      <c r="C55" s="106"/>
      <c r="D55" s="107"/>
      <c r="E55" s="108">
        <f t="shared" ref="E55:K55" si="21">SUM(E54:E54)</f>
        <v>70005.600000000006</v>
      </c>
      <c r="F55" s="108">
        <f t="shared" si="21"/>
        <v>0</v>
      </c>
      <c r="G55" s="108">
        <f t="shared" si="21"/>
        <v>0</v>
      </c>
      <c r="H55" s="108">
        <f t="shared" si="21"/>
        <v>0</v>
      </c>
      <c r="I55" s="108">
        <f t="shared" si="21"/>
        <v>70005.600000000006</v>
      </c>
      <c r="J55" s="113">
        <f t="shared" si="21"/>
        <v>84006.720000000001</v>
      </c>
      <c r="K55" s="113">
        <f t="shared" si="21"/>
        <v>84006.720000000001</v>
      </c>
      <c r="L55" s="109"/>
      <c r="M55" s="109"/>
      <c r="N55" s="110"/>
      <c r="O55" s="108">
        <f>SUM(O54:O54)</f>
        <v>0</v>
      </c>
      <c r="P55" s="108" t="e">
        <f>SUM(P54:P54)</f>
        <v>#REF!</v>
      </c>
      <c r="Q55" s="111"/>
      <c r="R55" s="112">
        <f>SUM(R54:R54)</f>
        <v>0</v>
      </c>
      <c r="S55" s="112">
        <f>SUM(S54:S54)</f>
        <v>0</v>
      </c>
      <c r="T55" s="112">
        <f>SUM(T54:T54)</f>
        <v>0</v>
      </c>
      <c r="U55" s="112">
        <f>SUM(U54:U54)</f>
        <v>0</v>
      </c>
      <c r="V55" s="112">
        <f>SUM(V54:V54)</f>
        <v>0</v>
      </c>
    </row>
    <row r="56" spans="1:22" ht="19.5" customHeight="1">
      <c r="A56" s="41" t="s">
        <v>149</v>
      </c>
      <c r="B56" s="41"/>
      <c r="C56" s="43"/>
      <c r="D56" s="44"/>
      <c r="E56" s="36">
        <f>35872.29/1.2</f>
        <v>29893.575000000001</v>
      </c>
      <c r="F56" s="36">
        <f>-E56*$F$10</f>
        <v>0</v>
      </c>
      <c r="G56" s="36">
        <f>E56*$G$10</f>
        <v>0</v>
      </c>
      <c r="H56" s="36"/>
      <c r="I56" s="36">
        <f>+E56+F56-G56-H56</f>
        <v>29893.575000000001</v>
      </c>
      <c r="J56" s="36">
        <f>+I56+(I56*$I$4)</f>
        <v>35872.29</v>
      </c>
      <c r="K56" s="36">
        <v>35872.29</v>
      </c>
      <c r="L56" s="37"/>
      <c r="M56" s="37"/>
      <c r="N56" s="92">
        <f>-IF(L56=0,,IF(M56=0,($C$10-L56),M56-L56))</f>
        <v>0</v>
      </c>
      <c r="O56" s="36">
        <f>+J56-K56</f>
        <v>0</v>
      </c>
      <c r="P56" s="36" t="e">
        <f>+IF($C$10&lt;L56,0,O56)</f>
        <v>#REF!</v>
      </c>
      <c r="Q56" s="39"/>
      <c r="R56" s="40">
        <f>IF(N56&gt;=0,0,(IF(-N56&lt;=60,O56,0)))</f>
        <v>0</v>
      </c>
      <c r="S56" s="40">
        <f>IF(N56&gt;=0,0,(IF(N56&gt;=-60,0,IF(-60&gt;=N56,IF(N56&gt;=-120,O56,0)))))</f>
        <v>0</v>
      </c>
      <c r="T56" s="40">
        <f>IF(N56&gt;=0,0,(IF(N56&gt;-60,0,IF(-60&gt;=N56,IF(N56&gt;=-120,0,IF(N56&gt;=-180,O56,0))))))</f>
        <v>0</v>
      </c>
      <c r="U56" s="40">
        <f>IF(N56&gt;=0,0,(IF(N56&gt;-60,0,IF(-60&gt;=N56,IF(N56&gt;-120,0,IF(N56&gt;=-180,0,IF(N56&gt;=-365,O56,0)))))))</f>
        <v>0</v>
      </c>
      <c r="V56" s="40">
        <f>IF(N56&gt;=0,0,IF(365&lt;-N56,O56,0))</f>
        <v>0</v>
      </c>
    </row>
    <row r="57" spans="1:22" s="99" customFormat="1" ht="19.5" customHeight="1">
      <c r="A57" s="104"/>
      <c r="B57" s="104"/>
      <c r="C57" s="106"/>
      <c r="D57" s="107"/>
      <c r="E57" s="108">
        <f t="shared" ref="E57:K57" si="22">SUM(E56:E56)</f>
        <v>29893.575000000001</v>
      </c>
      <c r="F57" s="108">
        <f t="shared" si="22"/>
        <v>0</v>
      </c>
      <c r="G57" s="108">
        <f t="shared" si="22"/>
        <v>0</v>
      </c>
      <c r="H57" s="108">
        <f t="shared" si="22"/>
        <v>0</v>
      </c>
      <c r="I57" s="108">
        <f t="shared" si="22"/>
        <v>29893.575000000001</v>
      </c>
      <c r="J57" s="113">
        <f t="shared" si="22"/>
        <v>35872.29</v>
      </c>
      <c r="K57" s="113">
        <f t="shared" si="22"/>
        <v>35872.29</v>
      </c>
      <c r="L57" s="109"/>
      <c r="M57" s="109"/>
      <c r="N57" s="110"/>
      <c r="O57" s="108">
        <f>SUM(O56:O56)</f>
        <v>0</v>
      </c>
      <c r="P57" s="108" t="e">
        <f>SUM(P56:P56)</f>
        <v>#REF!</v>
      </c>
      <c r="Q57" s="111"/>
      <c r="R57" s="112">
        <f>SUM(R56:R56)</f>
        <v>0</v>
      </c>
      <c r="S57" s="112">
        <f>SUM(S56:S56)</f>
        <v>0</v>
      </c>
      <c r="T57" s="112">
        <f>SUM(T56:T56)</f>
        <v>0</v>
      </c>
      <c r="U57" s="112">
        <f>SUM(U56:U56)</f>
        <v>0</v>
      </c>
      <c r="V57" s="112">
        <f>SUM(V56:V56)</f>
        <v>0</v>
      </c>
    </row>
    <row r="58" spans="1:22" ht="19.5" customHeight="1">
      <c r="A58" s="41" t="s">
        <v>168</v>
      </c>
      <c r="B58" s="41"/>
      <c r="C58" s="43"/>
      <c r="D58" s="44"/>
      <c r="E58" s="36">
        <f>10263.79/1.2</f>
        <v>8553.1583333333347</v>
      </c>
      <c r="F58" s="36">
        <f>-E58*$F$10</f>
        <v>0</v>
      </c>
      <c r="G58" s="36">
        <f>E58*$G$10</f>
        <v>0</v>
      </c>
      <c r="H58" s="36"/>
      <c r="I58" s="36">
        <f>+E58+F58-G58-H58</f>
        <v>8553.1583333333347</v>
      </c>
      <c r="J58" s="36">
        <f>+I58+(I58*$I$4)</f>
        <v>10263.790000000001</v>
      </c>
      <c r="K58" s="36">
        <v>10263.790000000001</v>
      </c>
      <c r="L58" s="37"/>
      <c r="M58" s="37"/>
      <c r="N58" s="92">
        <f>-IF(L58=0,,IF(M58=0,($C$10-L58),M58-L58))</f>
        <v>0</v>
      </c>
      <c r="O58" s="36">
        <f>+J58-K58</f>
        <v>0</v>
      </c>
      <c r="P58" s="36" t="e">
        <f>+IF($C$10&lt;L58,0,O58)</f>
        <v>#REF!</v>
      </c>
      <c r="Q58" s="39"/>
      <c r="R58" s="40">
        <f>IF(N58&gt;=0,0,(IF(-N58&lt;=60,O58,0)))</f>
        <v>0</v>
      </c>
      <c r="S58" s="40">
        <f>IF(N58&gt;=0,0,(IF(N58&gt;=-60,0,IF(-60&gt;=N58,IF(N58&gt;=-120,O58,0)))))</f>
        <v>0</v>
      </c>
      <c r="T58" s="40">
        <f>IF(N58&gt;=0,0,(IF(N58&gt;-60,0,IF(-60&gt;=N58,IF(N58&gt;=-120,0,IF(N58&gt;=-180,O58,0))))))</f>
        <v>0</v>
      </c>
      <c r="U58" s="40">
        <f>IF(N58&gt;=0,0,(IF(N58&gt;-60,0,IF(-60&gt;=N58,IF(N58&gt;-120,0,IF(N58&gt;=-180,0,IF(N58&gt;=-365,O58,0)))))))</f>
        <v>0</v>
      </c>
      <c r="V58" s="40">
        <f>IF(N58&gt;=0,0,IF(365&lt;-N58,O58,0))</f>
        <v>0</v>
      </c>
    </row>
    <row r="59" spans="1:22" s="99" customFormat="1" ht="19.5" customHeight="1">
      <c r="A59" s="104"/>
      <c r="B59" s="104"/>
      <c r="C59" s="106"/>
      <c r="D59" s="107"/>
      <c r="E59" s="108">
        <f t="shared" ref="E59:K59" si="23">SUM(E58:E58)</f>
        <v>8553.1583333333347</v>
      </c>
      <c r="F59" s="108">
        <f t="shared" si="23"/>
        <v>0</v>
      </c>
      <c r="G59" s="108">
        <f t="shared" si="23"/>
        <v>0</v>
      </c>
      <c r="H59" s="108">
        <f t="shared" si="23"/>
        <v>0</v>
      </c>
      <c r="I59" s="108">
        <f t="shared" si="23"/>
        <v>8553.1583333333347</v>
      </c>
      <c r="J59" s="113">
        <f t="shared" si="23"/>
        <v>10263.790000000001</v>
      </c>
      <c r="K59" s="113">
        <f t="shared" si="23"/>
        <v>10263.790000000001</v>
      </c>
      <c r="L59" s="109"/>
      <c r="M59" s="109"/>
      <c r="N59" s="110"/>
      <c r="O59" s="108">
        <f>SUM(O58:O58)</f>
        <v>0</v>
      </c>
      <c r="P59" s="108" t="e">
        <f>SUM(P58:P58)</f>
        <v>#REF!</v>
      </c>
      <c r="Q59" s="111"/>
      <c r="R59" s="112">
        <f>SUM(R58:R58)</f>
        <v>0</v>
      </c>
      <c r="S59" s="112">
        <f>SUM(S58:S58)</f>
        <v>0</v>
      </c>
      <c r="T59" s="112">
        <f>SUM(T58:T58)</f>
        <v>0</v>
      </c>
      <c r="U59" s="112">
        <f>SUM(U58:U58)</f>
        <v>0</v>
      </c>
      <c r="V59" s="112">
        <f>SUM(V58:V58)</f>
        <v>0</v>
      </c>
    </row>
    <row r="60" spans="1:22" ht="19.5" customHeight="1">
      <c r="A60" s="41" t="s">
        <v>161</v>
      </c>
      <c r="B60" s="41"/>
      <c r="C60" s="43"/>
      <c r="D60" s="44"/>
      <c r="E60" s="36">
        <f>14742/1.2</f>
        <v>12285</v>
      </c>
      <c r="F60" s="36">
        <f>-E60*$F$10</f>
        <v>0</v>
      </c>
      <c r="G60" s="36">
        <f>E60*$G$10</f>
        <v>0</v>
      </c>
      <c r="H60" s="36"/>
      <c r="I60" s="36">
        <f>+E60+F60-G60-H60</f>
        <v>12285</v>
      </c>
      <c r="J60" s="36">
        <f>+I60+(I60*$I$4)</f>
        <v>14742</v>
      </c>
      <c r="K60" s="36">
        <v>14742</v>
      </c>
      <c r="L60" s="37"/>
      <c r="M60" s="37"/>
      <c r="N60" s="92">
        <f>-IF(L60=0,,IF(M60=0,($C$10-L60),M60-L60))</f>
        <v>0</v>
      </c>
      <c r="O60" s="36">
        <f>+J60-K60</f>
        <v>0</v>
      </c>
      <c r="P60" s="36" t="e">
        <f>+IF($C$10&lt;L60,0,O60)</f>
        <v>#REF!</v>
      </c>
      <c r="Q60" s="39"/>
      <c r="R60" s="40">
        <f>IF(N60&gt;=0,0,(IF(-N60&lt;=60,O60,0)))</f>
        <v>0</v>
      </c>
      <c r="S60" s="40">
        <f>IF(N60&gt;=0,0,(IF(N60&gt;=-60,0,IF(-60&gt;=N60,IF(N60&gt;=-120,O60,0)))))</f>
        <v>0</v>
      </c>
      <c r="T60" s="40">
        <f>IF(N60&gt;=0,0,(IF(N60&gt;-60,0,IF(-60&gt;=N60,IF(N60&gt;=-120,0,IF(N60&gt;=-180,O60,0))))))</f>
        <v>0</v>
      </c>
      <c r="U60" s="40">
        <f>IF(N60&gt;=0,0,(IF(N60&gt;-60,0,IF(-60&gt;=N60,IF(N60&gt;-120,0,IF(N60&gt;=-180,0,IF(N60&gt;=-365,O60,0)))))))</f>
        <v>0</v>
      </c>
      <c r="V60" s="40">
        <f>IF(N60&gt;=0,0,IF(365&lt;-N60,O60,0))</f>
        <v>0</v>
      </c>
    </row>
    <row r="61" spans="1:22" s="99" customFormat="1" ht="19.5" customHeight="1">
      <c r="A61" s="104"/>
      <c r="B61" s="104"/>
      <c r="C61" s="106"/>
      <c r="D61" s="107"/>
      <c r="E61" s="108">
        <f t="shared" ref="E61:K61" si="24">SUM(E60:E60)</f>
        <v>12285</v>
      </c>
      <c r="F61" s="108">
        <f t="shared" si="24"/>
        <v>0</v>
      </c>
      <c r="G61" s="108">
        <f t="shared" si="24"/>
        <v>0</v>
      </c>
      <c r="H61" s="108">
        <f t="shared" si="24"/>
        <v>0</v>
      </c>
      <c r="I61" s="108">
        <f t="shared" si="24"/>
        <v>12285</v>
      </c>
      <c r="J61" s="113">
        <f t="shared" si="24"/>
        <v>14742</v>
      </c>
      <c r="K61" s="113">
        <f t="shared" si="24"/>
        <v>14742</v>
      </c>
      <c r="L61" s="109"/>
      <c r="M61" s="109"/>
      <c r="N61" s="110"/>
      <c r="O61" s="108">
        <f>SUM(O60:O60)</f>
        <v>0</v>
      </c>
      <c r="P61" s="108" t="e">
        <f>SUM(P60:P60)</f>
        <v>#REF!</v>
      </c>
      <c r="Q61" s="111"/>
      <c r="R61" s="112">
        <f>SUM(R60:R60)</f>
        <v>0</v>
      </c>
      <c r="S61" s="112">
        <f>SUM(S60:S60)</f>
        <v>0</v>
      </c>
      <c r="T61" s="112">
        <f>SUM(T60:T60)</f>
        <v>0</v>
      </c>
      <c r="U61" s="112">
        <f>SUM(U60:U60)</f>
        <v>0</v>
      </c>
      <c r="V61" s="112">
        <f>SUM(V60:V60)</f>
        <v>0</v>
      </c>
    </row>
    <row r="62" spans="1:22" ht="19.5" customHeight="1">
      <c r="A62" s="41" t="s">
        <v>177</v>
      </c>
      <c r="B62" s="41"/>
      <c r="C62" s="43"/>
      <c r="D62" s="44"/>
      <c r="E62" s="36">
        <f>60000.17/1.2</f>
        <v>50000.14166666667</v>
      </c>
      <c r="F62" s="36">
        <f>-E62*$F$10</f>
        <v>0</v>
      </c>
      <c r="G62" s="36">
        <f>E62*$G$10</f>
        <v>0</v>
      </c>
      <c r="H62" s="36"/>
      <c r="I62" s="36">
        <f>+E62+F62-G62-H62</f>
        <v>50000.14166666667</v>
      </c>
      <c r="J62" s="36">
        <f>+I62+(I62*$I$4)</f>
        <v>60000.170000000006</v>
      </c>
      <c r="K62" s="36">
        <v>60000.170000000006</v>
      </c>
      <c r="L62" s="37"/>
      <c r="M62" s="37"/>
      <c r="N62" s="92">
        <f>-IF(L62=0,,IF(M62=0,($C$10-L62),M62-L62))</f>
        <v>0</v>
      </c>
      <c r="O62" s="36">
        <f>+J62-K62</f>
        <v>0</v>
      </c>
      <c r="P62" s="36" t="e">
        <f>+IF($C$10&lt;L62,0,O62)</f>
        <v>#REF!</v>
      </c>
      <c r="Q62" s="39"/>
      <c r="R62" s="40">
        <f>IF(N62&gt;=0,0,(IF(-N62&lt;=60,O62,0)))</f>
        <v>0</v>
      </c>
      <c r="S62" s="40">
        <f>IF(N62&gt;=0,0,(IF(N62&gt;=-60,0,IF(-60&gt;=N62,IF(N62&gt;=-120,O62,0)))))</f>
        <v>0</v>
      </c>
      <c r="T62" s="40">
        <f>IF(N62&gt;=0,0,(IF(N62&gt;-60,0,IF(-60&gt;=N62,IF(N62&gt;=-120,0,IF(N62&gt;=-180,O62,0))))))</f>
        <v>0</v>
      </c>
      <c r="U62" s="40">
        <f>IF(N62&gt;=0,0,(IF(N62&gt;-60,0,IF(-60&gt;=N62,IF(N62&gt;-120,0,IF(N62&gt;=-180,0,IF(N62&gt;=-365,O62,0)))))))</f>
        <v>0</v>
      </c>
      <c r="V62" s="40">
        <f>IF(N62&gt;=0,0,IF(365&lt;-N62,O62,0))</f>
        <v>0</v>
      </c>
    </row>
    <row r="63" spans="1:22" s="99" customFormat="1" ht="19.5" customHeight="1">
      <c r="A63" s="104"/>
      <c r="B63" s="104"/>
      <c r="C63" s="106"/>
      <c r="D63" s="107"/>
      <c r="E63" s="108">
        <f t="shared" ref="E63:K63" si="25">SUM(E62:E62)</f>
        <v>50000.14166666667</v>
      </c>
      <c r="F63" s="108">
        <f t="shared" si="25"/>
        <v>0</v>
      </c>
      <c r="G63" s="108">
        <f t="shared" si="25"/>
        <v>0</v>
      </c>
      <c r="H63" s="108">
        <f t="shared" si="25"/>
        <v>0</v>
      </c>
      <c r="I63" s="108">
        <f t="shared" si="25"/>
        <v>50000.14166666667</v>
      </c>
      <c r="J63" s="113">
        <f t="shared" si="25"/>
        <v>60000.170000000006</v>
      </c>
      <c r="K63" s="113">
        <f t="shared" si="25"/>
        <v>60000.170000000006</v>
      </c>
      <c r="L63" s="109"/>
      <c r="M63" s="109"/>
      <c r="N63" s="110"/>
      <c r="O63" s="108">
        <f>SUM(O62:O62)</f>
        <v>0</v>
      </c>
      <c r="P63" s="108" t="e">
        <f>SUM(P62:P62)</f>
        <v>#REF!</v>
      </c>
      <c r="Q63" s="111"/>
      <c r="R63" s="112">
        <f>SUM(R62:R62)</f>
        <v>0</v>
      </c>
      <c r="S63" s="112">
        <f>SUM(S62:S62)</f>
        <v>0</v>
      </c>
      <c r="T63" s="112">
        <f>SUM(T62:T62)</f>
        <v>0</v>
      </c>
      <c r="U63" s="112">
        <f>SUM(U62:U62)</f>
        <v>0</v>
      </c>
      <c r="V63" s="112">
        <f>SUM(V62:V62)</f>
        <v>0</v>
      </c>
    </row>
    <row r="64" spans="1:22" ht="19.5" customHeight="1">
      <c r="A64" s="41" t="s">
        <v>68</v>
      </c>
      <c r="B64" s="41"/>
      <c r="C64" s="43"/>
      <c r="D64" s="44"/>
      <c r="E64" s="36">
        <f>252570.1/1.2</f>
        <v>210475.08333333334</v>
      </c>
      <c r="F64" s="36">
        <f>-E64*$F$10</f>
        <v>0</v>
      </c>
      <c r="G64" s="36">
        <f>E64*$G$10</f>
        <v>0</v>
      </c>
      <c r="H64" s="36"/>
      <c r="I64" s="36">
        <f>+E64+F64-G64-H64</f>
        <v>210475.08333333334</v>
      </c>
      <c r="J64" s="36">
        <f>+I64+(I64*$I$4)</f>
        <v>252570.1</v>
      </c>
      <c r="K64" s="36">
        <v>252570.1</v>
      </c>
      <c r="L64" s="37"/>
      <c r="M64" s="37"/>
      <c r="N64" s="92">
        <f>-IF(L64=0,,IF(M64=0,($C$10-L64),M64-L64))</f>
        <v>0</v>
      </c>
      <c r="O64" s="36">
        <f>+J64-K64</f>
        <v>0</v>
      </c>
      <c r="P64" s="36" t="e">
        <f>+IF($C$10&lt;L64,0,O64)</f>
        <v>#REF!</v>
      </c>
      <c r="Q64" s="39"/>
      <c r="R64" s="40">
        <f>IF(N64&gt;=0,0,(IF(-N64&lt;=60,O64,0)))</f>
        <v>0</v>
      </c>
      <c r="S64" s="40">
        <f>IF(N64&gt;=0,0,(IF(N64&gt;=-60,0,IF(-60&gt;=N64,IF(N64&gt;=-120,O64,0)))))</f>
        <v>0</v>
      </c>
      <c r="T64" s="40">
        <f>IF(N64&gt;=0,0,(IF(N64&gt;-60,0,IF(-60&gt;=N64,IF(N64&gt;=-120,0,IF(N64&gt;=-180,O64,0))))))</f>
        <v>0</v>
      </c>
      <c r="U64" s="40">
        <f>IF(N64&gt;=0,0,(IF(N64&gt;-60,0,IF(-60&gt;=N64,IF(N64&gt;-120,0,IF(N64&gt;=-180,0,IF(N64&gt;=-365,O64,0)))))))</f>
        <v>0</v>
      </c>
      <c r="V64" s="40">
        <f>IF(N64&gt;=0,0,IF(365&lt;-N64,O64,0))</f>
        <v>0</v>
      </c>
    </row>
    <row r="65" spans="1:22" s="99" customFormat="1" ht="19.5" customHeight="1">
      <c r="A65" s="104"/>
      <c r="B65" s="104"/>
      <c r="C65" s="106"/>
      <c r="D65" s="107"/>
      <c r="E65" s="108">
        <f t="shared" ref="E65:K65" si="26">SUM(E64:E64)</f>
        <v>210475.08333333334</v>
      </c>
      <c r="F65" s="108">
        <f t="shared" si="26"/>
        <v>0</v>
      </c>
      <c r="G65" s="108">
        <f t="shared" si="26"/>
        <v>0</v>
      </c>
      <c r="H65" s="108">
        <f t="shared" si="26"/>
        <v>0</v>
      </c>
      <c r="I65" s="108">
        <f t="shared" si="26"/>
        <v>210475.08333333334</v>
      </c>
      <c r="J65" s="113">
        <f t="shared" si="26"/>
        <v>252570.1</v>
      </c>
      <c r="K65" s="113">
        <f t="shared" si="26"/>
        <v>252570.1</v>
      </c>
      <c r="L65" s="109"/>
      <c r="M65" s="109"/>
      <c r="N65" s="110"/>
      <c r="O65" s="108">
        <f>SUM(O64:O64)</f>
        <v>0</v>
      </c>
      <c r="P65" s="108" t="e">
        <f>SUM(P64:P64)</f>
        <v>#REF!</v>
      </c>
      <c r="Q65" s="111"/>
      <c r="R65" s="112">
        <f>SUM(R64:R64)</f>
        <v>0</v>
      </c>
      <c r="S65" s="112">
        <f>SUM(S64:S64)</f>
        <v>0</v>
      </c>
      <c r="T65" s="112">
        <f>SUM(T64:T64)</f>
        <v>0</v>
      </c>
      <c r="U65" s="112">
        <f>SUM(U64:U64)</f>
        <v>0</v>
      </c>
      <c r="V65" s="112">
        <f>SUM(V64:V64)</f>
        <v>0</v>
      </c>
    </row>
    <row r="66" spans="1:22" ht="19.5" customHeight="1">
      <c r="A66" s="41" t="s">
        <v>133</v>
      </c>
      <c r="B66" s="41"/>
      <c r="C66" s="43"/>
      <c r="D66" s="44"/>
      <c r="E66" s="36">
        <f>614601.17/1.2</f>
        <v>512167.64166666672</v>
      </c>
      <c r="F66" s="36">
        <f>-E66*$F$10</f>
        <v>0</v>
      </c>
      <c r="G66" s="36">
        <f>E66*$G$10</f>
        <v>0</v>
      </c>
      <c r="H66" s="36"/>
      <c r="I66" s="36">
        <f>+E66+F66-G66-H66</f>
        <v>512167.64166666672</v>
      </c>
      <c r="J66" s="36">
        <f>+I66+(I66*$I$4)</f>
        <v>614601.17000000004</v>
      </c>
      <c r="K66" s="36">
        <v>614601.17000000004</v>
      </c>
      <c r="L66" s="37"/>
      <c r="M66" s="37"/>
      <c r="N66" s="92">
        <f>-IF(L66=0,,IF(M66=0,($C$10-L66),M66-L66))</f>
        <v>0</v>
      </c>
      <c r="O66" s="36">
        <f>+J66-K66</f>
        <v>0</v>
      </c>
      <c r="P66" s="36" t="e">
        <f>+IF($C$10&lt;L66,0,O66)</f>
        <v>#REF!</v>
      </c>
      <c r="Q66" s="39"/>
      <c r="R66" s="40">
        <f>IF(N66&gt;=0,0,(IF(-N66&lt;=60,O66,0)))</f>
        <v>0</v>
      </c>
      <c r="S66" s="40">
        <f>IF(N66&gt;=0,0,(IF(N66&gt;=-60,0,IF(-60&gt;=N66,IF(N66&gt;=-120,O66,0)))))</f>
        <v>0</v>
      </c>
      <c r="T66" s="40">
        <f>IF(N66&gt;=0,0,(IF(N66&gt;-60,0,IF(-60&gt;=N66,IF(N66&gt;=-120,0,IF(N66&gt;=-180,O66,0))))))</f>
        <v>0</v>
      </c>
      <c r="U66" s="40">
        <f>IF(N66&gt;=0,0,(IF(N66&gt;-60,0,IF(-60&gt;=N66,IF(N66&gt;-120,0,IF(N66&gt;=-180,0,IF(N66&gt;=-365,O66,0)))))))</f>
        <v>0</v>
      </c>
      <c r="V66" s="40">
        <f>IF(N66&gt;=0,0,IF(365&lt;-N66,O66,0))</f>
        <v>0</v>
      </c>
    </row>
    <row r="67" spans="1:22" s="99" customFormat="1" ht="13.5" customHeight="1">
      <c r="A67" s="104"/>
      <c r="B67" s="105"/>
      <c r="C67" s="106"/>
      <c r="D67" s="107"/>
      <c r="E67" s="108">
        <f t="shared" ref="E67:K67" si="27">SUM(E66:E66)</f>
        <v>512167.64166666672</v>
      </c>
      <c r="F67" s="108">
        <f t="shared" si="27"/>
        <v>0</v>
      </c>
      <c r="G67" s="108">
        <f t="shared" si="27"/>
        <v>0</v>
      </c>
      <c r="H67" s="108">
        <f t="shared" si="27"/>
        <v>0</v>
      </c>
      <c r="I67" s="108">
        <f t="shared" si="27"/>
        <v>512167.64166666672</v>
      </c>
      <c r="J67" s="113">
        <f t="shared" si="27"/>
        <v>614601.17000000004</v>
      </c>
      <c r="K67" s="113">
        <f t="shared" si="27"/>
        <v>614601.17000000004</v>
      </c>
      <c r="L67" s="109"/>
      <c r="M67" s="109"/>
      <c r="N67" s="110"/>
      <c r="O67" s="108">
        <f>SUM(O66:O66)</f>
        <v>0</v>
      </c>
      <c r="P67" s="108" t="e">
        <f>SUM(P66:P66)</f>
        <v>#REF!</v>
      </c>
      <c r="Q67" s="111"/>
      <c r="R67" s="112">
        <f>SUM(R66:R66)</f>
        <v>0</v>
      </c>
      <c r="S67" s="112">
        <f>SUM(S66:S66)</f>
        <v>0</v>
      </c>
      <c r="T67" s="112">
        <f>SUM(T66:T66)</f>
        <v>0</v>
      </c>
      <c r="U67" s="112">
        <f>SUM(U66:U66)</f>
        <v>0</v>
      </c>
      <c r="V67" s="112">
        <f>SUM(V66:V66)</f>
        <v>0</v>
      </c>
    </row>
    <row r="68" spans="1:22" ht="19.5" customHeight="1">
      <c r="A68" s="41" t="s">
        <v>196</v>
      </c>
      <c r="B68" s="41"/>
      <c r="C68" s="43"/>
      <c r="D68" s="44"/>
      <c r="E68" s="36">
        <f>86917.43/1.2</f>
        <v>72431.191666666666</v>
      </c>
      <c r="F68" s="36">
        <f>-E68*$F$10</f>
        <v>0</v>
      </c>
      <c r="G68" s="36">
        <f>E68*$G$10</f>
        <v>0</v>
      </c>
      <c r="H68" s="36"/>
      <c r="I68" s="36">
        <f>+E68+F68-G68-H68</f>
        <v>72431.191666666666</v>
      </c>
      <c r="J68" s="36">
        <f>+I68+(I68*$I$4)</f>
        <v>86917.43</v>
      </c>
      <c r="K68" s="36">
        <v>86917.43</v>
      </c>
      <c r="L68" s="37"/>
      <c r="M68" s="37"/>
      <c r="N68" s="92">
        <f>-IF(L68=0,,IF(M68=0,($C$10-L68),M68-L68))</f>
        <v>0</v>
      </c>
      <c r="O68" s="36">
        <f>+J68-K68</f>
        <v>0</v>
      </c>
      <c r="P68" s="36" t="e">
        <f>+IF($C$10&lt;L68,0,O68)</f>
        <v>#REF!</v>
      </c>
      <c r="Q68" s="39"/>
      <c r="R68" s="40">
        <f>IF(N68&gt;=0,0,(IF(-N68&lt;=60,O68,0)))</f>
        <v>0</v>
      </c>
      <c r="S68" s="40">
        <f>IF(N68&gt;=0,0,(IF(N68&gt;=-60,0,IF(-60&gt;=N68,IF(N68&gt;=-120,O68,0)))))</f>
        <v>0</v>
      </c>
      <c r="T68" s="40">
        <f>IF(N68&gt;=0,0,(IF(N68&gt;-60,0,IF(-60&gt;=N68,IF(N68&gt;=-120,0,IF(N68&gt;=-180,O68,0))))))</f>
        <v>0</v>
      </c>
      <c r="U68" s="40">
        <f>IF(N68&gt;=0,0,(IF(N68&gt;-60,0,IF(-60&gt;=N68,IF(N68&gt;-120,0,IF(N68&gt;=-180,0,IF(N68&gt;=-365,O68,0)))))))</f>
        <v>0</v>
      </c>
      <c r="V68" s="40">
        <f>IF(N68&gt;=0,0,IF(365&lt;-N68,O68,0))</f>
        <v>0</v>
      </c>
    </row>
    <row r="69" spans="1:22" s="99" customFormat="1" ht="12.75" customHeight="1">
      <c r="A69" s="104"/>
      <c r="B69" s="104"/>
      <c r="C69" s="106"/>
      <c r="D69" s="107"/>
      <c r="E69" s="108">
        <f t="shared" ref="E69:K69" si="28">SUM(E68:E68)</f>
        <v>72431.191666666666</v>
      </c>
      <c r="F69" s="108">
        <f t="shared" si="28"/>
        <v>0</v>
      </c>
      <c r="G69" s="108">
        <f t="shared" si="28"/>
        <v>0</v>
      </c>
      <c r="H69" s="108">
        <f t="shared" si="28"/>
        <v>0</v>
      </c>
      <c r="I69" s="108">
        <f t="shared" si="28"/>
        <v>72431.191666666666</v>
      </c>
      <c r="J69" s="113">
        <f t="shared" si="28"/>
        <v>86917.43</v>
      </c>
      <c r="K69" s="113">
        <f t="shared" si="28"/>
        <v>86917.43</v>
      </c>
      <c r="L69" s="109"/>
      <c r="M69" s="109"/>
      <c r="N69" s="110"/>
      <c r="O69" s="108">
        <f>SUM(O68:O68)</f>
        <v>0</v>
      </c>
      <c r="P69" s="108" t="e">
        <f>SUM(P68:P68)</f>
        <v>#REF!</v>
      </c>
      <c r="Q69" s="111"/>
      <c r="R69" s="112">
        <f>SUM(R68:R68)</f>
        <v>0</v>
      </c>
      <c r="S69" s="112">
        <f>SUM(S68:S68)</f>
        <v>0</v>
      </c>
      <c r="T69" s="112">
        <f>SUM(T68:T68)</f>
        <v>0</v>
      </c>
      <c r="U69" s="112">
        <f>SUM(U68:U68)</f>
        <v>0</v>
      </c>
      <c r="V69" s="112">
        <f>SUM(V68:V68)</f>
        <v>0</v>
      </c>
    </row>
    <row r="70" spans="1:22" ht="19.5" customHeight="1">
      <c r="A70" s="41" t="s">
        <v>70</v>
      </c>
      <c r="B70" s="41"/>
      <c r="C70" s="43"/>
      <c r="D70" s="44"/>
      <c r="E70" s="36">
        <f>765459.23/1.2</f>
        <v>637882.69166666665</v>
      </c>
      <c r="F70" s="36">
        <f>-E70*$F$10</f>
        <v>0</v>
      </c>
      <c r="G70" s="36">
        <f>E70*$G$10</f>
        <v>0</v>
      </c>
      <c r="H70" s="36"/>
      <c r="I70" s="36">
        <f>+E70+F70-G70-H70</f>
        <v>637882.69166666665</v>
      </c>
      <c r="J70" s="36">
        <f>+I70+(I70*$I$4)</f>
        <v>765459.23</v>
      </c>
      <c r="K70" s="36">
        <v>765459.23</v>
      </c>
      <c r="L70" s="37"/>
      <c r="M70" s="37"/>
      <c r="N70" s="92">
        <f>-IF(L70=0,,IF(M70=0,($C$10-L70),M70-L70))</f>
        <v>0</v>
      </c>
      <c r="O70" s="36">
        <f>+J70-K70</f>
        <v>0</v>
      </c>
      <c r="P70" s="36" t="e">
        <f>+IF($C$10&lt;L70,0,O70)</f>
        <v>#REF!</v>
      </c>
      <c r="Q70" s="39"/>
      <c r="R70" s="40">
        <f>IF(N70&gt;=0,0,(IF(-N70&lt;=60,O70,0)))</f>
        <v>0</v>
      </c>
      <c r="S70" s="40">
        <f>IF(N70&gt;=0,0,(IF(N70&gt;=-60,0,IF(-60&gt;=N70,IF(N70&gt;=-120,O70,0)))))</f>
        <v>0</v>
      </c>
      <c r="T70" s="40">
        <f>IF(N70&gt;=0,0,(IF(N70&gt;-60,0,IF(-60&gt;=N70,IF(N70&gt;=-120,0,IF(N70&gt;=-180,O70,0))))))</f>
        <v>0</v>
      </c>
      <c r="U70" s="40">
        <f>IF(N70&gt;=0,0,(IF(N70&gt;-60,0,IF(-60&gt;=N70,IF(N70&gt;-120,0,IF(N70&gt;=-180,0,IF(N70&gt;=-365,O70,0)))))))</f>
        <v>0</v>
      </c>
      <c r="V70" s="40">
        <f>IF(N70&gt;=0,0,IF(365&lt;-N70,O70,0))</f>
        <v>0</v>
      </c>
    </row>
    <row r="71" spans="1:22" s="99" customFormat="1" ht="13.5" customHeight="1">
      <c r="A71" s="104"/>
      <c r="B71" s="105"/>
      <c r="C71" s="106"/>
      <c r="D71" s="107"/>
      <c r="E71" s="108">
        <f t="shared" ref="E71:K71" si="29">SUM(E70:E70)</f>
        <v>637882.69166666665</v>
      </c>
      <c r="F71" s="108">
        <f t="shared" si="29"/>
        <v>0</v>
      </c>
      <c r="G71" s="108">
        <f t="shared" si="29"/>
        <v>0</v>
      </c>
      <c r="H71" s="108">
        <f t="shared" si="29"/>
        <v>0</v>
      </c>
      <c r="I71" s="108">
        <f t="shared" si="29"/>
        <v>637882.69166666665</v>
      </c>
      <c r="J71" s="113">
        <f t="shared" si="29"/>
        <v>765459.23</v>
      </c>
      <c r="K71" s="113">
        <f t="shared" si="29"/>
        <v>765459.23</v>
      </c>
      <c r="L71" s="109"/>
      <c r="M71" s="109"/>
      <c r="N71" s="110"/>
      <c r="O71" s="108">
        <f>SUM(O70:O70)</f>
        <v>0</v>
      </c>
      <c r="P71" s="108" t="e">
        <f>SUM(P70:P70)</f>
        <v>#REF!</v>
      </c>
      <c r="Q71" s="111"/>
      <c r="R71" s="112">
        <f>SUM(R70:R70)</f>
        <v>0</v>
      </c>
      <c r="S71" s="112">
        <f>SUM(S70:S70)</f>
        <v>0</v>
      </c>
      <c r="T71" s="112">
        <f>SUM(T70:T70)</f>
        <v>0</v>
      </c>
      <c r="U71" s="112">
        <f>SUM(U70:U70)</f>
        <v>0</v>
      </c>
      <c r="V71" s="112">
        <f>SUM(V70:V70)</f>
        <v>0</v>
      </c>
    </row>
    <row r="72" spans="1:22" ht="19.5" customHeight="1">
      <c r="A72" s="41" t="s">
        <v>92</v>
      </c>
      <c r="B72" s="41"/>
      <c r="C72" s="43">
        <v>38383</v>
      </c>
      <c r="D72" s="44"/>
      <c r="E72" s="36">
        <f>7223.07/1.2</f>
        <v>6019.2250000000004</v>
      </c>
      <c r="F72" s="36">
        <f>-E72*$F$10</f>
        <v>0</v>
      </c>
      <c r="G72" s="36">
        <f>E72*$G$10</f>
        <v>0</v>
      </c>
      <c r="H72" s="36"/>
      <c r="I72" s="36">
        <f>+E72+F72-G72-H72</f>
        <v>6019.2250000000004</v>
      </c>
      <c r="J72" s="36">
        <f>+I72+(I72*$I$4)</f>
        <v>7223.0700000000006</v>
      </c>
      <c r="K72" s="36"/>
      <c r="L72" s="37">
        <v>38482</v>
      </c>
      <c r="M72" s="37"/>
      <c r="N72" s="92" t="e">
        <f>-IF(L72=0,,IF(M72=0,($C$10-L72),M72-L72))</f>
        <v>#REF!</v>
      </c>
      <c r="O72" s="36">
        <f>+J72-K72</f>
        <v>7223.0700000000006</v>
      </c>
      <c r="P72" s="36" t="e">
        <f>+IF($C$10&lt;L72,0,O72)</f>
        <v>#REF!</v>
      </c>
      <c r="Q72" s="39"/>
      <c r="R72" s="40" t="e">
        <f>IF(N72&gt;=0,0,(IF(-N72&lt;=60,O72,0)))</f>
        <v>#REF!</v>
      </c>
      <c r="S72" s="40" t="e">
        <f>IF(N72&gt;=0,0,(IF(N72&gt;=-60,0,IF(-60&gt;=N72,IF(N72&gt;=-120,O72,0)))))</f>
        <v>#REF!</v>
      </c>
      <c r="T72" s="40" t="e">
        <f>IF(N72&gt;=0,0,(IF(N72&gt;-60,0,IF(-60&gt;=N72,IF(N72&gt;=-120,0,IF(N72&gt;=-180,O72,0))))))</f>
        <v>#REF!</v>
      </c>
      <c r="U72" s="40" t="e">
        <f>IF(N72&gt;=0,0,(IF(N72&gt;-60,0,IF(-60&gt;=N72,IF(N72&gt;-120,0,IF(N72&gt;=-180,0,IF(N72&gt;=-365,O72,0)))))))</f>
        <v>#REF!</v>
      </c>
      <c r="V72" s="40" t="e">
        <f>IF(N72&gt;=0,0,IF(365&lt;-N72,O72,0))</f>
        <v>#REF!</v>
      </c>
    </row>
    <row r="73" spans="1:22" s="99" customFormat="1" ht="19.5" customHeight="1">
      <c r="A73" s="104"/>
      <c r="B73" s="104"/>
      <c r="C73" s="106"/>
      <c r="D73" s="107"/>
      <c r="E73" s="108">
        <f t="shared" ref="E73:K73" si="30">SUM(E72:E72)</f>
        <v>6019.2250000000004</v>
      </c>
      <c r="F73" s="108">
        <f t="shared" si="30"/>
        <v>0</v>
      </c>
      <c r="G73" s="108">
        <f t="shared" si="30"/>
        <v>0</v>
      </c>
      <c r="H73" s="108">
        <f t="shared" si="30"/>
        <v>0</v>
      </c>
      <c r="I73" s="108">
        <f t="shared" si="30"/>
        <v>6019.2250000000004</v>
      </c>
      <c r="J73" s="113">
        <f t="shared" si="30"/>
        <v>7223.0700000000006</v>
      </c>
      <c r="K73" s="113">
        <f t="shared" si="30"/>
        <v>0</v>
      </c>
      <c r="L73" s="109"/>
      <c r="M73" s="109"/>
      <c r="N73" s="110"/>
      <c r="O73" s="108">
        <f>SUM(O72)</f>
        <v>7223.0700000000006</v>
      </c>
      <c r="P73" s="108" t="e">
        <f>SUM(P72)</f>
        <v>#REF!</v>
      </c>
      <c r="Q73" s="111"/>
      <c r="R73" s="112" t="e">
        <f>SUM(R72)</f>
        <v>#REF!</v>
      </c>
      <c r="S73" s="112" t="e">
        <f>SUM(S72)</f>
        <v>#REF!</v>
      </c>
      <c r="T73" s="112" t="e">
        <f>SUM(T72)</f>
        <v>#REF!</v>
      </c>
      <c r="U73" s="112" t="e">
        <f>SUM(U72)</f>
        <v>#REF!</v>
      </c>
      <c r="V73" s="112" t="e">
        <f>SUM(V72)</f>
        <v>#REF!</v>
      </c>
    </row>
    <row r="74" spans="1:22" ht="19.5" customHeight="1">
      <c r="A74" s="41" t="s">
        <v>203</v>
      </c>
      <c r="B74" s="41"/>
      <c r="C74" s="43"/>
      <c r="D74" s="44"/>
      <c r="E74" s="36">
        <f>68742/1.2</f>
        <v>57285</v>
      </c>
      <c r="F74" s="36">
        <f>-E74*$F$10</f>
        <v>0</v>
      </c>
      <c r="G74" s="36">
        <f>E74*$G$10</f>
        <v>0</v>
      </c>
      <c r="H74" s="36"/>
      <c r="I74" s="36">
        <f>+E74+F74-G74-H74</f>
        <v>57285</v>
      </c>
      <c r="J74" s="36">
        <f>+I74+(I74*$I$4)</f>
        <v>68742</v>
      </c>
      <c r="K74" s="36">
        <v>68742</v>
      </c>
      <c r="L74" s="37"/>
      <c r="M74" s="37"/>
      <c r="N74" s="92">
        <f>-IF(L74=0,,IF(M74=0,($C$10-L74),M74-L74))</f>
        <v>0</v>
      </c>
      <c r="O74" s="36">
        <f>+J74-K74</f>
        <v>0</v>
      </c>
      <c r="P74" s="36" t="e">
        <f>+IF($C$10&lt;L74,0,O74)</f>
        <v>#REF!</v>
      </c>
      <c r="Q74" s="39"/>
      <c r="R74" s="40">
        <f>IF(N74&gt;=0,0,(IF(-N74&lt;=60,O74,0)))</f>
        <v>0</v>
      </c>
      <c r="S74" s="40">
        <f>IF(N74&gt;=0,0,(IF(N74&gt;=-60,0,IF(-60&gt;=N74,IF(N74&gt;=-120,O74,0)))))</f>
        <v>0</v>
      </c>
      <c r="T74" s="40">
        <f>IF(N74&gt;=0,0,(IF(N74&gt;-60,0,IF(-60&gt;=N74,IF(N74&gt;=-120,0,IF(N74&gt;=-180,O74,0))))))</f>
        <v>0</v>
      </c>
      <c r="U74" s="40">
        <f>IF(N74&gt;=0,0,(IF(N74&gt;-60,0,IF(-60&gt;=N74,IF(N74&gt;-120,0,IF(N74&gt;=-180,0,IF(N74&gt;=-365,O74,0)))))))</f>
        <v>0</v>
      </c>
      <c r="V74" s="40">
        <f>IF(N74&gt;=0,0,IF(365&lt;-N74,O74,0))</f>
        <v>0</v>
      </c>
    </row>
    <row r="75" spans="1:22" s="99" customFormat="1" ht="19.5" customHeight="1">
      <c r="A75" s="104"/>
      <c r="B75" s="104"/>
      <c r="C75" s="106"/>
      <c r="D75" s="107"/>
      <c r="E75" s="108">
        <f t="shared" ref="E75:K75" si="31">SUM(E74:E74)</f>
        <v>57285</v>
      </c>
      <c r="F75" s="108">
        <f t="shared" si="31"/>
        <v>0</v>
      </c>
      <c r="G75" s="108">
        <f t="shared" si="31"/>
        <v>0</v>
      </c>
      <c r="H75" s="108">
        <f t="shared" si="31"/>
        <v>0</v>
      </c>
      <c r="I75" s="108">
        <f t="shared" si="31"/>
        <v>57285</v>
      </c>
      <c r="J75" s="113">
        <f t="shared" si="31"/>
        <v>68742</v>
      </c>
      <c r="K75" s="113">
        <f t="shared" si="31"/>
        <v>68742</v>
      </c>
      <c r="L75" s="109"/>
      <c r="M75" s="109"/>
      <c r="N75" s="110"/>
      <c r="O75" s="108">
        <f>SUM(O74)</f>
        <v>0</v>
      </c>
      <c r="P75" s="108" t="e">
        <f>SUM(P74)</f>
        <v>#REF!</v>
      </c>
      <c r="Q75" s="111"/>
      <c r="R75" s="112">
        <f>SUM(R74)</f>
        <v>0</v>
      </c>
      <c r="S75" s="112">
        <f>SUM(S74)</f>
        <v>0</v>
      </c>
      <c r="T75" s="112">
        <f>SUM(T74)</f>
        <v>0</v>
      </c>
      <c r="U75" s="112">
        <f>SUM(U74)</f>
        <v>0</v>
      </c>
      <c r="V75" s="112">
        <f>SUM(V74)</f>
        <v>0</v>
      </c>
    </row>
    <row r="76" spans="1:22" ht="19.5" customHeight="1">
      <c r="A76" s="41" t="s">
        <v>93</v>
      </c>
      <c r="B76" s="41"/>
      <c r="C76" s="43"/>
      <c r="D76" s="44"/>
      <c r="E76" s="36">
        <f>947571.6/1.2</f>
        <v>789643</v>
      </c>
      <c r="F76" s="36">
        <f>-E76*$F$10</f>
        <v>0</v>
      </c>
      <c r="G76" s="36">
        <f>E76*$G$10</f>
        <v>0</v>
      </c>
      <c r="H76" s="36"/>
      <c r="I76" s="36">
        <f>+E76+F76-G76-H76</f>
        <v>789643</v>
      </c>
      <c r="J76" s="36">
        <f>+I76+(I76*$I$4)</f>
        <v>947571.6</v>
      </c>
      <c r="K76" s="36">
        <v>947571.6</v>
      </c>
      <c r="L76" s="37"/>
      <c r="M76" s="37"/>
      <c r="N76" s="92">
        <f>-IF(L76=0,,IF(M76=0,($C$10-L76),M76-L76))</f>
        <v>0</v>
      </c>
      <c r="O76" s="36">
        <f>+J76-K76</f>
        <v>0</v>
      </c>
      <c r="P76" s="36" t="e">
        <f>+IF($C$10&lt;L76,0,O76)</f>
        <v>#REF!</v>
      </c>
      <c r="Q76" s="39"/>
      <c r="R76" s="40">
        <f>IF(N76&gt;=0,0,(IF(-N76&lt;=60,O76,0)))</f>
        <v>0</v>
      </c>
      <c r="S76" s="40">
        <f>IF(N76&gt;=0,0,(IF(N76&gt;=-60,0,IF(-60&gt;=N76,IF(N76&gt;=-120,O76,0)))))</f>
        <v>0</v>
      </c>
      <c r="T76" s="40">
        <f>IF(N76&gt;=0,0,(IF(N76&gt;-60,0,IF(-60&gt;=N76,IF(N76&gt;=-120,0,IF(N76&gt;=-180,O76,0))))))</f>
        <v>0</v>
      </c>
      <c r="U76" s="40">
        <f>IF(N76&gt;=0,0,(IF(N76&gt;-60,0,IF(-60&gt;=N76,IF(N76&gt;-120,0,IF(N76&gt;=-180,0,IF(N76&gt;=-365,O76,0)))))))</f>
        <v>0</v>
      </c>
      <c r="V76" s="40">
        <f>IF(N76&gt;=0,0,IF(365&lt;-N76,O76,0))</f>
        <v>0</v>
      </c>
    </row>
    <row r="77" spans="1:22" s="99" customFormat="1" ht="12.75" customHeight="1">
      <c r="A77" s="104"/>
      <c r="B77" s="104"/>
      <c r="C77" s="106"/>
      <c r="D77" s="107"/>
      <c r="E77" s="108">
        <f t="shared" ref="E77:K77" si="32">SUM(E76:E76)</f>
        <v>789643</v>
      </c>
      <c r="F77" s="108">
        <f t="shared" si="32"/>
        <v>0</v>
      </c>
      <c r="G77" s="108">
        <f t="shared" si="32"/>
        <v>0</v>
      </c>
      <c r="H77" s="108">
        <f t="shared" si="32"/>
        <v>0</v>
      </c>
      <c r="I77" s="108">
        <f t="shared" si="32"/>
        <v>789643</v>
      </c>
      <c r="J77" s="113">
        <f t="shared" si="32"/>
        <v>947571.6</v>
      </c>
      <c r="K77" s="113">
        <f t="shared" si="32"/>
        <v>947571.6</v>
      </c>
      <c r="L77" s="109"/>
      <c r="M77" s="109"/>
      <c r="N77" s="110"/>
      <c r="O77" s="108">
        <f>SUM(O76:O76)</f>
        <v>0</v>
      </c>
      <c r="P77" s="108" t="e">
        <f>SUM(P76:P76)</f>
        <v>#REF!</v>
      </c>
      <c r="Q77" s="111"/>
      <c r="R77" s="112">
        <f>SUM(R76:R76)</f>
        <v>0</v>
      </c>
      <c r="S77" s="112">
        <f>SUM(S76:S76)</f>
        <v>0</v>
      </c>
      <c r="T77" s="112">
        <f>SUM(T76:T76)</f>
        <v>0</v>
      </c>
      <c r="U77" s="112">
        <f>SUM(U76:U76)</f>
        <v>0</v>
      </c>
      <c r="V77" s="112">
        <f>SUM(V76:V76)</f>
        <v>0</v>
      </c>
    </row>
    <row r="78" spans="1:22" ht="19.5" customHeight="1">
      <c r="A78" s="41" t="s">
        <v>146</v>
      </c>
      <c r="B78" s="41"/>
      <c r="C78" s="43"/>
      <c r="D78" s="44"/>
      <c r="E78" s="36">
        <v>18652.099999999999</v>
      </c>
      <c r="F78" s="36">
        <f>-E78*$F$10</f>
        <v>0</v>
      </c>
      <c r="G78" s="36">
        <f>E78*$G$10</f>
        <v>0</v>
      </c>
      <c r="H78" s="36"/>
      <c r="I78" s="36">
        <f>+E78+F78-G78-H78</f>
        <v>18652.099999999999</v>
      </c>
      <c r="J78" s="36">
        <f>+I78+(I78*$I$4)</f>
        <v>22382.519999999997</v>
      </c>
      <c r="K78" s="36">
        <v>22382.519999999997</v>
      </c>
      <c r="L78" s="37"/>
      <c r="M78" s="37"/>
      <c r="N78" s="92">
        <f>-IF(L78=0,,IF(M78=0,($C$10-L78),M78-L78))</f>
        <v>0</v>
      </c>
      <c r="O78" s="36">
        <f>+J78-K78</f>
        <v>0</v>
      </c>
      <c r="P78" s="36" t="e">
        <f>+IF($C$10&lt;L78,0,O78)</f>
        <v>#REF!</v>
      </c>
      <c r="Q78" s="39"/>
      <c r="R78" s="40">
        <f>IF(N78&gt;=0,0,(IF(-N78&lt;=60,O78,0)))</f>
        <v>0</v>
      </c>
      <c r="S78" s="40">
        <f>IF(N78&gt;=0,0,(IF(N78&gt;=-60,0,IF(-60&gt;=N78,IF(N78&gt;=-120,O78,0)))))</f>
        <v>0</v>
      </c>
      <c r="T78" s="40">
        <f>IF(N78&gt;=0,0,(IF(N78&gt;-60,0,IF(-60&gt;=N78,IF(N78&gt;=-120,0,IF(N78&gt;=-180,O78,0))))))</f>
        <v>0</v>
      </c>
      <c r="U78" s="40">
        <f>IF(N78&gt;=0,0,(IF(N78&gt;-60,0,IF(-60&gt;=N78,IF(N78&gt;-120,0,IF(N78&gt;=-180,0,IF(N78&gt;=-365,O78,0)))))))</f>
        <v>0</v>
      </c>
      <c r="V78" s="40">
        <f>IF(N78&gt;=0,0,IF(365&lt;-N78,O78,0))</f>
        <v>0</v>
      </c>
    </row>
    <row r="79" spans="1:22" s="99" customFormat="1" ht="12.75" customHeight="1">
      <c r="A79" s="104"/>
      <c r="B79" s="104"/>
      <c r="C79" s="106"/>
      <c r="D79" s="107"/>
      <c r="E79" s="108">
        <f t="shared" ref="E79:K79" si="33">SUM(E78:E78)</f>
        <v>18652.099999999999</v>
      </c>
      <c r="F79" s="108">
        <f t="shared" si="33"/>
        <v>0</v>
      </c>
      <c r="G79" s="108">
        <f t="shared" si="33"/>
        <v>0</v>
      </c>
      <c r="H79" s="108">
        <f t="shared" si="33"/>
        <v>0</v>
      </c>
      <c r="I79" s="108">
        <f t="shared" si="33"/>
        <v>18652.099999999999</v>
      </c>
      <c r="J79" s="113">
        <f t="shared" si="33"/>
        <v>22382.519999999997</v>
      </c>
      <c r="K79" s="113">
        <f t="shared" si="33"/>
        <v>22382.519999999997</v>
      </c>
      <c r="L79" s="109"/>
      <c r="M79" s="109"/>
      <c r="N79" s="110"/>
      <c r="O79" s="108">
        <f>SUM(O78:O78)</f>
        <v>0</v>
      </c>
      <c r="P79" s="108" t="e">
        <f>SUM(P78:P78)</f>
        <v>#REF!</v>
      </c>
      <c r="Q79" s="111"/>
      <c r="R79" s="112">
        <f>SUM(R78:R78)</f>
        <v>0</v>
      </c>
      <c r="S79" s="112">
        <f>SUM(S78:S78)</f>
        <v>0</v>
      </c>
      <c r="T79" s="112">
        <f>SUM(T78:T78)</f>
        <v>0</v>
      </c>
      <c r="U79" s="112">
        <f>SUM(U78:U78)</f>
        <v>0</v>
      </c>
      <c r="V79" s="112">
        <f>SUM(V78:V78)</f>
        <v>0</v>
      </c>
    </row>
    <row r="80" spans="1:22" ht="19.5" customHeight="1">
      <c r="A80" s="41" t="s">
        <v>165</v>
      </c>
      <c r="B80" s="41"/>
      <c r="C80" s="43"/>
      <c r="D80" s="44"/>
      <c r="E80" s="36"/>
      <c r="F80" s="36">
        <f>-E80*$F$10</f>
        <v>0</v>
      </c>
      <c r="G80" s="36">
        <f>E80*$G$10</f>
        <v>0</v>
      </c>
      <c r="H80" s="36"/>
      <c r="I80" s="36">
        <f>+E80+F80-G80-H80</f>
        <v>0</v>
      </c>
      <c r="J80" s="36">
        <f>+I80+(I80*$I$4)</f>
        <v>0</v>
      </c>
      <c r="K80" s="36"/>
      <c r="L80" s="37"/>
      <c r="M80" s="37"/>
      <c r="N80" s="92">
        <f>-IF(L80=0,,IF(M80=0,($C$10-L80),M80-L80))</f>
        <v>0</v>
      </c>
      <c r="O80" s="36">
        <f>+J80-K80</f>
        <v>0</v>
      </c>
      <c r="P80" s="36" t="e">
        <f>+IF($C$10&lt;L80,0,O80)</f>
        <v>#REF!</v>
      </c>
      <c r="Q80" s="39"/>
      <c r="R80" s="40">
        <f>IF(N80&gt;=0,0,(IF(-N80&lt;=60,O80,0)))</f>
        <v>0</v>
      </c>
      <c r="S80" s="40">
        <f>IF(N80&gt;=0,0,(IF(N80&gt;=-60,0,IF(-60&gt;=N80,IF(N80&gt;=-120,O80,0)))))</f>
        <v>0</v>
      </c>
      <c r="T80" s="40">
        <f>IF(N80&gt;=0,0,(IF(N80&gt;-60,0,IF(-60&gt;=N80,IF(N80&gt;=-120,0,IF(N80&gt;=-180,O80,0))))))</f>
        <v>0</v>
      </c>
      <c r="U80" s="40">
        <f>IF(N80&gt;=0,0,(IF(N80&gt;-60,0,IF(-60&gt;=N80,IF(N80&gt;-120,0,IF(N80&gt;=-180,0,IF(N80&gt;=-365,O80,0)))))))</f>
        <v>0</v>
      </c>
      <c r="V80" s="40">
        <f>IF(N80&gt;=0,0,IF(365&lt;-N80,O80,0))</f>
        <v>0</v>
      </c>
    </row>
    <row r="81" spans="1:22" s="99" customFormat="1" ht="12.75" customHeight="1">
      <c r="A81" s="104"/>
      <c r="B81" s="104"/>
      <c r="C81" s="106"/>
      <c r="D81" s="107"/>
      <c r="E81" s="108">
        <f t="shared" ref="E81:K81" si="34">SUM(E80:E80)</f>
        <v>0</v>
      </c>
      <c r="F81" s="108">
        <f t="shared" si="34"/>
        <v>0</v>
      </c>
      <c r="G81" s="108">
        <f t="shared" si="34"/>
        <v>0</v>
      </c>
      <c r="H81" s="108">
        <f t="shared" si="34"/>
        <v>0</v>
      </c>
      <c r="I81" s="108">
        <f t="shared" si="34"/>
        <v>0</v>
      </c>
      <c r="J81" s="113">
        <f t="shared" si="34"/>
        <v>0</v>
      </c>
      <c r="K81" s="113">
        <f t="shared" si="34"/>
        <v>0</v>
      </c>
      <c r="L81" s="109"/>
      <c r="M81" s="109"/>
      <c r="N81" s="110"/>
      <c r="O81" s="108">
        <f>SUM(O80:O80)</f>
        <v>0</v>
      </c>
      <c r="P81" s="108" t="e">
        <f>SUM(P80:P80)</f>
        <v>#REF!</v>
      </c>
      <c r="Q81" s="111"/>
      <c r="R81" s="112">
        <f>SUM(R80:R80)</f>
        <v>0</v>
      </c>
      <c r="S81" s="112">
        <f>SUM(S80:S80)</f>
        <v>0</v>
      </c>
      <c r="T81" s="112">
        <f>SUM(T80:T80)</f>
        <v>0</v>
      </c>
      <c r="U81" s="112">
        <f>SUM(U80:U80)</f>
        <v>0</v>
      </c>
      <c r="V81" s="112">
        <f>SUM(V80:V80)</f>
        <v>0</v>
      </c>
    </row>
    <row r="82" spans="1:22" ht="19.5" customHeight="1" thickBot="1">
      <c r="A82" s="41"/>
      <c r="B82" s="42"/>
      <c r="C82" s="43"/>
      <c r="D82" s="44"/>
      <c r="E82" s="36"/>
      <c r="F82" s="36"/>
      <c r="G82" s="36"/>
      <c r="H82" s="36"/>
      <c r="I82" s="36"/>
      <c r="J82" s="36"/>
      <c r="K82" s="36"/>
      <c r="L82" s="37"/>
      <c r="M82" s="37"/>
      <c r="N82" s="38"/>
      <c r="O82" s="36"/>
      <c r="P82" s="42" t="e">
        <f>+IF($C$10&lt;L82,0,O82)</f>
        <v>#REF!</v>
      </c>
      <c r="Q82" s="39"/>
      <c r="R82" s="97"/>
      <c r="S82" s="97"/>
      <c r="T82" s="97"/>
      <c r="U82" s="97"/>
      <c r="V82" s="97"/>
    </row>
    <row r="83" spans="1:22" s="111" customFormat="1" ht="28.5" customHeight="1" thickBot="1">
      <c r="A83" s="120"/>
      <c r="B83" s="121" t="s">
        <v>43</v>
      </c>
      <c r="C83" s="121"/>
      <c r="D83" s="121"/>
      <c r="E83" s="122">
        <f t="shared" ref="E83:K83" si="35">SUM(E12:E82)/2</f>
        <v>18728401.775000013</v>
      </c>
      <c r="F83" s="122">
        <f t="shared" si="35"/>
        <v>0</v>
      </c>
      <c r="G83" s="122">
        <f t="shared" si="35"/>
        <v>0</v>
      </c>
      <c r="H83" s="122">
        <f t="shared" si="35"/>
        <v>0</v>
      </c>
      <c r="I83" s="122">
        <f t="shared" si="35"/>
        <v>18728401.775000013</v>
      </c>
      <c r="J83" s="122">
        <f t="shared" si="35"/>
        <v>22474082.130000006</v>
      </c>
      <c r="K83" s="122">
        <f t="shared" si="35"/>
        <v>22466859.060000006</v>
      </c>
      <c r="L83" s="123"/>
      <c r="M83" s="123"/>
      <c r="N83" s="123"/>
      <c r="O83" s="122">
        <f>SUM(O12:O82)/2</f>
        <v>7223.0700000000006</v>
      </c>
      <c r="P83" s="122" t="e">
        <f>SUM(P12:P82)/2</f>
        <v>#REF!</v>
      </c>
      <c r="R83" s="124" t="e">
        <f>SUM(R12:R82)/2</f>
        <v>#REF!</v>
      </c>
      <c r="S83" s="124" t="e">
        <f>SUM(S12:S82)/2</f>
        <v>#REF!</v>
      </c>
      <c r="T83" s="124" t="e">
        <f>SUM(T12:T82)/2</f>
        <v>#REF!</v>
      </c>
      <c r="U83" s="124" t="e">
        <f>SUM(U12:U82)/2</f>
        <v>#REF!</v>
      </c>
      <c r="V83" s="124" t="e">
        <f>SUM(V12:V82)/2</f>
        <v>#REF!</v>
      </c>
    </row>
    <row r="84" spans="1:22" ht="21" customHeight="1">
      <c r="A84" s="45"/>
      <c r="B84" s="46"/>
      <c r="C84" s="46"/>
      <c r="D84" s="47" t="s">
        <v>44</v>
      </c>
      <c r="E84" s="48">
        <f>+E83/$M$7</f>
        <v>1.0353783769614238</v>
      </c>
      <c r="F84" s="46"/>
      <c r="G84" s="46"/>
      <c r="H84" s="46"/>
      <c r="I84" s="46"/>
      <c r="J84" s="47" t="s">
        <v>45</v>
      </c>
      <c r="K84" s="48">
        <f>+K83/J83</f>
        <v>0.99967860444941781</v>
      </c>
      <c r="L84" s="46"/>
      <c r="M84" s="46"/>
      <c r="N84" s="46"/>
      <c r="O84" s="46"/>
      <c r="P84" s="49"/>
      <c r="Q84" s="39"/>
      <c r="R84" s="39"/>
      <c r="S84" s="39"/>
      <c r="T84" s="39"/>
      <c r="U84" s="39"/>
      <c r="V84" s="39"/>
    </row>
    <row r="85" spans="1:22" ht="21" customHeight="1" thickBot="1">
      <c r="A85" s="50"/>
      <c r="B85" s="51"/>
      <c r="C85" s="51"/>
      <c r="D85" s="52" t="s">
        <v>46</v>
      </c>
      <c r="E85" s="53">
        <f>+$M$7-$E$83</f>
        <v>-639940.40500001237</v>
      </c>
      <c r="F85" s="54">
        <f>+E85/M7</f>
        <v>-3.5378376961423798E-2</v>
      </c>
      <c r="G85" s="51"/>
      <c r="H85" s="51"/>
      <c r="I85" s="51"/>
      <c r="J85" s="117"/>
      <c r="K85" s="51"/>
      <c r="L85" s="51"/>
      <c r="M85" s="51"/>
      <c r="N85" s="51"/>
      <c r="O85" s="51"/>
      <c r="P85" s="55"/>
      <c r="Q85" s="39"/>
      <c r="R85" s="39"/>
      <c r="S85" s="39"/>
      <c r="T85" s="39"/>
      <c r="U85" s="39"/>
      <c r="V85" s="39"/>
    </row>
    <row r="86" spans="1:22">
      <c r="A86" s="39"/>
      <c r="B86" s="45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9"/>
      <c r="O86" s="39"/>
      <c r="P86" s="39"/>
      <c r="Q86" s="39"/>
      <c r="R86" s="39"/>
      <c r="S86" s="39"/>
      <c r="T86" s="39"/>
      <c r="U86" s="39"/>
      <c r="V86" s="39"/>
    </row>
    <row r="87" spans="1:22" ht="21">
      <c r="A87" s="39"/>
      <c r="B87" s="56"/>
      <c r="C87" s="91" t="s">
        <v>47</v>
      </c>
      <c r="D87" s="91"/>
      <c r="E87" s="91"/>
      <c r="F87" s="91"/>
      <c r="G87" s="91"/>
      <c r="H87" s="91" t="s">
        <v>204</v>
      </c>
      <c r="I87" s="57"/>
      <c r="J87" s="57"/>
      <c r="K87" s="57"/>
      <c r="L87" s="57"/>
      <c r="M87" s="57"/>
      <c r="N87" s="58"/>
      <c r="O87" s="39"/>
      <c r="P87" s="39"/>
      <c r="Q87" s="39"/>
      <c r="R87" s="39"/>
      <c r="S87" s="39"/>
      <c r="T87" s="39"/>
      <c r="U87" s="39"/>
      <c r="V87" s="39"/>
    </row>
    <row r="88" spans="1:22" ht="17.25" thickBot="1">
      <c r="A88" s="39"/>
      <c r="B88" s="56"/>
      <c r="C88" s="57"/>
      <c r="D88" s="57"/>
      <c r="E88" s="57"/>
      <c r="F88" s="57"/>
      <c r="G88" s="59"/>
      <c r="H88" s="57"/>
      <c r="I88" s="57"/>
      <c r="J88" s="57"/>
      <c r="K88" s="57"/>
      <c r="L88" s="57"/>
      <c r="M88" s="57"/>
      <c r="N88" s="58"/>
      <c r="O88" s="39"/>
      <c r="P88" s="39"/>
      <c r="Q88" s="39"/>
      <c r="R88" s="39"/>
      <c r="S88" s="39"/>
      <c r="T88" s="39"/>
      <c r="U88" s="39"/>
      <c r="V88" s="39"/>
    </row>
    <row r="89" spans="1:22" ht="18" customHeight="1" thickBot="1">
      <c r="A89" s="39"/>
      <c r="B89" s="56"/>
      <c r="C89" s="158" t="s">
        <v>48</v>
      </c>
      <c r="D89" s="159"/>
      <c r="E89" s="160"/>
      <c r="F89" s="79" t="s">
        <v>57</v>
      </c>
      <c r="G89" s="61">
        <f>+M7</f>
        <v>18088461.370000001</v>
      </c>
      <c r="H89" s="60"/>
      <c r="I89" s="62"/>
      <c r="J89" s="60"/>
      <c r="K89" s="60"/>
      <c r="L89" s="60"/>
      <c r="M89" s="60"/>
      <c r="N89" s="63"/>
      <c r="O89" s="39"/>
      <c r="P89" s="39"/>
      <c r="Q89" s="39"/>
      <c r="R89" s="39"/>
      <c r="S89" s="39"/>
      <c r="T89" s="39"/>
      <c r="U89" s="39"/>
      <c r="V89" s="39"/>
    </row>
    <row r="90" spans="1:22" ht="17.25" thickBot="1">
      <c r="A90" s="39"/>
      <c r="B90" s="56"/>
      <c r="C90" s="79"/>
      <c r="D90" s="79"/>
      <c r="E90" s="79"/>
      <c r="F90" s="79"/>
      <c r="G90" s="60"/>
      <c r="H90" s="60"/>
      <c r="I90" s="60"/>
      <c r="J90" s="60"/>
      <c r="K90" s="60"/>
      <c r="L90" s="60"/>
      <c r="M90" s="60"/>
      <c r="N90" s="63"/>
      <c r="O90" s="39"/>
      <c r="P90" s="39"/>
      <c r="Q90" s="39"/>
      <c r="R90" s="39"/>
      <c r="S90" s="39"/>
      <c r="T90" s="39"/>
      <c r="U90" s="39"/>
      <c r="V90" s="39"/>
    </row>
    <row r="91" spans="1:22" ht="18" customHeight="1" thickBot="1">
      <c r="A91" s="39"/>
      <c r="B91" s="56"/>
      <c r="C91" s="149" t="s">
        <v>49</v>
      </c>
      <c r="D91" s="150"/>
      <c r="E91" s="151"/>
      <c r="F91" s="79" t="s">
        <v>57</v>
      </c>
      <c r="G91" s="64">
        <f>+E83</f>
        <v>18728401.775000013</v>
      </c>
      <c r="H91" s="60"/>
      <c r="I91" s="60"/>
      <c r="J91" s="65">
        <f>G91/G89</f>
        <v>1.0353783769614238</v>
      </c>
      <c r="K91" s="100" t="s">
        <v>50</v>
      </c>
      <c r="L91" s="66"/>
      <c r="M91" s="66"/>
      <c r="N91" s="63"/>
      <c r="O91" s="39"/>
      <c r="P91" s="39"/>
      <c r="Q91" s="39"/>
      <c r="R91" s="39"/>
      <c r="S91" s="39"/>
      <c r="T91" s="39"/>
      <c r="U91" s="39"/>
      <c r="V91" s="39"/>
    </row>
    <row r="92" spans="1:22" ht="17.25" thickBot="1">
      <c r="B92" s="67"/>
      <c r="C92" s="79"/>
      <c r="D92" s="79"/>
      <c r="E92" s="79"/>
      <c r="F92" s="79"/>
      <c r="G92" s="60"/>
      <c r="H92" s="60"/>
      <c r="I92" s="60"/>
      <c r="J92" s="60"/>
      <c r="K92" s="101"/>
      <c r="L92" s="60"/>
      <c r="M92" s="60"/>
      <c r="N92" s="63"/>
    </row>
    <row r="93" spans="1:22" ht="18" customHeight="1" thickBot="1">
      <c r="B93" s="67"/>
      <c r="C93" s="152" t="s">
        <v>58</v>
      </c>
      <c r="D93" s="153"/>
      <c r="E93" s="154"/>
      <c r="F93" s="79" t="s">
        <v>56</v>
      </c>
      <c r="G93" s="68">
        <f>+K83</f>
        <v>22466859.060000006</v>
      </c>
      <c r="H93" s="60"/>
      <c r="I93" s="60"/>
      <c r="J93" s="69">
        <f>+G93/J83</f>
        <v>0.99967860444941781</v>
      </c>
      <c r="K93" s="102" t="s">
        <v>51</v>
      </c>
      <c r="L93" s="70"/>
      <c r="M93" s="70"/>
      <c r="N93" s="63"/>
    </row>
    <row r="94" spans="1:22" ht="17.25" thickBot="1">
      <c r="B94" s="67"/>
      <c r="C94" s="79"/>
      <c r="D94" s="79"/>
      <c r="E94" s="79"/>
      <c r="F94" s="79"/>
      <c r="G94" s="60"/>
      <c r="H94" s="60"/>
      <c r="I94" s="60"/>
      <c r="J94" s="60"/>
      <c r="K94" s="101"/>
      <c r="L94" s="60"/>
      <c r="M94" s="60"/>
      <c r="N94" s="63"/>
    </row>
    <row r="95" spans="1:22" ht="18" customHeight="1" thickBot="1">
      <c r="B95" s="67"/>
      <c r="C95" s="152" t="s">
        <v>52</v>
      </c>
      <c r="D95" s="153"/>
      <c r="E95" s="154"/>
      <c r="F95" s="79" t="s">
        <v>56</v>
      </c>
      <c r="G95" s="71">
        <f>+O83</f>
        <v>7223.0700000000006</v>
      </c>
      <c r="H95" s="60"/>
      <c r="I95" s="60"/>
      <c r="J95" s="72">
        <f>+G95/J83</f>
        <v>3.2139555058215846E-4</v>
      </c>
      <c r="K95" s="102" t="s">
        <v>51</v>
      </c>
      <c r="L95" s="73"/>
      <c r="M95" s="73"/>
      <c r="N95" s="63"/>
    </row>
    <row r="96" spans="1:22" ht="17.25" thickBot="1">
      <c r="B96" s="67"/>
      <c r="C96" s="79"/>
      <c r="D96" s="79"/>
      <c r="E96" s="79"/>
      <c r="F96" s="79"/>
      <c r="G96" s="60"/>
      <c r="H96" s="60"/>
      <c r="I96" s="60"/>
      <c r="J96" s="60"/>
      <c r="K96" s="101"/>
      <c r="L96" s="60"/>
      <c r="M96" s="60"/>
      <c r="N96" s="63"/>
    </row>
    <row r="97" spans="2:14" ht="18" customHeight="1" thickBot="1">
      <c r="B97" s="67"/>
      <c r="C97" s="152" t="s">
        <v>54</v>
      </c>
      <c r="D97" s="153"/>
      <c r="E97" s="154"/>
      <c r="F97" s="79" t="s">
        <v>56</v>
      </c>
      <c r="G97" s="74" t="e">
        <f>+P83</f>
        <v>#REF!</v>
      </c>
      <c r="H97" s="60"/>
      <c r="I97" s="60"/>
      <c r="J97" s="75" t="e">
        <f>+G97/J83</f>
        <v>#REF!</v>
      </c>
      <c r="K97" s="102" t="s">
        <v>51</v>
      </c>
      <c r="L97" s="70"/>
      <c r="M97" s="70"/>
      <c r="N97" s="63"/>
    </row>
    <row r="98" spans="2:14" ht="5.25" customHeight="1" thickBot="1">
      <c r="B98" s="76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8"/>
    </row>
  </sheetData>
  <mergeCells count="18">
    <mergeCell ref="C91:E91"/>
    <mergeCell ref="C93:E93"/>
    <mergeCell ref="C95:E95"/>
    <mergeCell ref="C97:E97"/>
    <mergeCell ref="M5:N5"/>
    <mergeCell ref="M6:N6"/>
    <mergeCell ref="M7:N7"/>
    <mergeCell ref="M8:N8"/>
    <mergeCell ref="O10:P10"/>
    <mergeCell ref="C89:E89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47" fitToHeight="4" orientation="landscape" r:id="rId1"/>
  <rowBreaks count="1" manualBreakCount="1">
    <brk id="85" max="15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workbookViewId="0">
      <selection activeCell="F1" sqref="F1:F2"/>
    </sheetView>
  </sheetViews>
  <sheetFormatPr baseColWidth="10" defaultColWidth="11.42578125" defaultRowHeight="16.5"/>
  <cols>
    <col min="1" max="1" width="22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11.28515625" style="7" bestFit="1" customWidth="1"/>
    <col min="23" max="16384" width="11.42578125" style="7"/>
  </cols>
  <sheetData>
    <row r="1" spans="1:22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26329736.289999999</v>
      </c>
      <c r="N1" s="144"/>
      <c r="O1" s="5" t="s">
        <v>3</v>
      </c>
      <c r="P1" s="6"/>
    </row>
    <row r="2" spans="1:22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2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>
        <v>5892.94</v>
      </c>
      <c r="N3" s="137"/>
      <c r="O3" s="11"/>
      <c r="P3" s="12"/>
    </row>
    <row r="4" spans="1:22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2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2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2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26335629.23</v>
      </c>
      <c r="N7" s="145"/>
      <c r="O7" s="11"/>
      <c r="P7" s="12"/>
    </row>
    <row r="8" spans="1:22">
      <c r="A8" s="23" t="s">
        <v>18</v>
      </c>
      <c r="B8" s="24"/>
      <c r="C8" s="24"/>
      <c r="D8" s="25" t="s">
        <v>190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31602755.075999998</v>
      </c>
      <c r="N8" s="146"/>
      <c r="O8" s="30"/>
      <c r="P8" s="31"/>
    </row>
    <row r="10" spans="1:22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O10" s="147" t="s">
        <v>22</v>
      </c>
      <c r="P10" s="148"/>
    </row>
    <row r="11" spans="1:22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2" ht="19.5" customHeight="1">
      <c r="A12" s="41" t="s">
        <v>94</v>
      </c>
      <c r="B12" s="42"/>
      <c r="C12" s="126"/>
      <c r="D12" s="44"/>
      <c r="E12" s="36">
        <f>1883098.7/1.2</f>
        <v>1569248.9166666667</v>
      </c>
      <c r="F12" s="36">
        <v>0</v>
      </c>
      <c r="G12" s="36">
        <v>0</v>
      </c>
      <c r="H12" s="36"/>
      <c r="I12" s="36">
        <f>+E12+F12-G12-H12</f>
        <v>1569248.9166666667</v>
      </c>
      <c r="J12" s="36">
        <f>+I12+(I12*$I$4)</f>
        <v>1883098.7000000002</v>
      </c>
      <c r="K12" s="36">
        <v>1883098.7000000002</v>
      </c>
      <c r="L12" s="37"/>
      <c r="M12" s="37"/>
      <c r="N12" s="92">
        <f>-IF(L12=0,,IF(M12=0,($C$10-L12),M12-L12))</f>
        <v>0</v>
      </c>
      <c r="O12" s="36">
        <f>+J12-K12</f>
        <v>0</v>
      </c>
      <c r="P12" s="36" t="e">
        <f>+IF($C$10&lt;L12,0,O12)</f>
        <v>#REF!</v>
      </c>
      <c r="Q12" s="39"/>
      <c r="R12" s="40">
        <f>IF(N12&gt;=0,0,(IF(-N12&lt;=60,O12,0)))</f>
        <v>0</v>
      </c>
      <c r="S12" s="40">
        <f>IF(N12&gt;=0,0,(IF(N12&gt;=-60,0,IF(-60&gt;=N12,IF(N12&gt;=-120,O12,0)))))</f>
        <v>0</v>
      </c>
      <c r="T12" s="40">
        <f>IF(N12&gt;=0,0,(IF(N12&gt;-60,0,IF(-60&gt;=N12,IF(N12&gt;=-120,0,IF(N12&gt;=-180,O12,0))))))</f>
        <v>0</v>
      </c>
      <c r="U12" s="40">
        <f>IF(N12&gt;=0,0,(IF(N12&gt;-60,0,IF(-60&gt;=N12,IF(N12&gt;-120,0,IF(N12&gt;=-180,0,IF(N12&gt;=-365,O12,0)))))))</f>
        <v>0</v>
      </c>
      <c r="V12" s="40">
        <f>IF(N12&gt;=0,0,IF(365&lt;-N12,O12,0))</f>
        <v>0</v>
      </c>
    </row>
    <row r="13" spans="1:22" s="99" customFormat="1" ht="19.5" customHeight="1">
      <c r="A13" s="104"/>
      <c r="B13" s="105"/>
      <c r="C13" s="106"/>
      <c r="D13" s="107"/>
      <c r="E13" s="108">
        <f t="shared" ref="E13:K13" si="0">SUM(E12:E12)</f>
        <v>1569248.9166666667</v>
      </c>
      <c r="F13" s="108">
        <f t="shared" si="0"/>
        <v>0</v>
      </c>
      <c r="G13" s="108">
        <f t="shared" si="0"/>
        <v>0</v>
      </c>
      <c r="H13" s="108">
        <f t="shared" si="0"/>
        <v>0</v>
      </c>
      <c r="I13" s="108">
        <f t="shared" si="0"/>
        <v>1569248.9166666667</v>
      </c>
      <c r="J13" s="113">
        <f t="shared" si="0"/>
        <v>1883098.7000000002</v>
      </c>
      <c r="K13" s="113">
        <f t="shared" si="0"/>
        <v>1883098.7000000002</v>
      </c>
      <c r="L13" s="109"/>
      <c r="M13" s="109"/>
      <c r="N13" s="110"/>
      <c r="O13" s="108">
        <f>SUM(O12:O12)</f>
        <v>0</v>
      </c>
      <c r="P13" s="108" t="e">
        <f>SUM(P12:P12)</f>
        <v>#REF!</v>
      </c>
      <c r="Q13" s="114"/>
      <c r="R13" s="115">
        <f>SUM(R12:R12)</f>
        <v>0</v>
      </c>
      <c r="S13" s="115">
        <f>SUM(S12:S12)</f>
        <v>0</v>
      </c>
      <c r="T13" s="115">
        <f>SUM(T12:T12)</f>
        <v>0</v>
      </c>
      <c r="U13" s="115">
        <f>SUM(U12:U12)</f>
        <v>0</v>
      </c>
      <c r="V13" s="115">
        <f>SUM(V12:V12)</f>
        <v>0</v>
      </c>
    </row>
    <row r="14" spans="1:22" ht="19.5" customHeight="1">
      <c r="A14" s="41" t="s">
        <v>191</v>
      </c>
      <c r="B14" s="42"/>
      <c r="C14" s="125"/>
      <c r="D14" s="44"/>
      <c r="E14" s="36">
        <f>131105.45/1.2</f>
        <v>109254.54166666669</v>
      </c>
      <c r="F14" s="36">
        <f>-E14*$F$10</f>
        <v>0</v>
      </c>
      <c r="G14" s="36">
        <f>E14*$G$10</f>
        <v>0</v>
      </c>
      <c r="H14" s="36"/>
      <c r="I14" s="36">
        <f>+E14+F14-G14-H14</f>
        <v>109254.54166666669</v>
      </c>
      <c r="J14" s="36">
        <f>+I14+(I14*$I$4)</f>
        <v>131105.45000000001</v>
      </c>
      <c r="K14" s="36">
        <v>131105.45000000001</v>
      </c>
      <c r="L14" s="37"/>
      <c r="M14" s="37"/>
      <c r="N14" s="92">
        <f>-IF(L14=0,,IF(M14=0,($C$10-L14),M14-L14))</f>
        <v>0</v>
      </c>
      <c r="O14" s="36">
        <f>+J14-K14</f>
        <v>0</v>
      </c>
      <c r="P14" s="36" t="e">
        <f>+IF($C$10&lt;L14,0,O14)</f>
        <v>#REF!</v>
      </c>
      <c r="Q14" s="39"/>
      <c r="R14" s="40">
        <f>IF(N14&gt;=0,0,(IF(-N14&lt;=60,O14,0)))</f>
        <v>0</v>
      </c>
      <c r="S14" s="40">
        <f>IF(N14&gt;=0,0,(IF(N14&gt;=-60,0,IF(-60&gt;=N14,IF(N14&gt;=-120,O14,0)))))</f>
        <v>0</v>
      </c>
      <c r="T14" s="40">
        <f>IF(N14&gt;=0,0,(IF(N14&gt;-60,0,IF(-60&gt;=N14,IF(N14&gt;=-120,0,IF(N14&gt;=-180,O14,0))))))</f>
        <v>0</v>
      </c>
      <c r="U14" s="40">
        <f>IF(N14&gt;=0,0,(IF(N14&gt;-60,0,IF(-60&gt;=N14,IF(N14&gt;-120,0,IF(N14&gt;=-180,0,IF(N14&gt;=-365,O14,0)))))))</f>
        <v>0</v>
      </c>
      <c r="V14" s="40">
        <f>IF(N14&gt;=0,0,IF(365&lt;-N14,O14,0))</f>
        <v>0</v>
      </c>
    </row>
    <row r="15" spans="1:22" s="99" customFormat="1" ht="19.5" customHeight="1">
      <c r="A15" s="104"/>
      <c r="B15" s="105"/>
      <c r="C15" s="106"/>
      <c r="D15" s="107"/>
      <c r="E15" s="108">
        <f t="shared" ref="E15:K15" si="1">SUM(E14:E14)</f>
        <v>109254.54166666669</v>
      </c>
      <c r="F15" s="108">
        <f t="shared" si="1"/>
        <v>0</v>
      </c>
      <c r="G15" s="108">
        <f t="shared" si="1"/>
        <v>0</v>
      </c>
      <c r="H15" s="108">
        <f t="shared" si="1"/>
        <v>0</v>
      </c>
      <c r="I15" s="108">
        <f t="shared" si="1"/>
        <v>109254.54166666669</v>
      </c>
      <c r="J15" s="113">
        <f t="shared" si="1"/>
        <v>131105.45000000001</v>
      </c>
      <c r="K15" s="113">
        <f t="shared" si="1"/>
        <v>131105.45000000001</v>
      </c>
      <c r="L15" s="109"/>
      <c r="M15" s="109"/>
      <c r="N15" s="110"/>
      <c r="O15" s="108">
        <f>SUM(O14:O14)</f>
        <v>0</v>
      </c>
      <c r="P15" s="108" t="e">
        <f>SUM(P14:P14)</f>
        <v>#REF!</v>
      </c>
      <c r="Q15" s="114"/>
      <c r="R15" s="115">
        <f>SUM(R14:R14)</f>
        <v>0</v>
      </c>
      <c r="S15" s="115">
        <f>SUM(S14:S14)</f>
        <v>0</v>
      </c>
      <c r="T15" s="115">
        <f>SUM(T14:T14)</f>
        <v>0</v>
      </c>
      <c r="U15" s="115">
        <f>SUM(U14:U14)</f>
        <v>0</v>
      </c>
      <c r="V15" s="115">
        <f>SUM(V14:V14)</f>
        <v>0</v>
      </c>
    </row>
    <row r="16" spans="1:22" ht="19.5" customHeight="1">
      <c r="A16" s="41" t="s">
        <v>97</v>
      </c>
      <c r="B16" s="42"/>
      <c r="C16" s="125"/>
      <c r="D16" s="44"/>
      <c r="E16" s="36">
        <f>467741.03/1.2</f>
        <v>389784.19166666671</v>
      </c>
      <c r="F16" s="36">
        <f>-E16*$F$10</f>
        <v>0</v>
      </c>
      <c r="G16" s="36">
        <f>E16*$G$10</f>
        <v>0</v>
      </c>
      <c r="H16" s="36"/>
      <c r="I16" s="36">
        <f>+E16+F16-G16-H16</f>
        <v>389784.19166666671</v>
      </c>
      <c r="J16" s="36">
        <f>+I16+(I16*$I$4)</f>
        <v>467741.03</v>
      </c>
      <c r="K16" s="36">
        <v>467741.03</v>
      </c>
      <c r="L16" s="37"/>
      <c r="M16" s="37"/>
      <c r="N16" s="92">
        <f>-IF(L16=0,,IF(M16=0,($C$10-L16),M16-L16))</f>
        <v>0</v>
      </c>
      <c r="O16" s="36">
        <f>+J16-K16</f>
        <v>0</v>
      </c>
      <c r="P16" s="36" t="e">
        <f>+IF($C$10&lt;L16,0,O16)</f>
        <v>#REF!</v>
      </c>
      <c r="Q16" s="39"/>
      <c r="R16" s="40">
        <f>IF(N16&gt;=0,0,(IF(-N16&lt;=60,O16,0)))</f>
        <v>0</v>
      </c>
      <c r="S16" s="40">
        <f>IF(N16&gt;=0,0,(IF(N16&gt;=-60,0,IF(-60&gt;=N16,IF(N16&gt;=-120,O16,0)))))</f>
        <v>0</v>
      </c>
      <c r="T16" s="40">
        <f>IF(N16&gt;=0,0,(IF(N16&gt;-60,0,IF(-60&gt;=N16,IF(N16&gt;=-120,0,IF(N16&gt;=-180,O16,0))))))</f>
        <v>0</v>
      </c>
      <c r="U16" s="40">
        <f>IF(N16&gt;=0,0,(IF(N16&gt;-60,0,IF(-60&gt;=N16,IF(N16&gt;-120,0,IF(N16&gt;=-180,0,IF(N16&gt;=-365,O16,0)))))))</f>
        <v>0</v>
      </c>
      <c r="V16" s="40">
        <f>IF(N16&gt;=0,0,IF(365&lt;-N16,O16,0))</f>
        <v>0</v>
      </c>
    </row>
    <row r="17" spans="1:22" s="99" customFormat="1" ht="19.5" customHeight="1">
      <c r="A17" s="104"/>
      <c r="B17" s="105"/>
      <c r="C17" s="106"/>
      <c r="D17" s="107"/>
      <c r="E17" s="108">
        <f t="shared" ref="E17:K17" si="2">SUM(E16:E16)</f>
        <v>389784.19166666671</v>
      </c>
      <c r="F17" s="108">
        <f t="shared" si="2"/>
        <v>0</v>
      </c>
      <c r="G17" s="108">
        <f t="shared" si="2"/>
        <v>0</v>
      </c>
      <c r="H17" s="108">
        <f t="shared" si="2"/>
        <v>0</v>
      </c>
      <c r="I17" s="108">
        <f t="shared" si="2"/>
        <v>389784.19166666671</v>
      </c>
      <c r="J17" s="113">
        <f t="shared" si="2"/>
        <v>467741.03</v>
      </c>
      <c r="K17" s="113">
        <f t="shared" si="2"/>
        <v>467741.03</v>
      </c>
      <c r="L17" s="109"/>
      <c r="M17" s="109"/>
      <c r="N17" s="110"/>
      <c r="O17" s="108">
        <f>SUM(O16:O16)</f>
        <v>0</v>
      </c>
      <c r="P17" s="108" t="e">
        <f>SUM(P16:P16)</f>
        <v>#REF!</v>
      </c>
      <c r="Q17" s="114"/>
      <c r="R17" s="115">
        <f>SUM(R16:R16)</f>
        <v>0</v>
      </c>
      <c r="S17" s="115">
        <f>SUM(S16:S16)</f>
        <v>0</v>
      </c>
      <c r="T17" s="115">
        <f>SUM(T16:T16)</f>
        <v>0</v>
      </c>
      <c r="U17" s="115">
        <f>SUM(U16:U16)</f>
        <v>0</v>
      </c>
      <c r="V17" s="115">
        <f>SUM(V16:V16)</f>
        <v>0</v>
      </c>
    </row>
    <row r="18" spans="1:22" ht="19.5" customHeight="1">
      <c r="A18" s="41" t="s">
        <v>62</v>
      </c>
      <c r="B18" s="42"/>
      <c r="C18" s="125"/>
      <c r="D18" s="44"/>
      <c r="E18" s="36">
        <f>1021132.1/1.2</f>
        <v>850943.41666666663</v>
      </c>
      <c r="F18" s="36">
        <f>-E18*$F$10</f>
        <v>0</v>
      </c>
      <c r="G18" s="36">
        <f>E18*$G$10</f>
        <v>0</v>
      </c>
      <c r="H18" s="36"/>
      <c r="I18" s="36">
        <f>+E18+F18-G18-H18</f>
        <v>850943.41666666663</v>
      </c>
      <c r="J18" s="36">
        <f>+I18+(I18*$I$4)</f>
        <v>1021132.1</v>
      </c>
      <c r="K18" s="36">
        <v>1021132.1</v>
      </c>
      <c r="L18" s="37"/>
      <c r="M18" s="37"/>
      <c r="N18" s="92">
        <f>-IF(L18=0,,IF(M18=0,($C$10-L18),M18-L18))</f>
        <v>0</v>
      </c>
      <c r="O18" s="36">
        <f>+J18-K18</f>
        <v>0</v>
      </c>
      <c r="P18" s="36" t="e">
        <f>+IF($C$10&lt;L18,0,O18)</f>
        <v>#REF!</v>
      </c>
      <c r="Q18" s="39"/>
      <c r="R18" s="40">
        <f>IF(N18&gt;=0,0,(IF(-N18&lt;=60,O18,0)))</f>
        <v>0</v>
      </c>
      <c r="S18" s="40">
        <f>IF(N18&gt;=0,0,(IF(N18&gt;=-60,0,IF(-60&gt;=N18,IF(N18&gt;=-120,O18,0)))))</f>
        <v>0</v>
      </c>
      <c r="T18" s="40">
        <f>IF(N18&gt;=0,0,(IF(N18&gt;-60,0,IF(-60&gt;=N18,IF(N18&gt;=-120,0,IF(N18&gt;=-180,O18,0))))))</f>
        <v>0</v>
      </c>
      <c r="U18" s="40">
        <f>IF(N18&gt;=0,0,(IF(N18&gt;-60,0,IF(-60&gt;=N18,IF(N18&gt;-120,0,IF(N18&gt;=-180,0,IF(N18&gt;=-365,O18,0)))))))</f>
        <v>0</v>
      </c>
      <c r="V18" s="40">
        <f>IF(N18&gt;=0,0,IF(365&lt;-N18,O18,0))</f>
        <v>0</v>
      </c>
    </row>
    <row r="19" spans="1:22" s="99" customFormat="1" ht="19.5" customHeight="1">
      <c r="A19" s="104"/>
      <c r="B19" s="105"/>
      <c r="C19" s="106"/>
      <c r="D19" s="107"/>
      <c r="E19" s="108">
        <f t="shared" ref="E19:K19" si="3">SUM(E18:E18)</f>
        <v>850943.41666666663</v>
      </c>
      <c r="F19" s="108">
        <f t="shared" si="3"/>
        <v>0</v>
      </c>
      <c r="G19" s="108">
        <f t="shared" si="3"/>
        <v>0</v>
      </c>
      <c r="H19" s="108">
        <f t="shared" si="3"/>
        <v>0</v>
      </c>
      <c r="I19" s="108">
        <f t="shared" si="3"/>
        <v>850943.41666666663</v>
      </c>
      <c r="J19" s="113">
        <f t="shared" si="3"/>
        <v>1021132.1</v>
      </c>
      <c r="K19" s="113">
        <f t="shared" si="3"/>
        <v>1021132.1</v>
      </c>
      <c r="L19" s="109"/>
      <c r="M19" s="109"/>
      <c r="N19" s="110"/>
      <c r="O19" s="108">
        <f>SUM(O18:O18)</f>
        <v>0</v>
      </c>
      <c r="P19" s="108" t="e">
        <f>SUM(P18:P18)</f>
        <v>#REF!</v>
      </c>
      <c r="Q19" s="114"/>
      <c r="R19" s="115">
        <f>SUM(R18:R18)</f>
        <v>0</v>
      </c>
      <c r="S19" s="115">
        <f>SUM(S18:S18)</f>
        <v>0</v>
      </c>
      <c r="T19" s="115">
        <f>SUM(T18:T18)</f>
        <v>0</v>
      </c>
      <c r="U19" s="115">
        <f>SUM(U18:U18)</f>
        <v>0</v>
      </c>
      <c r="V19" s="115">
        <f>SUM(V18:V18)</f>
        <v>0</v>
      </c>
    </row>
    <row r="20" spans="1:22" ht="19.5" customHeight="1">
      <c r="A20" s="41" t="s">
        <v>63</v>
      </c>
      <c r="B20" s="42"/>
      <c r="C20" s="43"/>
      <c r="D20" s="44"/>
      <c r="E20" s="36">
        <f>2010044.96/1.2</f>
        <v>1675037.4666666668</v>
      </c>
      <c r="F20" s="36">
        <f>-E20*$F$10</f>
        <v>0</v>
      </c>
      <c r="G20" s="36">
        <f>E20*$G$10</f>
        <v>0</v>
      </c>
      <c r="H20" s="36"/>
      <c r="I20" s="36">
        <f>+E20+F20-G20-H20</f>
        <v>1675037.4666666668</v>
      </c>
      <c r="J20" s="36">
        <f>+I20+(I20*$I$4)</f>
        <v>2010044.9600000002</v>
      </c>
      <c r="K20" s="36">
        <v>2010044.9600000002</v>
      </c>
      <c r="L20" s="37"/>
      <c r="M20" s="37"/>
      <c r="N20" s="92">
        <f>-IF(L20=0,,IF(M20=0,($C$10-L20),M20-L20))</f>
        <v>0</v>
      </c>
      <c r="O20" s="36">
        <f>+J20-K20</f>
        <v>0</v>
      </c>
      <c r="P20" s="36" t="e">
        <f>+IF($C$10&lt;L20,0,O20)</f>
        <v>#REF!</v>
      </c>
      <c r="Q20" s="39"/>
      <c r="R20" s="40">
        <f>IF(N20&gt;=0,0,(IF(-N20&lt;=60,O20,0)))</f>
        <v>0</v>
      </c>
      <c r="S20" s="40">
        <f>IF(N20&gt;=0,0,(IF(N20&gt;=-60,0,IF(-60&gt;=N20,IF(N20&gt;=-120,O20,0)))))</f>
        <v>0</v>
      </c>
      <c r="T20" s="40">
        <f>IF(N20&gt;=0,0,(IF(N20&gt;-60,0,IF(-60&gt;=N20,IF(N20&gt;=-120,0,IF(N20&gt;=-180,O20,0))))))</f>
        <v>0</v>
      </c>
      <c r="U20" s="40">
        <f>IF(N20&gt;=0,0,(IF(N20&gt;-60,0,IF(-60&gt;=N20,IF(N20&gt;-120,0,IF(N20&gt;=-180,0,IF(N20&gt;=-365,O20,0)))))))</f>
        <v>0</v>
      </c>
      <c r="V20" s="40">
        <f>IF(N20&gt;=0,0,IF(365&lt;-N20,O20,0))</f>
        <v>0</v>
      </c>
    </row>
    <row r="21" spans="1:22" s="99" customFormat="1" ht="19.5" customHeight="1">
      <c r="A21" s="104"/>
      <c r="B21" s="104"/>
      <c r="C21" s="106"/>
      <c r="D21" s="107"/>
      <c r="E21" s="108">
        <f t="shared" ref="E21:K21" si="4">SUM(E20:E20)</f>
        <v>1675037.4666666668</v>
      </c>
      <c r="F21" s="108">
        <f t="shared" si="4"/>
        <v>0</v>
      </c>
      <c r="G21" s="108">
        <f t="shared" si="4"/>
        <v>0</v>
      </c>
      <c r="H21" s="108">
        <f t="shared" si="4"/>
        <v>0</v>
      </c>
      <c r="I21" s="108">
        <f t="shared" si="4"/>
        <v>1675037.4666666668</v>
      </c>
      <c r="J21" s="113">
        <f t="shared" si="4"/>
        <v>2010044.9600000002</v>
      </c>
      <c r="K21" s="113">
        <f t="shared" si="4"/>
        <v>2010044.9600000002</v>
      </c>
      <c r="L21" s="109"/>
      <c r="M21" s="109"/>
      <c r="N21" s="110"/>
      <c r="O21" s="108">
        <f>SUM(O20:O20)</f>
        <v>0</v>
      </c>
      <c r="P21" s="108" t="e">
        <f>SUM(P20:P20)</f>
        <v>#REF!</v>
      </c>
      <c r="Q21" s="111"/>
      <c r="R21" s="112">
        <f>SUM(R20:R20)</f>
        <v>0</v>
      </c>
      <c r="S21" s="112">
        <f>SUM(S20:S20)</f>
        <v>0</v>
      </c>
      <c r="T21" s="112">
        <f>SUM(T20:T20)</f>
        <v>0</v>
      </c>
      <c r="U21" s="112">
        <f>SUM(U20:U20)</f>
        <v>0</v>
      </c>
      <c r="V21" s="112">
        <f>SUM(V20:V20)</f>
        <v>0</v>
      </c>
    </row>
    <row r="22" spans="1:22" ht="19.5" customHeight="1">
      <c r="A22" s="41" t="s">
        <v>73</v>
      </c>
      <c r="B22" s="41"/>
      <c r="C22" s="43"/>
      <c r="D22" s="44"/>
      <c r="E22" s="36">
        <f>6447396.91/1.2</f>
        <v>5372830.7583333338</v>
      </c>
      <c r="F22" s="36">
        <f>-E22*$F$10</f>
        <v>0</v>
      </c>
      <c r="G22" s="36">
        <f>E22*$G$10</f>
        <v>0</v>
      </c>
      <c r="H22" s="36"/>
      <c r="I22" s="36">
        <f>+E22+F22-G22-H22</f>
        <v>5372830.7583333338</v>
      </c>
      <c r="J22" s="36">
        <f>+I22+(I22*$I$4)</f>
        <v>6447396.9100000001</v>
      </c>
      <c r="K22" s="36">
        <v>6447396.9100000001</v>
      </c>
      <c r="L22" s="37"/>
      <c r="M22" s="37"/>
      <c r="N22" s="92">
        <f>-IF(L22=0,,IF(M22=0,($C$10-L22),M22-L22))</f>
        <v>0</v>
      </c>
      <c r="O22" s="36">
        <f>+J22-K22</f>
        <v>0</v>
      </c>
      <c r="P22" s="36" t="e">
        <f>+IF($C$10&lt;L22,0,O22)</f>
        <v>#REF!</v>
      </c>
      <c r="Q22" s="39"/>
      <c r="R22" s="40">
        <f>IF(N22&gt;=0,0,(IF(-N22&lt;=60,O22,0)))</f>
        <v>0</v>
      </c>
      <c r="S22" s="40">
        <f>IF(N22&gt;=0,0,(IF(N22&gt;=-60,0,IF(-60&gt;=N22,IF(N22&gt;=-120,O22,0)))))</f>
        <v>0</v>
      </c>
      <c r="T22" s="40">
        <f>IF(N22&gt;=0,0,(IF(N22&gt;-60,0,IF(-60&gt;=N22,IF(N22&gt;=-120,0,IF(N22&gt;=-180,O22,0))))))</f>
        <v>0</v>
      </c>
      <c r="U22" s="40">
        <f>IF(N22&gt;=0,0,(IF(N22&gt;-60,0,IF(-60&gt;=N22,IF(N22&gt;-120,0,IF(N22&gt;=-180,0,IF(N22&gt;=-365,O22,0)))))))</f>
        <v>0</v>
      </c>
      <c r="V22" s="40">
        <f>IF(N22&gt;=0,0,IF(365&lt;-N22,O22,0))</f>
        <v>0</v>
      </c>
    </row>
    <row r="23" spans="1:22" s="99" customFormat="1" ht="19.5" customHeight="1">
      <c r="A23" s="104"/>
      <c r="B23" s="104"/>
      <c r="C23" s="106"/>
      <c r="D23" s="107"/>
      <c r="E23" s="108">
        <f t="shared" ref="E23:K23" si="5">SUM(E22:E22)</f>
        <v>5372830.7583333338</v>
      </c>
      <c r="F23" s="108">
        <f t="shared" si="5"/>
        <v>0</v>
      </c>
      <c r="G23" s="108">
        <f t="shared" si="5"/>
        <v>0</v>
      </c>
      <c r="H23" s="108">
        <f t="shared" si="5"/>
        <v>0</v>
      </c>
      <c r="I23" s="108">
        <f t="shared" si="5"/>
        <v>5372830.7583333338</v>
      </c>
      <c r="J23" s="113">
        <f t="shared" si="5"/>
        <v>6447396.9100000001</v>
      </c>
      <c r="K23" s="113">
        <f t="shared" si="5"/>
        <v>6447396.9100000001</v>
      </c>
      <c r="L23" s="109"/>
      <c r="M23" s="109"/>
      <c r="N23" s="110"/>
      <c r="O23" s="108">
        <f>SUM(O22:O22)</f>
        <v>0</v>
      </c>
      <c r="P23" s="108" t="e">
        <f>SUM(P22:P22)</f>
        <v>#REF!</v>
      </c>
      <c r="Q23" s="111"/>
      <c r="R23" s="112">
        <f>SUM(R22:R22)</f>
        <v>0</v>
      </c>
      <c r="S23" s="112">
        <f>SUM(S22:S22)</f>
        <v>0</v>
      </c>
      <c r="T23" s="112">
        <f>SUM(T22:T22)</f>
        <v>0</v>
      </c>
      <c r="U23" s="112">
        <f>SUM(U22:U22)</f>
        <v>0</v>
      </c>
      <c r="V23" s="112">
        <f>SUM(V22:V22)</f>
        <v>0</v>
      </c>
    </row>
    <row r="24" spans="1:22" ht="19.5" customHeight="1">
      <c r="A24" s="41" t="s">
        <v>192</v>
      </c>
      <c r="B24" s="41"/>
      <c r="C24" s="43"/>
      <c r="D24" s="44"/>
      <c r="E24" s="36">
        <f>67671.29/1.2</f>
        <v>56392.741666666661</v>
      </c>
      <c r="F24" s="36">
        <f>-E24*$F$10</f>
        <v>0</v>
      </c>
      <c r="G24" s="36">
        <f>E24*$G$10</f>
        <v>0</v>
      </c>
      <c r="H24" s="36"/>
      <c r="I24" s="36">
        <f>+E24+F24-G24-H24</f>
        <v>56392.741666666661</v>
      </c>
      <c r="J24" s="36">
        <f>+I24+(I24*$I$4)</f>
        <v>67671.289999999994</v>
      </c>
      <c r="K24" s="36">
        <v>67671.289999999994</v>
      </c>
      <c r="L24" s="37"/>
      <c r="M24" s="37"/>
      <c r="N24" s="92">
        <f>-IF(L24=0,,IF(M24=0,($C$10-L24),M24-L24))</f>
        <v>0</v>
      </c>
      <c r="O24" s="36">
        <f>+J24-K24</f>
        <v>0</v>
      </c>
      <c r="P24" s="36" t="e">
        <f>+IF($C$10&lt;L24,0,O24)</f>
        <v>#REF!</v>
      </c>
      <c r="Q24" s="39"/>
      <c r="R24" s="40">
        <f>IF(N24&gt;=0,0,(IF(-N24&lt;=60,O24,0)))</f>
        <v>0</v>
      </c>
      <c r="S24" s="40">
        <f>IF(N24&gt;=0,0,(IF(N24&gt;=-60,0,IF(-60&gt;=N24,IF(N24&gt;=-120,O24,0)))))</f>
        <v>0</v>
      </c>
      <c r="T24" s="40">
        <f>IF(N24&gt;=0,0,(IF(N24&gt;-60,0,IF(-60&gt;=N24,IF(N24&gt;=-120,0,IF(N24&gt;=-180,O24,0))))))</f>
        <v>0</v>
      </c>
      <c r="U24" s="40">
        <f>IF(N24&gt;=0,0,(IF(N24&gt;-60,0,IF(-60&gt;=N24,IF(N24&gt;-120,0,IF(N24&gt;=-180,0,IF(N24&gt;=-365,O24,0)))))))</f>
        <v>0</v>
      </c>
      <c r="V24" s="40">
        <f>IF(N24&gt;=0,0,IF(365&lt;-N24,O24,0))</f>
        <v>0</v>
      </c>
    </row>
    <row r="25" spans="1:22" s="99" customFormat="1" ht="19.5" customHeight="1">
      <c r="A25" s="104"/>
      <c r="B25" s="105"/>
      <c r="C25" s="106"/>
      <c r="D25" s="107"/>
      <c r="E25" s="108">
        <f t="shared" ref="E25:K25" si="6">SUM(E24:E24)</f>
        <v>56392.741666666661</v>
      </c>
      <c r="F25" s="108">
        <f t="shared" si="6"/>
        <v>0</v>
      </c>
      <c r="G25" s="108">
        <f t="shared" si="6"/>
        <v>0</v>
      </c>
      <c r="H25" s="108">
        <f t="shared" si="6"/>
        <v>0</v>
      </c>
      <c r="I25" s="108">
        <f t="shared" si="6"/>
        <v>56392.741666666661</v>
      </c>
      <c r="J25" s="113">
        <f t="shared" si="6"/>
        <v>67671.289999999994</v>
      </c>
      <c r="K25" s="113">
        <f t="shared" si="6"/>
        <v>67671.289999999994</v>
      </c>
      <c r="L25" s="109"/>
      <c r="M25" s="109"/>
      <c r="N25" s="110"/>
      <c r="O25" s="108">
        <f>SUM(O24)</f>
        <v>0</v>
      </c>
      <c r="P25" s="108" t="e">
        <f>SUM(P24)</f>
        <v>#REF!</v>
      </c>
      <c r="Q25" s="111"/>
      <c r="R25" s="112">
        <f>SUM(R24)</f>
        <v>0</v>
      </c>
      <c r="S25" s="112">
        <f>SUM(S24)</f>
        <v>0</v>
      </c>
      <c r="T25" s="112">
        <f>SUM(T24)</f>
        <v>0</v>
      </c>
      <c r="U25" s="112">
        <f>SUM(U24)</f>
        <v>0</v>
      </c>
      <c r="V25" s="112">
        <f>SUM(V24)</f>
        <v>0</v>
      </c>
    </row>
    <row r="26" spans="1:22" ht="19.5" customHeight="1">
      <c r="A26" s="41" t="s">
        <v>99</v>
      </c>
      <c r="B26" s="41"/>
      <c r="C26" s="43"/>
      <c r="D26" s="44"/>
      <c r="E26" s="36">
        <f>108485.21/1.2</f>
        <v>90404.341666666674</v>
      </c>
      <c r="F26" s="36">
        <f>-E26*$F$10</f>
        <v>0</v>
      </c>
      <c r="G26" s="36">
        <f>E26*$G$10</f>
        <v>0</v>
      </c>
      <c r="H26" s="36"/>
      <c r="I26" s="36">
        <f>+E26+F26-G26-H26</f>
        <v>90404.341666666674</v>
      </c>
      <c r="J26" s="36">
        <f>+I26+(I26*$I$4)</f>
        <v>108485.21</v>
      </c>
      <c r="K26" s="36">
        <v>108485.21</v>
      </c>
      <c r="L26" s="37"/>
      <c r="M26" s="37"/>
      <c r="N26" s="92">
        <f>-IF(L26=0,,IF(M26=0,($C$10-L26),M26-L26))</f>
        <v>0</v>
      </c>
      <c r="O26" s="36">
        <f>+J26-K26</f>
        <v>0</v>
      </c>
      <c r="P26" s="36" t="e">
        <f>+IF($C$10&lt;L26,0,O26)</f>
        <v>#REF!</v>
      </c>
      <c r="Q26" s="39"/>
      <c r="R26" s="40">
        <f>IF(N26&gt;=0,0,(IF(-N26&lt;=60,O26,0)))</f>
        <v>0</v>
      </c>
      <c r="S26" s="40">
        <f>IF(N26&gt;=0,0,(IF(N26&gt;=-60,0,IF(-60&gt;=N26,IF(N26&gt;=-120,O26,0)))))</f>
        <v>0</v>
      </c>
      <c r="T26" s="40">
        <f>IF(N26&gt;=0,0,(IF(N26&gt;-60,0,IF(-60&gt;=N26,IF(N26&gt;=-120,0,IF(N26&gt;=-180,O26,0))))))</f>
        <v>0</v>
      </c>
      <c r="U26" s="40">
        <f>IF(N26&gt;=0,0,(IF(N26&gt;-60,0,IF(-60&gt;=N26,IF(N26&gt;-120,0,IF(N26&gt;=-180,0,IF(N26&gt;=-365,O26,0)))))))</f>
        <v>0</v>
      </c>
      <c r="V26" s="40">
        <f>IF(N26&gt;=0,0,IF(365&lt;-N26,O26,0))</f>
        <v>0</v>
      </c>
    </row>
    <row r="27" spans="1:22" s="99" customFormat="1" ht="19.5" customHeight="1">
      <c r="A27" s="104"/>
      <c r="B27" s="105"/>
      <c r="C27" s="106"/>
      <c r="D27" s="107"/>
      <c r="E27" s="108">
        <f t="shared" ref="E27:K27" si="7">SUM(E26:E26)</f>
        <v>90404.341666666674</v>
      </c>
      <c r="F27" s="108">
        <f t="shared" si="7"/>
        <v>0</v>
      </c>
      <c r="G27" s="108">
        <f t="shared" si="7"/>
        <v>0</v>
      </c>
      <c r="H27" s="108">
        <f t="shared" si="7"/>
        <v>0</v>
      </c>
      <c r="I27" s="108">
        <f t="shared" si="7"/>
        <v>90404.341666666674</v>
      </c>
      <c r="J27" s="113">
        <f t="shared" si="7"/>
        <v>108485.21</v>
      </c>
      <c r="K27" s="113">
        <f t="shared" si="7"/>
        <v>108485.21</v>
      </c>
      <c r="L27" s="109"/>
      <c r="M27" s="109"/>
      <c r="N27" s="110"/>
      <c r="O27" s="108">
        <f>SUM(O26:O26)</f>
        <v>0</v>
      </c>
      <c r="P27" s="108" t="e">
        <f>SUM(P26:P26)</f>
        <v>#REF!</v>
      </c>
      <c r="Q27" s="111"/>
      <c r="R27" s="112">
        <f>SUM(R26:R26)</f>
        <v>0</v>
      </c>
      <c r="S27" s="112">
        <f>SUM(S26:S26)</f>
        <v>0</v>
      </c>
      <c r="T27" s="112">
        <f>SUM(T26:T26)</f>
        <v>0</v>
      </c>
      <c r="U27" s="112">
        <f>SUM(U26:U26)</f>
        <v>0</v>
      </c>
      <c r="V27" s="112">
        <f>SUM(V26:V26)</f>
        <v>0</v>
      </c>
    </row>
    <row r="28" spans="1:22" ht="19.5" customHeight="1">
      <c r="A28" s="41" t="s">
        <v>193</v>
      </c>
      <c r="B28" s="41"/>
      <c r="C28" s="43"/>
      <c r="D28" s="44"/>
      <c r="E28" s="36">
        <f>640559.37/1.2</f>
        <v>533799.47499999998</v>
      </c>
      <c r="F28" s="36">
        <f>-E28*$F$10</f>
        <v>0</v>
      </c>
      <c r="G28" s="36">
        <f>E28*$G$10</f>
        <v>0</v>
      </c>
      <c r="H28" s="36"/>
      <c r="I28" s="36">
        <f>+E28+F28-G28-H28</f>
        <v>533799.47499999998</v>
      </c>
      <c r="J28" s="36">
        <f>+I28+(I28*$I$4)</f>
        <v>640559.37</v>
      </c>
      <c r="K28" s="36">
        <v>640559.37</v>
      </c>
      <c r="L28" s="37"/>
      <c r="M28" s="37"/>
      <c r="N28" s="92">
        <f>-IF(L28=0,,IF(M28=0,($C$10-L28),M28-L28))</f>
        <v>0</v>
      </c>
      <c r="O28" s="36">
        <f>+J28-K28</f>
        <v>0</v>
      </c>
      <c r="P28" s="36" t="e">
        <f>+IF($C$10&lt;L28,0,O28)</f>
        <v>#REF!</v>
      </c>
      <c r="Q28" s="39"/>
      <c r="R28" s="40">
        <f>IF(N28&gt;=0,0,(IF(-N28&lt;=60,O28,0)))</f>
        <v>0</v>
      </c>
      <c r="S28" s="40">
        <f>IF(N28&gt;=0,0,(IF(N28&gt;=-60,0,IF(-60&gt;=N28,IF(N28&gt;=-120,O28,0)))))</f>
        <v>0</v>
      </c>
      <c r="T28" s="40">
        <f>IF(N28&gt;=0,0,(IF(N28&gt;-60,0,IF(-60&gt;=N28,IF(N28&gt;=-120,0,IF(N28&gt;=-180,O28,0))))))</f>
        <v>0</v>
      </c>
      <c r="U28" s="40">
        <f>IF(N28&gt;=0,0,(IF(N28&gt;-60,0,IF(-60&gt;=N28,IF(N28&gt;-120,0,IF(N28&gt;=-180,0,IF(N28&gt;=-365,O28,0)))))))</f>
        <v>0</v>
      </c>
      <c r="V28" s="40">
        <f>IF(N28&gt;=0,0,IF(365&lt;-N28,O28,0))</f>
        <v>0</v>
      </c>
    </row>
    <row r="29" spans="1:22" s="99" customFormat="1" ht="19.5" customHeight="1">
      <c r="A29" s="104"/>
      <c r="B29" s="105"/>
      <c r="C29" s="106"/>
      <c r="D29" s="107"/>
      <c r="E29" s="108">
        <f t="shared" ref="E29:K29" si="8">SUM(E28:E28)</f>
        <v>533799.47499999998</v>
      </c>
      <c r="F29" s="108">
        <f t="shared" si="8"/>
        <v>0</v>
      </c>
      <c r="G29" s="108">
        <f t="shared" si="8"/>
        <v>0</v>
      </c>
      <c r="H29" s="108">
        <f t="shared" si="8"/>
        <v>0</v>
      </c>
      <c r="I29" s="108">
        <f t="shared" si="8"/>
        <v>533799.47499999998</v>
      </c>
      <c r="J29" s="113">
        <f t="shared" si="8"/>
        <v>640559.37</v>
      </c>
      <c r="K29" s="113">
        <f t="shared" si="8"/>
        <v>640559.37</v>
      </c>
      <c r="L29" s="109"/>
      <c r="M29" s="109"/>
      <c r="N29" s="110"/>
      <c r="O29" s="108">
        <f>SUM(O28:O28)</f>
        <v>0</v>
      </c>
      <c r="P29" s="108" t="e">
        <f>SUM(P28:P28)</f>
        <v>#REF!</v>
      </c>
      <c r="Q29" s="111"/>
      <c r="R29" s="112">
        <f>SUM(R28:R28)</f>
        <v>0</v>
      </c>
      <c r="S29" s="112">
        <f>SUM(S28:S28)</f>
        <v>0</v>
      </c>
      <c r="T29" s="112">
        <f>SUM(T28:T28)</f>
        <v>0</v>
      </c>
      <c r="U29" s="112">
        <f>SUM(U28:U28)</f>
        <v>0</v>
      </c>
      <c r="V29" s="112">
        <f>SUM(V28:V28)</f>
        <v>0</v>
      </c>
    </row>
    <row r="30" spans="1:22" ht="19.5" customHeight="1">
      <c r="A30" s="41" t="s">
        <v>147</v>
      </c>
      <c r="B30" s="41"/>
      <c r="C30" s="43"/>
      <c r="D30" s="44"/>
      <c r="E30" s="36">
        <f>49459.38/1.2</f>
        <v>41216.15</v>
      </c>
      <c r="F30" s="36">
        <f>-E30*$F$10</f>
        <v>0</v>
      </c>
      <c r="G30" s="36">
        <f>E30*$G$10</f>
        <v>0</v>
      </c>
      <c r="H30" s="36"/>
      <c r="I30" s="36">
        <f>+E30+F30-G30-H30</f>
        <v>41216.15</v>
      </c>
      <c r="J30" s="36">
        <f>+I30+(I30*$I$4)</f>
        <v>49459.380000000005</v>
      </c>
      <c r="K30" s="36">
        <v>49459.380000000005</v>
      </c>
      <c r="L30" s="37"/>
      <c r="M30" s="37"/>
      <c r="N30" s="92">
        <f>-IF(L30=0,,IF(M30=0,($C$10-L30),M30-L30))</f>
        <v>0</v>
      </c>
      <c r="O30" s="36">
        <f>+J30-K30</f>
        <v>0</v>
      </c>
      <c r="P30" s="36" t="e">
        <f>+IF($C$10&lt;L30,0,O30)</f>
        <v>#REF!</v>
      </c>
      <c r="Q30" s="39"/>
      <c r="R30" s="40">
        <f>IF(N30&gt;=0,0,(IF(-N30&lt;=60,O30,0)))</f>
        <v>0</v>
      </c>
      <c r="S30" s="40">
        <f>IF(N30&gt;=0,0,(IF(N30&gt;=-60,0,IF(-60&gt;=N30,IF(N30&gt;=-120,O30,0)))))</f>
        <v>0</v>
      </c>
      <c r="T30" s="40">
        <f>IF(N30&gt;=0,0,(IF(N30&gt;-60,0,IF(-60&gt;=N30,IF(N30&gt;=-120,0,IF(N30&gt;=-180,O30,0))))))</f>
        <v>0</v>
      </c>
      <c r="U30" s="40">
        <f>IF(N30&gt;=0,0,(IF(N30&gt;-60,0,IF(-60&gt;=N30,IF(N30&gt;-120,0,IF(N30&gt;=-180,0,IF(N30&gt;=-365,O30,0)))))))</f>
        <v>0</v>
      </c>
      <c r="V30" s="40">
        <f>IF(N30&gt;=0,0,IF(365&lt;-N30,O30,0))</f>
        <v>0</v>
      </c>
    </row>
    <row r="31" spans="1:22" s="99" customFormat="1" ht="19.5" customHeight="1">
      <c r="A31" s="104"/>
      <c r="B31" s="105"/>
      <c r="C31" s="106"/>
      <c r="D31" s="107"/>
      <c r="E31" s="108">
        <f t="shared" ref="E31:K31" si="9">SUM(E30:E30)</f>
        <v>41216.15</v>
      </c>
      <c r="F31" s="108">
        <f t="shared" si="9"/>
        <v>0</v>
      </c>
      <c r="G31" s="108">
        <f t="shared" si="9"/>
        <v>0</v>
      </c>
      <c r="H31" s="108">
        <f t="shared" si="9"/>
        <v>0</v>
      </c>
      <c r="I31" s="108">
        <f t="shared" si="9"/>
        <v>41216.15</v>
      </c>
      <c r="J31" s="113">
        <f t="shared" si="9"/>
        <v>49459.380000000005</v>
      </c>
      <c r="K31" s="113">
        <f t="shared" si="9"/>
        <v>49459.380000000005</v>
      </c>
      <c r="L31" s="109"/>
      <c r="M31" s="109"/>
      <c r="N31" s="110"/>
      <c r="O31" s="108">
        <f>SUM(O30:O30)</f>
        <v>0</v>
      </c>
      <c r="P31" s="108" t="e">
        <f>SUM(P30:P30)</f>
        <v>#REF!</v>
      </c>
      <c r="Q31" s="111"/>
      <c r="R31" s="112">
        <f>SUM(R30:R30)</f>
        <v>0</v>
      </c>
      <c r="S31" s="112">
        <f>SUM(S30:S30)</f>
        <v>0</v>
      </c>
      <c r="T31" s="112">
        <f>SUM(T30:T30)</f>
        <v>0</v>
      </c>
      <c r="U31" s="112">
        <f>SUM(U30:U30)</f>
        <v>0</v>
      </c>
      <c r="V31" s="112">
        <f>SUM(V30:V30)</f>
        <v>0</v>
      </c>
    </row>
    <row r="32" spans="1:22" ht="19.5" customHeight="1">
      <c r="A32" s="41" t="s">
        <v>69</v>
      </c>
      <c r="B32" s="41"/>
      <c r="C32" s="43"/>
      <c r="D32" s="44"/>
      <c r="E32" s="36">
        <f>1839482.77/1.2</f>
        <v>1532902.3083333333</v>
      </c>
      <c r="F32" s="36">
        <f>-E32*$F$10</f>
        <v>0</v>
      </c>
      <c r="G32" s="36">
        <f>E32*$G$10</f>
        <v>0</v>
      </c>
      <c r="H32" s="36"/>
      <c r="I32" s="36">
        <f>+E32+F32-G32-H32</f>
        <v>1532902.3083333333</v>
      </c>
      <c r="J32" s="36">
        <f>+I32+(I32*$I$4)</f>
        <v>1839482.77</v>
      </c>
      <c r="K32" s="36">
        <v>1839482.77</v>
      </c>
      <c r="L32" s="37"/>
      <c r="M32" s="116"/>
      <c r="N32" s="92">
        <f>-IF(L32=0,,IF(M32=0,($C$10-L32),M32-L32))</f>
        <v>0</v>
      </c>
      <c r="O32" s="36">
        <f>+J32-K32</f>
        <v>0</v>
      </c>
      <c r="P32" s="36" t="e">
        <f>+IF($C$10&lt;L32,0,O32)</f>
        <v>#REF!</v>
      </c>
      <c r="Q32" s="39"/>
      <c r="R32" s="40">
        <f>IF(N32&gt;=0,0,(IF(-N32&lt;=60,O32,0)))</f>
        <v>0</v>
      </c>
      <c r="S32" s="40">
        <f>IF(N32&gt;=0,0,(IF(N32&gt;=-60,0,IF(-60&gt;=N32,IF(N32&gt;=-120,O32,0)))))</f>
        <v>0</v>
      </c>
      <c r="T32" s="40">
        <f>IF(N32&gt;=0,0,(IF(N32&gt;-60,0,IF(-60&gt;=N32,IF(N32&gt;=-120,0,IF(N32&gt;=-180,O32,0))))))</f>
        <v>0</v>
      </c>
      <c r="U32" s="40">
        <f>IF(N32&gt;=0,0,(IF(N32&gt;-60,0,IF(-60&gt;=N32,IF(N32&gt;-120,0,IF(N32&gt;=-180,0,IF(N32&gt;=-365,O32,0)))))))</f>
        <v>0</v>
      </c>
      <c r="V32" s="40">
        <f>IF(N32&gt;=0,0,IF(365&lt;-N32,O32,0))</f>
        <v>0</v>
      </c>
    </row>
    <row r="33" spans="1:22" s="99" customFormat="1" ht="19.5" customHeight="1">
      <c r="A33" s="104"/>
      <c r="B33" s="104"/>
      <c r="C33" s="106"/>
      <c r="D33" s="107"/>
      <c r="E33" s="108">
        <f t="shared" ref="E33:K33" si="10">SUM(E32:E32)</f>
        <v>1532902.3083333333</v>
      </c>
      <c r="F33" s="108">
        <f t="shared" si="10"/>
        <v>0</v>
      </c>
      <c r="G33" s="108">
        <f t="shared" si="10"/>
        <v>0</v>
      </c>
      <c r="H33" s="108">
        <f t="shared" si="10"/>
        <v>0</v>
      </c>
      <c r="I33" s="108">
        <f t="shared" si="10"/>
        <v>1532902.3083333333</v>
      </c>
      <c r="J33" s="113">
        <f t="shared" si="10"/>
        <v>1839482.77</v>
      </c>
      <c r="K33" s="113">
        <f t="shared" si="10"/>
        <v>1839482.77</v>
      </c>
      <c r="L33" s="109"/>
      <c r="M33" s="119"/>
      <c r="N33" s="110"/>
      <c r="O33" s="108">
        <f>SUM(O32:O32)</f>
        <v>0</v>
      </c>
      <c r="P33" s="108" t="e">
        <f>SUM(P32:P32)</f>
        <v>#REF!</v>
      </c>
      <c r="Q33" s="111"/>
      <c r="R33" s="112">
        <f>SUM(R32:R32)</f>
        <v>0</v>
      </c>
      <c r="S33" s="112">
        <f>SUM(S32:S32)</f>
        <v>0</v>
      </c>
      <c r="T33" s="112">
        <f>SUM(T32:T32)</f>
        <v>0</v>
      </c>
      <c r="U33" s="112">
        <f>SUM(U32:U32)</f>
        <v>0</v>
      </c>
      <c r="V33" s="112">
        <f>SUM(V32:V32)</f>
        <v>0</v>
      </c>
    </row>
    <row r="34" spans="1:22" ht="19.5" customHeight="1">
      <c r="A34" s="41" t="s">
        <v>75</v>
      </c>
      <c r="B34" s="41"/>
      <c r="C34" s="43"/>
      <c r="D34" s="44"/>
      <c r="E34" s="36">
        <f>2142445.08/1.2</f>
        <v>1785370.9000000001</v>
      </c>
      <c r="F34" s="36">
        <f>-E34*$F$10</f>
        <v>0</v>
      </c>
      <c r="G34" s="36">
        <f>E34*$G$10</f>
        <v>0</v>
      </c>
      <c r="H34" s="36"/>
      <c r="I34" s="36">
        <f>+E34+F34-G34-H34</f>
        <v>1785370.9000000001</v>
      </c>
      <c r="J34" s="36">
        <f>+I34+(I34*$I$4)</f>
        <v>2142445.08</v>
      </c>
      <c r="K34" s="36">
        <v>2142445.08</v>
      </c>
      <c r="L34" s="37"/>
      <c r="M34" s="37"/>
      <c r="N34" s="92">
        <f>-IF(L34=0,,IF(M34=0,($C$10-L34),M34-L34))</f>
        <v>0</v>
      </c>
      <c r="O34" s="36">
        <f>+J34-K34</f>
        <v>0</v>
      </c>
      <c r="P34" s="36" t="e">
        <f>+IF($C$10&lt;L34,0,O34)</f>
        <v>#REF!</v>
      </c>
      <c r="Q34" s="39"/>
      <c r="R34" s="40">
        <f>IF(N34&gt;=0,0,(IF(-N34&lt;=60,O34,0)))</f>
        <v>0</v>
      </c>
      <c r="S34" s="40">
        <f>IF(N34&gt;=0,0,(IF(N34&gt;=-60,0,IF(-60&gt;=N34,IF(N34&gt;=-120,O34,0)))))</f>
        <v>0</v>
      </c>
      <c r="T34" s="40">
        <f>IF(N34&gt;=0,0,(IF(N34&gt;-60,0,IF(-60&gt;=N34,IF(N34&gt;=-120,0,IF(N34&gt;=-180,O34,0))))))</f>
        <v>0</v>
      </c>
      <c r="U34" s="40">
        <f>IF(N34&gt;=0,0,(IF(N34&gt;-60,0,IF(-60&gt;=N34,IF(N34&gt;-120,0,IF(N34&gt;=-180,0,IF(N34&gt;=-365,O34,0)))))))</f>
        <v>0</v>
      </c>
      <c r="V34" s="40">
        <f>IF(N34&gt;=0,0,IF(365&lt;-N34,O34,0))</f>
        <v>0</v>
      </c>
    </row>
    <row r="35" spans="1:22" s="99" customFormat="1" ht="19.5" customHeight="1">
      <c r="A35" s="104"/>
      <c r="B35" s="105"/>
      <c r="C35" s="106"/>
      <c r="D35" s="107"/>
      <c r="E35" s="108">
        <f t="shared" ref="E35:K35" si="11">SUM(E34:E34)</f>
        <v>1785370.9000000001</v>
      </c>
      <c r="F35" s="108">
        <f t="shared" si="11"/>
        <v>0</v>
      </c>
      <c r="G35" s="108">
        <f t="shared" si="11"/>
        <v>0</v>
      </c>
      <c r="H35" s="108">
        <f t="shared" si="11"/>
        <v>0</v>
      </c>
      <c r="I35" s="108">
        <f t="shared" si="11"/>
        <v>1785370.9000000001</v>
      </c>
      <c r="J35" s="113">
        <f t="shared" si="11"/>
        <v>2142445.08</v>
      </c>
      <c r="K35" s="113">
        <f t="shared" si="11"/>
        <v>2142445.08</v>
      </c>
      <c r="L35" s="109"/>
      <c r="M35" s="109"/>
      <c r="N35" s="110"/>
      <c r="O35" s="108">
        <f>SUM(O34:O34)</f>
        <v>0</v>
      </c>
      <c r="P35" s="108" t="e">
        <f>SUM(P34:P34)</f>
        <v>#REF!</v>
      </c>
      <c r="Q35" s="111"/>
      <c r="R35" s="112">
        <f>SUM(R34:R34)</f>
        <v>0</v>
      </c>
      <c r="S35" s="112">
        <f>SUM(S34:S34)</f>
        <v>0</v>
      </c>
      <c r="T35" s="112">
        <f>SUM(T34:T34)</f>
        <v>0</v>
      </c>
      <c r="U35" s="112">
        <f>SUM(U34:U34)</f>
        <v>0</v>
      </c>
      <c r="V35" s="112">
        <f>SUM(V34:V34)</f>
        <v>0</v>
      </c>
    </row>
    <row r="36" spans="1:22" ht="19.5" customHeight="1">
      <c r="A36" s="41" t="s">
        <v>176</v>
      </c>
      <c r="B36" s="41"/>
      <c r="C36" s="43"/>
      <c r="D36" s="44"/>
      <c r="E36" s="36">
        <f>2435370.41/1.2</f>
        <v>2029475.3416666668</v>
      </c>
      <c r="F36" s="36">
        <f>-E36*$F$10</f>
        <v>0</v>
      </c>
      <c r="G36" s="36">
        <f>E36*$G$10</f>
        <v>0</v>
      </c>
      <c r="H36" s="36"/>
      <c r="I36" s="36">
        <f>+E36+F36-G36-H36</f>
        <v>2029475.3416666668</v>
      </c>
      <c r="J36" s="36">
        <f>+I36+(I36*$I$4)</f>
        <v>2435370.41</v>
      </c>
      <c r="K36" s="36">
        <v>2435370.41</v>
      </c>
      <c r="L36" s="37"/>
      <c r="M36" s="37"/>
      <c r="N36" s="92">
        <f>-IF(L36=0,,IF(M36=0,($C$10-L36),M36-L36))</f>
        <v>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s="99" customFormat="1" ht="19.5" customHeight="1">
      <c r="A37" s="104"/>
      <c r="B37" s="104"/>
      <c r="C37" s="106"/>
      <c r="D37" s="107"/>
      <c r="E37" s="108">
        <f t="shared" ref="E37:K37" si="12">SUM(E36:E36)</f>
        <v>2029475.3416666668</v>
      </c>
      <c r="F37" s="108">
        <f t="shared" si="12"/>
        <v>0</v>
      </c>
      <c r="G37" s="108">
        <f t="shared" si="12"/>
        <v>0</v>
      </c>
      <c r="H37" s="108">
        <f t="shared" si="12"/>
        <v>0</v>
      </c>
      <c r="I37" s="108">
        <f t="shared" si="12"/>
        <v>2029475.3416666668</v>
      </c>
      <c r="J37" s="113">
        <f t="shared" si="12"/>
        <v>2435370.41</v>
      </c>
      <c r="K37" s="113">
        <f t="shared" si="12"/>
        <v>2435370.41</v>
      </c>
      <c r="L37" s="109"/>
      <c r="M37" s="109"/>
      <c r="N37" s="110"/>
      <c r="O37" s="108">
        <f>SUM(O36:O36)</f>
        <v>0</v>
      </c>
      <c r="P37" s="108" t="e">
        <f>SUM(P36:P36)</f>
        <v>#REF!</v>
      </c>
      <c r="Q37" s="111"/>
      <c r="R37" s="112">
        <f>SUM(R36:R36)</f>
        <v>0</v>
      </c>
      <c r="S37" s="112">
        <f>SUM(S36:S36)</f>
        <v>0</v>
      </c>
      <c r="T37" s="112">
        <f>SUM(T36:T36)</f>
        <v>0</v>
      </c>
      <c r="U37" s="112">
        <f>SUM(U36:U36)</f>
        <v>0</v>
      </c>
      <c r="V37" s="112">
        <f>SUM(V36:V36)</f>
        <v>0</v>
      </c>
    </row>
    <row r="38" spans="1:22" ht="19.5" customHeight="1">
      <c r="A38" s="41" t="s">
        <v>188</v>
      </c>
      <c r="B38" s="41"/>
      <c r="C38" s="43"/>
      <c r="D38" s="44"/>
      <c r="E38" s="36">
        <f>78315.03/1.2</f>
        <v>65262.525000000001</v>
      </c>
      <c r="F38" s="36">
        <f>-E38*$F$10</f>
        <v>0</v>
      </c>
      <c r="G38" s="36">
        <f>E38*$G$10</f>
        <v>0</v>
      </c>
      <c r="H38" s="36"/>
      <c r="I38" s="36">
        <f>+E38+F38-G38-H38</f>
        <v>65262.525000000001</v>
      </c>
      <c r="J38" s="36">
        <f>+I38+(I38*$I$4)</f>
        <v>78315.03</v>
      </c>
      <c r="K38" s="36">
        <v>78315.03</v>
      </c>
      <c r="L38" s="37"/>
      <c r="M38" s="116"/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9.5" customHeight="1">
      <c r="A39" s="104"/>
      <c r="B39" s="104"/>
      <c r="C39" s="106"/>
      <c r="D39" s="107"/>
      <c r="E39" s="108">
        <f t="shared" ref="E39:K39" si="13">SUM(E38:E38)</f>
        <v>65262.525000000001</v>
      </c>
      <c r="F39" s="108">
        <f t="shared" si="13"/>
        <v>0</v>
      </c>
      <c r="G39" s="108">
        <f t="shared" si="13"/>
        <v>0</v>
      </c>
      <c r="H39" s="108">
        <f t="shared" si="13"/>
        <v>0</v>
      </c>
      <c r="I39" s="108">
        <f t="shared" si="13"/>
        <v>65262.525000000001</v>
      </c>
      <c r="J39" s="113">
        <f t="shared" si="13"/>
        <v>78315.03</v>
      </c>
      <c r="K39" s="113">
        <f t="shared" si="13"/>
        <v>78315.03</v>
      </c>
      <c r="L39" s="109"/>
      <c r="M39" s="10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101</v>
      </c>
      <c r="B40" s="41"/>
      <c r="C40" s="43"/>
      <c r="D40" s="44"/>
      <c r="E40" s="36">
        <f>9494.18/1.2</f>
        <v>7911.8166666666675</v>
      </c>
      <c r="F40" s="36">
        <f>-E40*$F$10</f>
        <v>0</v>
      </c>
      <c r="G40" s="36">
        <f>E40*$G$10</f>
        <v>0</v>
      </c>
      <c r="H40" s="36"/>
      <c r="I40" s="36">
        <f>+E40+F40-G40-H40</f>
        <v>7911.8166666666675</v>
      </c>
      <c r="J40" s="36">
        <f>+I40+(I40*$I$4)</f>
        <v>9494.18</v>
      </c>
      <c r="K40" s="36">
        <v>9494.18</v>
      </c>
      <c r="L40" s="37"/>
      <c r="M40" s="116"/>
      <c r="N40" s="92">
        <f>-IF(L40=0,,IF(M40=0,($C$10-L40),M40-L40))</f>
        <v>0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9.5" customHeight="1">
      <c r="A41" s="104"/>
      <c r="B41" s="104"/>
      <c r="C41" s="106"/>
      <c r="D41" s="107"/>
      <c r="E41" s="108">
        <f t="shared" ref="E41:K41" si="14">SUM(E40:E40)</f>
        <v>7911.8166666666675</v>
      </c>
      <c r="F41" s="108">
        <f t="shared" si="14"/>
        <v>0</v>
      </c>
      <c r="G41" s="108">
        <f t="shared" si="14"/>
        <v>0</v>
      </c>
      <c r="H41" s="108">
        <f t="shared" si="14"/>
        <v>0</v>
      </c>
      <c r="I41" s="108">
        <f t="shared" si="14"/>
        <v>7911.8166666666675</v>
      </c>
      <c r="J41" s="113">
        <f t="shared" si="14"/>
        <v>9494.18</v>
      </c>
      <c r="K41" s="113">
        <f t="shared" si="14"/>
        <v>9494.18</v>
      </c>
      <c r="L41" s="109"/>
      <c r="M41" s="10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77</v>
      </c>
      <c r="B42" s="41"/>
      <c r="C42" s="43"/>
      <c r="D42" s="44"/>
      <c r="E42" s="36">
        <f>101545.73/1.2</f>
        <v>84621.441666666666</v>
      </c>
      <c r="F42" s="36">
        <f>-E42*$F$10</f>
        <v>0</v>
      </c>
      <c r="G42" s="36">
        <f>E42*$G$10</f>
        <v>0</v>
      </c>
      <c r="H42" s="36"/>
      <c r="I42" s="36">
        <f>+E42+F42-G42-H42</f>
        <v>84621.441666666666</v>
      </c>
      <c r="J42" s="36">
        <f>+I42+(I42*$I$4)</f>
        <v>101545.73</v>
      </c>
      <c r="K42" s="36">
        <v>101545.73</v>
      </c>
      <c r="L42" s="37"/>
      <c r="M42" s="37"/>
      <c r="N42" s="92">
        <f>-IF(L42=0,,IF(M42=0,($C$10-L42),M42-L42))</f>
        <v>0</v>
      </c>
      <c r="O42" s="36">
        <f>+J42-K42</f>
        <v>0</v>
      </c>
      <c r="P42" s="36" t="e">
        <f>+IF($C$10&lt;L42,0,O42)</f>
        <v>#REF!</v>
      </c>
      <c r="Q42" s="39"/>
      <c r="R42" s="40">
        <f>IF(N42&gt;=0,0,(IF(-N42&lt;=60,O42,0)))</f>
        <v>0</v>
      </c>
      <c r="S42" s="40">
        <f>IF(N42&gt;=0,0,(IF(N42&gt;=-60,0,IF(-60&gt;=N42,IF(N42&gt;=-120,O42,0)))))</f>
        <v>0</v>
      </c>
      <c r="T42" s="40">
        <f>IF(N42&gt;=0,0,(IF(N42&gt;-60,0,IF(-60&gt;=N42,IF(N42&gt;=-120,0,IF(N42&gt;=-180,O42,0))))))</f>
        <v>0</v>
      </c>
      <c r="U42" s="40">
        <f>IF(N42&gt;=0,0,(IF(N42&gt;-60,0,IF(-60&gt;=N42,IF(N42&gt;-120,0,IF(N42&gt;=-180,0,IF(N42&gt;=-365,O42,0)))))))</f>
        <v>0</v>
      </c>
      <c r="V42" s="40">
        <f>IF(N42&gt;=0,0,IF(365&lt;-N42,O42,0))</f>
        <v>0</v>
      </c>
    </row>
    <row r="43" spans="1:22" s="99" customFormat="1" ht="19.5" customHeight="1">
      <c r="A43" s="104"/>
      <c r="B43" s="104"/>
      <c r="C43" s="106"/>
      <c r="D43" s="107"/>
      <c r="E43" s="108">
        <f t="shared" ref="E43:K43" si="15">SUM(E42:E42)</f>
        <v>84621.441666666666</v>
      </c>
      <c r="F43" s="108">
        <f t="shared" si="15"/>
        <v>0</v>
      </c>
      <c r="G43" s="108">
        <f t="shared" si="15"/>
        <v>0</v>
      </c>
      <c r="H43" s="108">
        <f t="shared" si="15"/>
        <v>0</v>
      </c>
      <c r="I43" s="108">
        <f t="shared" si="15"/>
        <v>84621.441666666666</v>
      </c>
      <c r="J43" s="113">
        <f t="shared" si="15"/>
        <v>101545.73</v>
      </c>
      <c r="K43" s="113">
        <f t="shared" si="15"/>
        <v>101545.73</v>
      </c>
      <c r="L43" s="109"/>
      <c r="M43" s="109"/>
      <c r="N43" s="110"/>
      <c r="O43" s="108">
        <f>SUM(O42:O42)</f>
        <v>0</v>
      </c>
      <c r="P43" s="108" t="e">
        <f>SUM(P42:P42)</f>
        <v>#REF!</v>
      </c>
      <c r="Q43" s="111"/>
      <c r="R43" s="112">
        <f>SUM(R42:R42)</f>
        <v>0</v>
      </c>
      <c r="S43" s="112">
        <f>SUM(S42:S42)</f>
        <v>0</v>
      </c>
      <c r="T43" s="112">
        <f>SUM(T42:T42)</f>
        <v>0</v>
      </c>
      <c r="U43" s="112">
        <f>SUM(U42:U42)</f>
        <v>0</v>
      </c>
      <c r="V43" s="112">
        <f>SUM(V42:V42)</f>
        <v>0</v>
      </c>
    </row>
    <row r="44" spans="1:22" ht="19.5" customHeight="1">
      <c r="A44" s="41" t="s">
        <v>194</v>
      </c>
      <c r="B44" s="41"/>
      <c r="C44" s="43"/>
      <c r="D44" s="44"/>
      <c r="E44" s="36">
        <f>25000/1.2</f>
        <v>20833.333333333336</v>
      </c>
      <c r="F44" s="36">
        <f>-E44*$F$10</f>
        <v>0</v>
      </c>
      <c r="G44" s="36">
        <f>E44*$G$10</f>
        <v>0</v>
      </c>
      <c r="H44" s="36"/>
      <c r="I44" s="36">
        <f>+E44+F44-G44-H44</f>
        <v>20833.333333333336</v>
      </c>
      <c r="J44" s="36">
        <f>+I44+(I44*$I$4)</f>
        <v>25000.000000000004</v>
      </c>
      <c r="K44" s="36">
        <v>25000.000000000004</v>
      </c>
      <c r="L44" s="37"/>
      <c r="M44" s="116"/>
      <c r="N44" s="92">
        <f>-IF(L44=0,,IF(M44=0,($C$10-L44),M44-L44))</f>
        <v>0</v>
      </c>
      <c r="O44" s="36">
        <f>+J44-K44</f>
        <v>0</v>
      </c>
      <c r="P44" s="36" t="e">
        <f>+IF($C$10&lt;L44,0,O44)</f>
        <v>#REF!</v>
      </c>
      <c r="Q44" s="39"/>
      <c r="R44" s="40">
        <f>IF(N44&gt;=0,0,(IF(-N44&lt;=60,O44,0)))</f>
        <v>0</v>
      </c>
      <c r="S44" s="40">
        <f>IF(N44&gt;=0,0,(IF(N44&gt;=-60,0,IF(-60&gt;=N44,IF(N44&gt;=-120,O44,0)))))</f>
        <v>0</v>
      </c>
      <c r="T44" s="40">
        <f>IF(N44&gt;=0,0,(IF(N44&gt;-60,0,IF(-60&gt;=N44,IF(N44&gt;=-120,0,IF(N44&gt;=-180,O44,0))))))</f>
        <v>0</v>
      </c>
      <c r="U44" s="40">
        <f>IF(N44&gt;=0,0,(IF(N44&gt;-60,0,IF(-60&gt;=N44,IF(N44&gt;-120,0,IF(N44&gt;=-180,0,IF(N44&gt;=-365,O44,0)))))))</f>
        <v>0</v>
      </c>
      <c r="V44" s="40">
        <f>IF(N44&gt;=0,0,IF(365&lt;-N44,O44,0))</f>
        <v>0</v>
      </c>
    </row>
    <row r="45" spans="1:22" s="99" customFormat="1" ht="19.5" customHeight="1">
      <c r="A45" s="104"/>
      <c r="B45" s="104"/>
      <c r="C45" s="106"/>
      <c r="D45" s="107"/>
      <c r="E45" s="108">
        <f t="shared" ref="E45:K45" si="16">SUM(E44:E44)</f>
        <v>20833.333333333336</v>
      </c>
      <c r="F45" s="108">
        <f t="shared" si="16"/>
        <v>0</v>
      </c>
      <c r="G45" s="108">
        <f t="shared" si="16"/>
        <v>0</v>
      </c>
      <c r="H45" s="108">
        <f t="shared" si="16"/>
        <v>0</v>
      </c>
      <c r="I45" s="108">
        <f t="shared" si="16"/>
        <v>20833.333333333336</v>
      </c>
      <c r="J45" s="113">
        <f t="shared" si="16"/>
        <v>25000.000000000004</v>
      </c>
      <c r="K45" s="113">
        <f t="shared" si="16"/>
        <v>25000.000000000004</v>
      </c>
      <c r="L45" s="109"/>
      <c r="M45" s="109"/>
      <c r="N45" s="110"/>
      <c r="O45" s="108">
        <f>SUM(O44:O44)</f>
        <v>0</v>
      </c>
      <c r="P45" s="108" t="e">
        <f>SUM(P44:P44)</f>
        <v>#REF!</v>
      </c>
      <c r="Q45" s="111"/>
      <c r="R45" s="112">
        <f>SUM(R44:R44)</f>
        <v>0</v>
      </c>
      <c r="S45" s="112">
        <f>SUM(S44:S44)</f>
        <v>0</v>
      </c>
      <c r="T45" s="112">
        <f>SUM(T44:T44)</f>
        <v>0</v>
      </c>
      <c r="U45" s="112">
        <f>SUM(U44:U44)</f>
        <v>0</v>
      </c>
      <c r="V45" s="112">
        <f>SUM(V44:V44)</f>
        <v>0</v>
      </c>
    </row>
    <row r="46" spans="1:22" ht="19.5" customHeight="1">
      <c r="A46" s="41" t="s">
        <v>149</v>
      </c>
      <c r="B46" s="41"/>
      <c r="C46" s="43"/>
      <c r="D46" s="44"/>
      <c r="E46" s="36">
        <f>4031.35/1.2</f>
        <v>3359.4583333333335</v>
      </c>
      <c r="F46" s="36">
        <f>-E46*$F$10</f>
        <v>0</v>
      </c>
      <c r="G46" s="36">
        <f>E46*$G$10</f>
        <v>0</v>
      </c>
      <c r="H46" s="36"/>
      <c r="I46" s="36">
        <f>+E46+F46-G46-H46</f>
        <v>3359.4583333333335</v>
      </c>
      <c r="J46" s="36">
        <f>+I46+(I46*$I$4)</f>
        <v>4031.3500000000004</v>
      </c>
      <c r="K46" s="36">
        <v>4031.3500000000004</v>
      </c>
      <c r="L46" s="37"/>
      <c r="M46" s="116"/>
      <c r="N46" s="92">
        <f>-IF(L46=0,,IF(M46=0,($C$10-L46),M46-L46))</f>
        <v>0</v>
      </c>
      <c r="O46" s="36">
        <f>+J46-K46</f>
        <v>0</v>
      </c>
      <c r="P46" s="36" t="e">
        <f>+IF($C$10&lt;L46,0,O46)</f>
        <v>#REF!</v>
      </c>
      <c r="Q46" s="39"/>
      <c r="R46" s="40">
        <f>IF(N46&gt;=0,0,(IF(-N46&lt;=60,O46,0)))</f>
        <v>0</v>
      </c>
      <c r="S46" s="40">
        <f>IF(N46&gt;=0,0,(IF(N46&gt;=-60,0,IF(-60&gt;=N46,IF(N46&gt;=-120,O46,0)))))</f>
        <v>0</v>
      </c>
      <c r="T46" s="40">
        <f>IF(N46&gt;=0,0,(IF(N46&gt;-60,0,IF(-60&gt;=N46,IF(N46&gt;=-120,0,IF(N46&gt;=-180,O46,0))))))</f>
        <v>0</v>
      </c>
      <c r="U46" s="40">
        <f>IF(N46&gt;=0,0,(IF(N46&gt;-60,0,IF(-60&gt;=N46,IF(N46&gt;-120,0,IF(N46&gt;=-180,0,IF(N46&gt;=-365,O46,0)))))))</f>
        <v>0</v>
      </c>
      <c r="V46" s="40">
        <f>IF(N46&gt;=0,0,IF(365&lt;-N46,O46,0))</f>
        <v>0</v>
      </c>
    </row>
    <row r="47" spans="1:22" s="99" customFormat="1" ht="19.5" customHeight="1">
      <c r="A47" s="104"/>
      <c r="B47" s="104"/>
      <c r="C47" s="106"/>
      <c r="D47" s="107"/>
      <c r="E47" s="108">
        <f t="shared" ref="E47:K47" si="17">SUM(E46:E46)</f>
        <v>3359.4583333333335</v>
      </c>
      <c r="F47" s="108">
        <f t="shared" si="17"/>
        <v>0</v>
      </c>
      <c r="G47" s="108">
        <f t="shared" si="17"/>
        <v>0</v>
      </c>
      <c r="H47" s="108">
        <f t="shared" si="17"/>
        <v>0</v>
      </c>
      <c r="I47" s="108">
        <f t="shared" si="17"/>
        <v>3359.4583333333335</v>
      </c>
      <c r="J47" s="113">
        <f t="shared" si="17"/>
        <v>4031.3500000000004</v>
      </c>
      <c r="K47" s="113">
        <f t="shared" si="17"/>
        <v>4031.3500000000004</v>
      </c>
      <c r="L47" s="109"/>
      <c r="M47" s="109"/>
      <c r="N47" s="110"/>
      <c r="O47" s="108">
        <f>SUM(O46:O46)</f>
        <v>0</v>
      </c>
      <c r="P47" s="108" t="e">
        <f>SUM(P46:P46)</f>
        <v>#REF!</v>
      </c>
      <c r="Q47" s="111"/>
      <c r="R47" s="112">
        <f>SUM(R46:R46)</f>
        <v>0</v>
      </c>
      <c r="S47" s="112">
        <f>SUM(S46:S46)</f>
        <v>0</v>
      </c>
      <c r="T47" s="112">
        <f>SUM(T46:T46)</f>
        <v>0</v>
      </c>
      <c r="U47" s="112">
        <f>SUM(U46:U46)</f>
        <v>0</v>
      </c>
      <c r="V47" s="112">
        <f>SUM(V46:V46)</f>
        <v>0</v>
      </c>
    </row>
    <row r="48" spans="1:22" ht="19.5" customHeight="1">
      <c r="A48" s="41" t="s">
        <v>195</v>
      </c>
      <c r="B48" s="41"/>
      <c r="C48" s="43"/>
      <c r="D48" s="44"/>
      <c r="E48" s="36">
        <f>1594.02/1.2</f>
        <v>1328.3500000000001</v>
      </c>
      <c r="F48" s="36">
        <f>-E48*$F$10</f>
        <v>0</v>
      </c>
      <c r="G48" s="36">
        <f>E48*$G$10</f>
        <v>0</v>
      </c>
      <c r="H48" s="36"/>
      <c r="I48" s="36">
        <f>+E48+F48-G48-H48</f>
        <v>1328.3500000000001</v>
      </c>
      <c r="J48" s="36">
        <f>+I48+(I48*$I$4)</f>
        <v>1594.0200000000002</v>
      </c>
      <c r="K48" s="36">
        <v>1594.0200000000002</v>
      </c>
      <c r="L48" s="37"/>
      <c r="M48" s="37"/>
      <c r="N48" s="92">
        <f>-IF(L48=0,,IF(M48=0,($C$10-L48),M48-L48))</f>
        <v>0</v>
      </c>
      <c r="O48" s="36">
        <f>+J48-K48</f>
        <v>0</v>
      </c>
      <c r="P48" s="36" t="e">
        <f>+IF($C$10&lt;L48,0,O48)</f>
        <v>#REF!</v>
      </c>
      <c r="Q48" s="39"/>
      <c r="R48" s="40">
        <f>IF(N48&gt;=0,0,(IF(-N48&lt;=60,O48,0)))</f>
        <v>0</v>
      </c>
      <c r="S48" s="40">
        <f>IF(N48&gt;=0,0,(IF(N48&gt;=-60,0,IF(-60&gt;=N48,IF(N48&gt;=-120,O48,0)))))</f>
        <v>0</v>
      </c>
      <c r="T48" s="40">
        <f>IF(N48&gt;=0,0,(IF(N48&gt;-60,0,IF(-60&gt;=N48,IF(N48&gt;=-120,0,IF(N48&gt;=-180,O48,0))))))</f>
        <v>0</v>
      </c>
      <c r="U48" s="40">
        <f>IF(N48&gt;=0,0,(IF(N48&gt;-60,0,IF(-60&gt;=N48,IF(N48&gt;-120,0,IF(N48&gt;=-180,0,IF(N48&gt;=-365,O48,0)))))))</f>
        <v>0</v>
      </c>
      <c r="V48" s="40">
        <f>IF(N48&gt;=0,0,IF(365&lt;-N48,O48,0))</f>
        <v>0</v>
      </c>
    </row>
    <row r="49" spans="1:22" s="99" customFormat="1" ht="19.5" customHeight="1">
      <c r="A49" s="104"/>
      <c r="B49" s="104"/>
      <c r="C49" s="106"/>
      <c r="D49" s="107"/>
      <c r="E49" s="108">
        <f t="shared" ref="E49:K49" si="18">SUM(E48:E48)</f>
        <v>1328.3500000000001</v>
      </c>
      <c r="F49" s="108">
        <f t="shared" si="18"/>
        <v>0</v>
      </c>
      <c r="G49" s="108">
        <f t="shared" si="18"/>
        <v>0</v>
      </c>
      <c r="H49" s="108">
        <f t="shared" si="18"/>
        <v>0</v>
      </c>
      <c r="I49" s="108">
        <f t="shared" si="18"/>
        <v>1328.3500000000001</v>
      </c>
      <c r="J49" s="113">
        <f t="shared" si="18"/>
        <v>1594.0200000000002</v>
      </c>
      <c r="K49" s="113">
        <f t="shared" si="18"/>
        <v>1594.0200000000002</v>
      </c>
      <c r="L49" s="109"/>
      <c r="M49" s="109"/>
      <c r="N49" s="110"/>
      <c r="O49" s="108">
        <f>SUM(O48:O48)</f>
        <v>0</v>
      </c>
      <c r="P49" s="108" t="e">
        <f>SUM(P48:P48)</f>
        <v>#REF!</v>
      </c>
      <c r="Q49" s="111"/>
      <c r="R49" s="112">
        <f>SUM(R48:R48)</f>
        <v>0</v>
      </c>
      <c r="S49" s="112">
        <f>SUM(S48:S48)</f>
        <v>0</v>
      </c>
      <c r="T49" s="112">
        <f>SUM(T48:T48)</f>
        <v>0</v>
      </c>
      <c r="U49" s="112">
        <f>SUM(U48:U48)</f>
        <v>0</v>
      </c>
      <c r="V49" s="112">
        <f>SUM(V48:V48)</f>
        <v>0</v>
      </c>
    </row>
    <row r="50" spans="1:22" ht="19.5" customHeight="1">
      <c r="A50" s="41" t="s">
        <v>79</v>
      </c>
      <c r="B50" s="41"/>
      <c r="C50" s="43"/>
      <c r="D50" s="44"/>
      <c r="E50" s="36">
        <f>2087.96/1.2</f>
        <v>1739.9666666666667</v>
      </c>
      <c r="F50" s="36">
        <f>-E50*$F$10</f>
        <v>0</v>
      </c>
      <c r="G50" s="36">
        <f>E50*$G$10</f>
        <v>0</v>
      </c>
      <c r="H50" s="36"/>
      <c r="I50" s="36">
        <f>+E50+F50-G50-H50</f>
        <v>1739.9666666666667</v>
      </c>
      <c r="J50" s="36">
        <f>+I50+(I50*$I$4)</f>
        <v>2087.96</v>
      </c>
      <c r="K50" s="36">
        <v>2087.96</v>
      </c>
      <c r="L50" s="37"/>
      <c r="M50" s="37"/>
      <c r="N50" s="92">
        <f>-IF(L50=0,,IF(M50=0,($C$10-L50),M50-L50))</f>
        <v>0</v>
      </c>
      <c r="O50" s="36">
        <f>+J50-K50</f>
        <v>0</v>
      </c>
      <c r="P50" s="36" t="e">
        <f>+IF($C$10&lt;L50,0,O50)</f>
        <v>#REF!</v>
      </c>
      <c r="Q50" s="39"/>
      <c r="R50" s="40">
        <f>IF(N50&gt;=0,0,(IF(-N50&lt;=60,O50,0)))</f>
        <v>0</v>
      </c>
      <c r="S50" s="40">
        <f>IF(N50&gt;=0,0,(IF(N50&gt;=-60,0,IF(-60&gt;=N50,IF(N50&gt;=-120,O50,0)))))</f>
        <v>0</v>
      </c>
      <c r="T50" s="40">
        <f>IF(N50&gt;=0,0,(IF(N50&gt;-60,0,IF(-60&gt;=N50,IF(N50&gt;=-120,0,IF(N50&gt;=-180,O50,0))))))</f>
        <v>0</v>
      </c>
      <c r="U50" s="40">
        <f>IF(N50&gt;=0,0,(IF(N50&gt;-60,0,IF(-60&gt;=N50,IF(N50&gt;-120,0,IF(N50&gt;=-180,0,IF(N50&gt;=-365,O50,0)))))))</f>
        <v>0</v>
      </c>
      <c r="V50" s="40">
        <f>IF(N50&gt;=0,0,IF(365&lt;-N50,O50,0))</f>
        <v>0</v>
      </c>
    </row>
    <row r="51" spans="1:22" s="99" customFormat="1" ht="19.5" customHeight="1">
      <c r="A51" s="104"/>
      <c r="B51" s="104"/>
      <c r="C51" s="106"/>
      <c r="D51" s="107"/>
      <c r="E51" s="108">
        <f t="shared" ref="E51:K51" si="19">SUM(E50:E50)</f>
        <v>1739.9666666666667</v>
      </c>
      <c r="F51" s="108">
        <f t="shared" si="19"/>
        <v>0</v>
      </c>
      <c r="G51" s="108">
        <f t="shared" si="19"/>
        <v>0</v>
      </c>
      <c r="H51" s="108">
        <f t="shared" si="19"/>
        <v>0</v>
      </c>
      <c r="I51" s="108">
        <f t="shared" si="19"/>
        <v>1739.9666666666667</v>
      </c>
      <c r="J51" s="113">
        <f t="shared" si="19"/>
        <v>2087.96</v>
      </c>
      <c r="K51" s="113">
        <f t="shared" si="19"/>
        <v>2087.96</v>
      </c>
      <c r="L51" s="109"/>
      <c r="M51" s="109"/>
      <c r="N51" s="110"/>
      <c r="O51" s="108">
        <f>SUM(O50:O50)</f>
        <v>0</v>
      </c>
      <c r="P51" s="108" t="e">
        <f>SUM(P50:P50)</f>
        <v>#REF!</v>
      </c>
      <c r="Q51" s="111"/>
      <c r="R51" s="112">
        <f>SUM(R50:R50)</f>
        <v>0</v>
      </c>
      <c r="S51" s="112">
        <f>SUM(S50:S50)</f>
        <v>0</v>
      </c>
      <c r="T51" s="112">
        <f>SUM(T50:T50)</f>
        <v>0</v>
      </c>
      <c r="U51" s="112">
        <f>SUM(U50:U50)</f>
        <v>0</v>
      </c>
      <c r="V51" s="112">
        <f>SUM(V50:V50)</f>
        <v>0</v>
      </c>
    </row>
    <row r="52" spans="1:22" ht="19.5" customHeight="1">
      <c r="A52" s="41" t="s">
        <v>132</v>
      </c>
      <c r="B52" s="41"/>
      <c r="C52" s="43"/>
      <c r="D52" s="44"/>
      <c r="E52" s="36">
        <f>3791843.69/1.2</f>
        <v>3159869.7416666667</v>
      </c>
      <c r="F52" s="36">
        <f>-E52*$F$10</f>
        <v>0</v>
      </c>
      <c r="G52" s="36">
        <f>E52*$G$10</f>
        <v>0</v>
      </c>
      <c r="H52" s="36"/>
      <c r="I52" s="36">
        <f>+E52+F52-G52-H52</f>
        <v>3159869.7416666667</v>
      </c>
      <c r="J52" s="36">
        <f>+I52+(I52*$I$4)</f>
        <v>3791843.69</v>
      </c>
      <c r="K52" s="36">
        <v>3791843.69</v>
      </c>
      <c r="L52" s="37"/>
      <c r="M52" s="37"/>
      <c r="N52" s="92">
        <f>-IF(L52=0,,IF(M52=0,($C$10-L52),M52-L52))</f>
        <v>0</v>
      </c>
      <c r="O52" s="36">
        <f>+J52-K52</f>
        <v>0</v>
      </c>
      <c r="P52" s="36" t="e">
        <f>+IF($C$10&lt;L52,0,O52)</f>
        <v>#REF!</v>
      </c>
      <c r="Q52" s="39"/>
      <c r="R52" s="40">
        <f>IF(N52&gt;=0,0,(IF(-N52&lt;=60,O52,0)))</f>
        <v>0</v>
      </c>
      <c r="S52" s="40">
        <f>IF(N52&gt;=0,0,(IF(N52&gt;=-60,0,IF(-60&gt;=N52,IF(N52&gt;=-120,O52,0)))))</f>
        <v>0</v>
      </c>
      <c r="T52" s="40">
        <f>IF(N52&gt;=0,0,(IF(N52&gt;-60,0,IF(-60&gt;=N52,IF(N52&gt;=-120,0,IF(N52&gt;=-180,O52,0))))))</f>
        <v>0</v>
      </c>
      <c r="U52" s="40">
        <f>IF(N52&gt;=0,0,(IF(N52&gt;-60,0,IF(-60&gt;=N52,IF(N52&gt;-120,0,IF(N52&gt;=-180,0,IF(N52&gt;=-365,O52,0)))))))</f>
        <v>0</v>
      </c>
      <c r="V52" s="40">
        <f>IF(N52&gt;=0,0,IF(365&lt;-N52,O52,0))</f>
        <v>0</v>
      </c>
    </row>
    <row r="53" spans="1:22" s="99" customFormat="1" ht="19.5" customHeight="1">
      <c r="A53" s="104"/>
      <c r="B53" s="104"/>
      <c r="C53" s="106"/>
      <c r="D53" s="107"/>
      <c r="E53" s="108">
        <f t="shared" ref="E53:K53" si="20">SUM(E52:E52)</f>
        <v>3159869.7416666667</v>
      </c>
      <c r="F53" s="108">
        <f t="shared" si="20"/>
        <v>0</v>
      </c>
      <c r="G53" s="108">
        <f t="shared" si="20"/>
        <v>0</v>
      </c>
      <c r="H53" s="108">
        <f t="shared" si="20"/>
        <v>0</v>
      </c>
      <c r="I53" s="108">
        <f t="shared" si="20"/>
        <v>3159869.7416666667</v>
      </c>
      <c r="J53" s="113">
        <f t="shared" si="20"/>
        <v>3791843.69</v>
      </c>
      <c r="K53" s="113">
        <f t="shared" si="20"/>
        <v>3791843.69</v>
      </c>
      <c r="L53" s="109"/>
      <c r="M53" s="109"/>
      <c r="N53" s="110"/>
      <c r="O53" s="108">
        <f>SUM(O52:O52)</f>
        <v>0</v>
      </c>
      <c r="P53" s="108" t="e">
        <f>SUM(P52:P52)</f>
        <v>#REF!</v>
      </c>
      <c r="Q53" s="111"/>
      <c r="R53" s="112">
        <f>SUM(R52:R52)</f>
        <v>0</v>
      </c>
      <c r="S53" s="112">
        <f>SUM(S52:S52)</f>
        <v>0</v>
      </c>
      <c r="T53" s="112">
        <f>SUM(T52:T52)</f>
        <v>0</v>
      </c>
      <c r="U53" s="112">
        <f>SUM(U52:U52)</f>
        <v>0</v>
      </c>
      <c r="V53" s="112">
        <f>SUM(V52:V52)</f>
        <v>0</v>
      </c>
    </row>
    <row r="54" spans="1:22" ht="19.5" customHeight="1">
      <c r="A54" s="41" t="s">
        <v>68</v>
      </c>
      <c r="B54" s="41"/>
      <c r="C54" s="43"/>
      <c r="D54" s="44"/>
      <c r="E54" s="36">
        <f>2761718.2/1.2</f>
        <v>2301431.8333333335</v>
      </c>
      <c r="F54" s="36">
        <f>-E54*$F$10</f>
        <v>0</v>
      </c>
      <c r="G54" s="36">
        <f>E54*$G$10</f>
        <v>0</v>
      </c>
      <c r="H54" s="36"/>
      <c r="I54" s="36">
        <f>+E54+F54-G54-H54</f>
        <v>2301431.8333333335</v>
      </c>
      <c r="J54" s="36">
        <f>+I54+(I54*$I$4)</f>
        <v>2761718.2</v>
      </c>
      <c r="K54" s="36">
        <v>2761718.2</v>
      </c>
      <c r="L54" s="37"/>
      <c r="M54" s="37"/>
      <c r="N54" s="92">
        <f>-IF(L54=0,,IF(M54=0,($C$10-L54),M54-L54))</f>
        <v>0</v>
      </c>
      <c r="O54" s="36">
        <f>+J54-K54</f>
        <v>0</v>
      </c>
      <c r="P54" s="36" t="e">
        <f>+IF($C$10&lt;L54,0,O54)</f>
        <v>#REF!</v>
      </c>
      <c r="Q54" s="39"/>
      <c r="R54" s="40">
        <f>IF(N54&gt;=0,0,(IF(-N54&lt;=60,O54,0)))</f>
        <v>0</v>
      </c>
      <c r="S54" s="40">
        <f>IF(N54&gt;=0,0,(IF(N54&gt;=-60,0,IF(-60&gt;=N54,IF(N54&gt;=-120,O54,0)))))</f>
        <v>0</v>
      </c>
      <c r="T54" s="40">
        <f>IF(N54&gt;=0,0,(IF(N54&gt;-60,0,IF(-60&gt;=N54,IF(N54&gt;=-120,0,IF(N54&gt;=-180,O54,0))))))</f>
        <v>0</v>
      </c>
      <c r="U54" s="40">
        <f>IF(N54&gt;=0,0,(IF(N54&gt;-60,0,IF(-60&gt;=N54,IF(N54&gt;-120,0,IF(N54&gt;=-180,0,IF(N54&gt;=-365,O54,0)))))))</f>
        <v>0</v>
      </c>
      <c r="V54" s="40">
        <f>IF(N54&gt;=0,0,IF(365&lt;-N54,O54,0))</f>
        <v>0</v>
      </c>
    </row>
    <row r="55" spans="1:22" s="99" customFormat="1" ht="19.5" customHeight="1">
      <c r="A55" s="104"/>
      <c r="B55" s="104"/>
      <c r="C55" s="106"/>
      <c r="D55" s="107"/>
      <c r="E55" s="108">
        <f t="shared" ref="E55:K55" si="21">SUM(E54:E54)</f>
        <v>2301431.8333333335</v>
      </c>
      <c r="F55" s="108">
        <f t="shared" si="21"/>
        <v>0</v>
      </c>
      <c r="G55" s="108">
        <f t="shared" si="21"/>
        <v>0</v>
      </c>
      <c r="H55" s="108">
        <f t="shared" si="21"/>
        <v>0</v>
      </c>
      <c r="I55" s="108">
        <f t="shared" si="21"/>
        <v>2301431.8333333335</v>
      </c>
      <c r="J55" s="113">
        <f t="shared" si="21"/>
        <v>2761718.2</v>
      </c>
      <c r="K55" s="113">
        <f t="shared" si="21"/>
        <v>2761718.2</v>
      </c>
      <c r="L55" s="109"/>
      <c r="M55" s="109"/>
      <c r="N55" s="110"/>
      <c r="O55" s="108">
        <f>SUM(O54:O54)</f>
        <v>0</v>
      </c>
      <c r="P55" s="108" t="e">
        <f>SUM(P54:P54)</f>
        <v>#REF!</v>
      </c>
      <c r="Q55" s="111"/>
      <c r="R55" s="112">
        <f>SUM(R54:R54)</f>
        <v>0</v>
      </c>
      <c r="S55" s="112">
        <f>SUM(S54:S54)</f>
        <v>0</v>
      </c>
      <c r="T55" s="112">
        <f>SUM(T54:T54)</f>
        <v>0</v>
      </c>
      <c r="U55" s="112">
        <f>SUM(U54:U54)</f>
        <v>0</v>
      </c>
      <c r="V55" s="112">
        <f>SUM(V54:V54)</f>
        <v>0</v>
      </c>
    </row>
    <row r="56" spans="1:22" ht="19.5" customHeight="1">
      <c r="A56" s="41" t="s">
        <v>133</v>
      </c>
      <c r="B56" s="41"/>
      <c r="C56" s="43"/>
      <c r="D56" s="44"/>
      <c r="E56" s="36">
        <f>3101530.25/1.2</f>
        <v>2584608.541666667</v>
      </c>
      <c r="F56" s="36">
        <f>-E56*$F$10</f>
        <v>0</v>
      </c>
      <c r="G56" s="36">
        <f>E56*$G$10</f>
        <v>0</v>
      </c>
      <c r="H56" s="36"/>
      <c r="I56" s="36">
        <f>+E56+F56-G56-H56</f>
        <v>2584608.541666667</v>
      </c>
      <c r="J56" s="36">
        <f>+I56+(I56*$I$4)</f>
        <v>3101530.2500000005</v>
      </c>
      <c r="K56" s="36">
        <v>3101530.2500000005</v>
      </c>
      <c r="L56" s="37"/>
      <c r="M56" s="37"/>
      <c r="N56" s="92">
        <f>-IF(L56=0,,IF(M56=0,($C$10-L56),M56-L56))</f>
        <v>0</v>
      </c>
      <c r="O56" s="36">
        <f>+J56-K56</f>
        <v>0</v>
      </c>
      <c r="P56" s="36" t="e">
        <f>+IF($C$10&lt;L56,0,O56)</f>
        <v>#REF!</v>
      </c>
      <c r="Q56" s="39"/>
      <c r="R56" s="40">
        <f>IF(N56&gt;=0,0,(IF(-N56&lt;=60,O56,0)))</f>
        <v>0</v>
      </c>
      <c r="S56" s="40">
        <f>IF(N56&gt;=0,0,(IF(N56&gt;=-60,0,IF(-60&gt;=N56,IF(N56&gt;=-120,O56,0)))))</f>
        <v>0</v>
      </c>
      <c r="T56" s="40">
        <f>IF(N56&gt;=0,0,(IF(N56&gt;-60,0,IF(-60&gt;=N56,IF(N56&gt;=-120,0,IF(N56&gt;=-180,O56,0))))))</f>
        <v>0</v>
      </c>
      <c r="U56" s="40">
        <f>IF(N56&gt;=0,0,(IF(N56&gt;-60,0,IF(-60&gt;=N56,IF(N56&gt;-120,0,IF(N56&gt;=-180,0,IF(N56&gt;=-365,O56,0)))))))</f>
        <v>0</v>
      </c>
      <c r="V56" s="40">
        <f>IF(N56&gt;=0,0,IF(365&lt;-N56,O56,0))</f>
        <v>0</v>
      </c>
    </row>
    <row r="57" spans="1:22" s="99" customFormat="1" ht="19.5" customHeight="1">
      <c r="A57" s="104"/>
      <c r="B57" s="104"/>
      <c r="C57" s="106"/>
      <c r="D57" s="107"/>
      <c r="E57" s="108">
        <f t="shared" ref="E57:K57" si="22">SUM(E56:E56)</f>
        <v>2584608.541666667</v>
      </c>
      <c r="F57" s="108">
        <f t="shared" si="22"/>
        <v>0</v>
      </c>
      <c r="G57" s="108">
        <f t="shared" si="22"/>
        <v>0</v>
      </c>
      <c r="H57" s="108">
        <f t="shared" si="22"/>
        <v>0</v>
      </c>
      <c r="I57" s="108">
        <f t="shared" si="22"/>
        <v>2584608.541666667</v>
      </c>
      <c r="J57" s="113">
        <f t="shared" si="22"/>
        <v>3101530.2500000005</v>
      </c>
      <c r="K57" s="113">
        <f t="shared" si="22"/>
        <v>3101530.2500000005</v>
      </c>
      <c r="L57" s="109"/>
      <c r="M57" s="109"/>
      <c r="N57" s="110"/>
      <c r="O57" s="108">
        <f>SUM(O56:O56)</f>
        <v>0</v>
      </c>
      <c r="P57" s="108" t="e">
        <f>SUM(P56:P56)</f>
        <v>#REF!</v>
      </c>
      <c r="Q57" s="111"/>
      <c r="R57" s="112">
        <f>SUM(R56:R56)</f>
        <v>0</v>
      </c>
      <c r="S57" s="112">
        <f>SUM(S56:S56)</f>
        <v>0</v>
      </c>
      <c r="T57" s="112">
        <f>SUM(T56:T56)</f>
        <v>0</v>
      </c>
      <c r="U57" s="112">
        <f>SUM(U56:U56)</f>
        <v>0</v>
      </c>
      <c r="V57" s="112">
        <f>SUM(V56:V56)</f>
        <v>0</v>
      </c>
    </row>
    <row r="58" spans="1:22" ht="19.5" customHeight="1">
      <c r="A58" s="41" t="s">
        <v>70</v>
      </c>
      <c r="B58" s="41"/>
      <c r="C58" s="43"/>
      <c r="D58" s="44"/>
      <c r="E58" s="36">
        <f>520863/1.2</f>
        <v>434052.5</v>
      </c>
      <c r="F58" s="36">
        <f>-E58*$F$10</f>
        <v>0</v>
      </c>
      <c r="G58" s="36">
        <f>E58*$G$10</f>
        <v>0</v>
      </c>
      <c r="H58" s="36"/>
      <c r="I58" s="36">
        <f>+E58+F58-G58-H58</f>
        <v>434052.5</v>
      </c>
      <c r="J58" s="36">
        <f>+I58+(I58*$I$4)</f>
        <v>520863</v>
      </c>
      <c r="K58" s="36">
        <v>520863</v>
      </c>
      <c r="L58" s="37"/>
      <c r="M58" s="37"/>
      <c r="N58" s="92">
        <f>-IF(L58=0,,IF(M58=0,($C$10-L58),M58-L58))</f>
        <v>0</v>
      </c>
      <c r="O58" s="36">
        <f>+J58-K58</f>
        <v>0</v>
      </c>
      <c r="P58" s="36" t="e">
        <f>+IF($C$10&lt;L58,0,O58)</f>
        <v>#REF!</v>
      </c>
      <c r="Q58" s="39"/>
      <c r="R58" s="40">
        <f>IF(N58&gt;=0,0,(IF(-N58&lt;=60,O58,0)))</f>
        <v>0</v>
      </c>
      <c r="S58" s="40">
        <f>IF(N58&gt;=0,0,(IF(N58&gt;=-60,0,IF(-60&gt;=N58,IF(N58&gt;=-120,O58,0)))))</f>
        <v>0</v>
      </c>
      <c r="T58" s="40">
        <f>IF(N58&gt;=0,0,(IF(N58&gt;-60,0,IF(-60&gt;=N58,IF(N58&gt;=-120,0,IF(N58&gt;=-180,O58,0))))))</f>
        <v>0</v>
      </c>
      <c r="U58" s="40">
        <f>IF(N58&gt;=0,0,(IF(N58&gt;-60,0,IF(-60&gt;=N58,IF(N58&gt;-120,0,IF(N58&gt;=-180,0,IF(N58&gt;=-365,O58,0)))))))</f>
        <v>0</v>
      </c>
      <c r="V58" s="40">
        <f>IF(N58&gt;=0,0,IF(365&lt;-N58,O58,0))</f>
        <v>0</v>
      </c>
    </row>
    <row r="59" spans="1:22" s="99" customFormat="1" ht="13.5" customHeight="1">
      <c r="A59" s="104"/>
      <c r="B59" s="105"/>
      <c r="C59" s="106"/>
      <c r="D59" s="107"/>
      <c r="E59" s="108">
        <f t="shared" ref="E59:K59" si="23">SUM(E58:E58)</f>
        <v>434052.5</v>
      </c>
      <c r="F59" s="108">
        <f t="shared" si="23"/>
        <v>0</v>
      </c>
      <c r="G59" s="108">
        <f t="shared" si="23"/>
        <v>0</v>
      </c>
      <c r="H59" s="108">
        <f t="shared" si="23"/>
        <v>0</v>
      </c>
      <c r="I59" s="108">
        <f t="shared" si="23"/>
        <v>434052.5</v>
      </c>
      <c r="J59" s="113">
        <f t="shared" si="23"/>
        <v>520863</v>
      </c>
      <c r="K59" s="113">
        <f t="shared" si="23"/>
        <v>520863</v>
      </c>
      <c r="L59" s="109"/>
      <c r="M59" s="109"/>
      <c r="N59" s="110"/>
      <c r="O59" s="108">
        <f>SUM(O58:O58)</f>
        <v>0</v>
      </c>
      <c r="P59" s="108" t="e">
        <f>SUM(P58:P58)</f>
        <v>#REF!</v>
      </c>
      <c r="Q59" s="111"/>
      <c r="R59" s="112">
        <f>SUM(R58:R58)</f>
        <v>0</v>
      </c>
      <c r="S59" s="112">
        <f>SUM(S58:S58)</f>
        <v>0</v>
      </c>
      <c r="T59" s="112">
        <f>SUM(T58:T58)</f>
        <v>0</v>
      </c>
      <c r="U59" s="112">
        <f>SUM(U58:U58)</f>
        <v>0</v>
      </c>
      <c r="V59" s="112">
        <f>SUM(V58:V58)</f>
        <v>0</v>
      </c>
    </row>
    <row r="60" spans="1:22" ht="19.5" customHeight="1">
      <c r="A60" s="41" t="s">
        <v>196</v>
      </c>
      <c r="B60" s="41"/>
      <c r="C60" s="43"/>
      <c r="D60" s="44"/>
      <c r="E60" s="36">
        <f>10587.81/1.2</f>
        <v>8823.1749999999993</v>
      </c>
      <c r="F60" s="36">
        <f>-E60*$F$10</f>
        <v>0</v>
      </c>
      <c r="G60" s="36">
        <f>E60*$G$10</f>
        <v>0</v>
      </c>
      <c r="H60" s="36"/>
      <c r="I60" s="36">
        <f>+E60+F60-G60-H60</f>
        <v>8823.1749999999993</v>
      </c>
      <c r="J60" s="36">
        <f>+I60+(I60*$I$4)</f>
        <v>10587.81</v>
      </c>
      <c r="K60" s="36">
        <v>10587.81</v>
      </c>
      <c r="L60" s="37"/>
      <c r="M60" s="37"/>
      <c r="N60" s="92">
        <f>-IF(L60=0,,IF(M60=0,($C$10-L60),M60-L60))</f>
        <v>0</v>
      </c>
      <c r="O60" s="36">
        <f>+J60-K60</f>
        <v>0</v>
      </c>
      <c r="P60" s="36" t="e">
        <f>+IF($C$10&lt;L60,0,O60)</f>
        <v>#REF!</v>
      </c>
      <c r="Q60" s="39"/>
      <c r="R60" s="40">
        <f>IF(N60&gt;=0,0,(IF(-N60&lt;=60,O60,0)))</f>
        <v>0</v>
      </c>
      <c r="S60" s="40">
        <f>IF(N60&gt;=0,0,(IF(N60&gt;=-60,0,IF(-60&gt;=N60,IF(N60&gt;=-120,O60,0)))))</f>
        <v>0</v>
      </c>
      <c r="T60" s="40">
        <f>IF(N60&gt;=0,0,(IF(N60&gt;-60,0,IF(-60&gt;=N60,IF(N60&gt;=-120,0,IF(N60&gt;=-180,O60,0))))))</f>
        <v>0</v>
      </c>
      <c r="U60" s="40">
        <f>IF(N60&gt;=0,0,(IF(N60&gt;-60,0,IF(-60&gt;=N60,IF(N60&gt;-120,0,IF(N60&gt;=-180,0,IF(N60&gt;=-365,O60,0)))))))</f>
        <v>0</v>
      </c>
      <c r="V60" s="40">
        <f>IF(N60&gt;=0,0,IF(365&lt;-N60,O60,0))</f>
        <v>0</v>
      </c>
    </row>
    <row r="61" spans="1:22" s="99" customFormat="1" ht="12.75" customHeight="1">
      <c r="A61" s="104"/>
      <c r="B61" s="104"/>
      <c r="C61" s="106"/>
      <c r="D61" s="107"/>
      <c r="E61" s="108">
        <f t="shared" ref="E61:K61" si="24">SUM(E60:E60)</f>
        <v>8823.1749999999993</v>
      </c>
      <c r="F61" s="108">
        <f t="shared" si="24"/>
        <v>0</v>
      </c>
      <c r="G61" s="108">
        <f t="shared" si="24"/>
        <v>0</v>
      </c>
      <c r="H61" s="108">
        <f t="shared" si="24"/>
        <v>0</v>
      </c>
      <c r="I61" s="108">
        <f t="shared" si="24"/>
        <v>8823.1749999999993</v>
      </c>
      <c r="J61" s="113">
        <f t="shared" si="24"/>
        <v>10587.81</v>
      </c>
      <c r="K61" s="113">
        <f t="shared" si="24"/>
        <v>10587.81</v>
      </c>
      <c r="L61" s="109"/>
      <c r="M61" s="109"/>
      <c r="N61" s="110"/>
      <c r="O61" s="108">
        <f>SUM(O60:O60)</f>
        <v>0</v>
      </c>
      <c r="P61" s="108" t="e">
        <f>SUM(P60:P60)</f>
        <v>#REF!</v>
      </c>
      <c r="Q61" s="111"/>
      <c r="R61" s="112">
        <f>SUM(R60:R60)</f>
        <v>0</v>
      </c>
      <c r="S61" s="112">
        <f>SUM(S60:S60)</f>
        <v>0</v>
      </c>
      <c r="T61" s="112">
        <f>SUM(T60:T60)</f>
        <v>0</v>
      </c>
      <c r="U61" s="112">
        <f>SUM(U60:U60)</f>
        <v>0</v>
      </c>
      <c r="V61" s="112">
        <f>SUM(V60:V60)</f>
        <v>0</v>
      </c>
    </row>
    <row r="62" spans="1:22" ht="19.5" customHeight="1">
      <c r="A62" s="41" t="s">
        <v>177</v>
      </c>
      <c r="B62" s="41"/>
      <c r="C62" s="43"/>
      <c r="D62" s="44"/>
      <c r="E62" s="36">
        <f>30000/1.2</f>
        <v>25000</v>
      </c>
      <c r="F62" s="36">
        <f>-E62*$F$10</f>
        <v>0</v>
      </c>
      <c r="G62" s="36">
        <f>E62*$G$10</f>
        <v>0</v>
      </c>
      <c r="H62" s="36"/>
      <c r="I62" s="36">
        <f>+E62+F62-G62-H62</f>
        <v>25000</v>
      </c>
      <c r="J62" s="36">
        <f>+I62+(I62*$I$4)</f>
        <v>30000</v>
      </c>
      <c r="K62" s="36">
        <v>30000</v>
      </c>
      <c r="L62" s="37"/>
      <c r="M62" s="37"/>
      <c r="N62" s="92">
        <f>-IF(L62=0,,IF(M62=0,($C$10-L62),M62-L62))</f>
        <v>0</v>
      </c>
      <c r="O62" s="36">
        <f>+J62-K62</f>
        <v>0</v>
      </c>
      <c r="P62" s="36" t="e">
        <f>+IF($C$10&lt;L62,0,O62)</f>
        <v>#REF!</v>
      </c>
      <c r="Q62" s="39"/>
      <c r="R62" s="40">
        <f>IF(N62&gt;=0,0,(IF(-N62&lt;=60,O62,0)))</f>
        <v>0</v>
      </c>
      <c r="S62" s="40">
        <f>IF(N62&gt;=0,0,(IF(N62&gt;=-60,0,IF(-60&gt;=N62,IF(N62&gt;=-120,O62,0)))))</f>
        <v>0</v>
      </c>
      <c r="T62" s="40">
        <f>IF(N62&gt;=0,0,(IF(N62&gt;-60,0,IF(-60&gt;=N62,IF(N62&gt;=-120,0,IF(N62&gt;=-180,O62,0))))))</f>
        <v>0</v>
      </c>
      <c r="U62" s="40">
        <f>IF(N62&gt;=0,0,(IF(N62&gt;-60,0,IF(-60&gt;=N62,IF(N62&gt;-120,0,IF(N62&gt;=-180,0,IF(N62&gt;=-365,O62,0)))))))</f>
        <v>0</v>
      </c>
      <c r="V62" s="40">
        <f>IF(N62&gt;=0,0,IF(365&lt;-N62,O62,0))</f>
        <v>0</v>
      </c>
    </row>
    <row r="63" spans="1:22" s="99" customFormat="1" ht="13.5" customHeight="1">
      <c r="A63" s="104"/>
      <c r="B63" s="105"/>
      <c r="C63" s="106"/>
      <c r="D63" s="107"/>
      <c r="E63" s="108">
        <f t="shared" ref="E63:K63" si="25">SUM(E62:E62)</f>
        <v>25000</v>
      </c>
      <c r="F63" s="108">
        <f t="shared" si="25"/>
        <v>0</v>
      </c>
      <c r="G63" s="108">
        <f t="shared" si="25"/>
        <v>0</v>
      </c>
      <c r="H63" s="108">
        <f t="shared" si="25"/>
        <v>0</v>
      </c>
      <c r="I63" s="108">
        <f t="shared" si="25"/>
        <v>25000</v>
      </c>
      <c r="J63" s="113">
        <f t="shared" si="25"/>
        <v>30000</v>
      </c>
      <c r="K63" s="113">
        <f t="shared" si="25"/>
        <v>30000</v>
      </c>
      <c r="L63" s="109"/>
      <c r="M63" s="109"/>
      <c r="N63" s="110"/>
      <c r="O63" s="108">
        <f>SUM(O62:O62)</f>
        <v>0</v>
      </c>
      <c r="P63" s="108" t="e">
        <f>SUM(P62:P62)</f>
        <v>#REF!</v>
      </c>
      <c r="Q63" s="111"/>
      <c r="R63" s="112">
        <f>SUM(R62:R62)</f>
        <v>0</v>
      </c>
      <c r="S63" s="112">
        <f>SUM(S62:S62)</f>
        <v>0</v>
      </c>
      <c r="T63" s="112">
        <f>SUM(T62:T62)</f>
        <v>0</v>
      </c>
      <c r="U63" s="112">
        <f>SUM(U62:U62)</f>
        <v>0</v>
      </c>
      <c r="V63" s="112">
        <f>SUM(V62:V62)</f>
        <v>0</v>
      </c>
    </row>
    <row r="64" spans="1:22" ht="19.5" customHeight="1">
      <c r="A64" s="41" t="s">
        <v>93</v>
      </c>
      <c r="B64" s="41"/>
      <c r="C64" s="43"/>
      <c r="D64" s="44"/>
      <c r="E64" s="36">
        <f>1920151.2/1.2</f>
        <v>1600126</v>
      </c>
      <c r="F64" s="36">
        <f>-E64*$F$10</f>
        <v>0</v>
      </c>
      <c r="G64" s="36">
        <f>E64*$G$10</f>
        <v>0</v>
      </c>
      <c r="H64" s="36"/>
      <c r="I64" s="36">
        <f>+E64+F64-G64-H64</f>
        <v>1600126</v>
      </c>
      <c r="J64" s="36">
        <f>+I64+(I64*$I$4)</f>
        <v>1920151.2</v>
      </c>
      <c r="K64" s="36">
        <v>1920151.2</v>
      </c>
      <c r="L64" s="37"/>
      <c r="M64" s="37"/>
      <c r="N64" s="92">
        <f>-IF(L64=0,,IF(M64=0,($C$10-L64),M64-L64))</f>
        <v>0</v>
      </c>
      <c r="O64" s="36">
        <f>+J64-K64</f>
        <v>0</v>
      </c>
      <c r="P64" s="36" t="e">
        <f>+IF($C$10&lt;L64,0,O64)</f>
        <v>#REF!</v>
      </c>
      <c r="Q64" s="39"/>
      <c r="R64" s="40">
        <f>IF(N64&gt;=0,0,(IF(-N64&lt;=60,O64,0)))</f>
        <v>0</v>
      </c>
      <c r="S64" s="40">
        <f>IF(N64&gt;=0,0,(IF(N64&gt;=-60,0,IF(-60&gt;=N64,IF(N64&gt;=-120,O64,0)))))</f>
        <v>0</v>
      </c>
      <c r="T64" s="40">
        <f>IF(N64&gt;=0,0,(IF(N64&gt;-60,0,IF(-60&gt;=N64,IF(N64&gt;=-120,0,IF(N64&gt;=-180,O64,0))))))</f>
        <v>0</v>
      </c>
      <c r="U64" s="40">
        <f>IF(N64&gt;=0,0,(IF(N64&gt;-60,0,IF(-60&gt;=N64,IF(N64&gt;-120,0,IF(N64&gt;=-180,0,IF(N64&gt;=-365,O64,0)))))))</f>
        <v>0</v>
      </c>
      <c r="V64" s="40">
        <f>IF(N64&gt;=0,0,IF(365&lt;-N64,O64,0))</f>
        <v>0</v>
      </c>
    </row>
    <row r="65" spans="1:22" s="99" customFormat="1" ht="19.5" customHeight="1">
      <c r="A65" s="104"/>
      <c r="B65" s="104"/>
      <c r="C65" s="106"/>
      <c r="D65" s="107"/>
      <c r="E65" s="108">
        <f t="shared" ref="E65:K65" si="26">SUM(E64:E64)</f>
        <v>1600126</v>
      </c>
      <c r="F65" s="108">
        <f t="shared" si="26"/>
        <v>0</v>
      </c>
      <c r="G65" s="108">
        <f t="shared" si="26"/>
        <v>0</v>
      </c>
      <c r="H65" s="108">
        <f t="shared" si="26"/>
        <v>0</v>
      </c>
      <c r="I65" s="108">
        <f t="shared" si="26"/>
        <v>1600126</v>
      </c>
      <c r="J65" s="113">
        <f t="shared" si="26"/>
        <v>1920151.2</v>
      </c>
      <c r="K65" s="113">
        <f t="shared" si="26"/>
        <v>1920151.2</v>
      </c>
      <c r="L65" s="109"/>
      <c r="M65" s="109"/>
      <c r="N65" s="110"/>
      <c r="O65" s="108">
        <f>SUM(O64)</f>
        <v>0</v>
      </c>
      <c r="P65" s="108" t="e">
        <f>SUM(P64)</f>
        <v>#REF!</v>
      </c>
      <c r="Q65" s="111"/>
      <c r="R65" s="112">
        <f>SUM(R64)</f>
        <v>0</v>
      </c>
      <c r="S65" s="112">
        <f>SUM(S64)</f>
        <v>0</v>
      </c>
      <c r="T65" s="112">
        <f>SUM(T64)</f>
        <v>0</v>
      </c>
      <c r="U65" s="112">
        <f>SUM(U64)</f>
        <v>0</v>
      </c>
      <c r="V65" s="112">
        <f>SUM(V64)</f>
        <v>0</v>
      </c>
    </row>
    <row r="66" spans="1:22" ht="19.5" customHeight="1" thickBot="1">
      <c r="A66" s="41"/>
      <c r="B66" s="42"/>
      <c r="C66" s="43"/>
      <c r="D66" s="44"/>
      <c r="E66" s="36"/>
      <c r="F66" s="36"/>
      <c r="G66" s="36"/>
      <c r="H66" s="36"/>
      <c r="I66" s="36"/>
      <c r="J66" s="36"/>
      <c r="K66" s="36"/>
      <c r="L66" s="37"/>
      <c r="M66" s="37"/>
      <c r="N66" s="38"/>
      <c r="O66" s="36"/>
      <c r="P66" s="42" t="e">
        <f>+IF($C$10&lt;L66,0,O66)</f>
        <v>#REF!</v>
      </c>
      <c r="Q66" s="39"/>
      <c r="R66" s="97"/>
      <c r="S66" s="97"/>
      <c r="T66" s="97"/>
      <c r="U66" s="97"/>
      <c r="V66" s="97"/>
    </row>
    <row r="67" spans="1:22" s="111" customFormat="1" ht="28.5" customHeight="1" thickBot="1">
      <c r="A67" s="120"/>
      <c r="B67" s="121" t="s">
        <v>43</v>
      </c>
      <c r="C67" s="121"/>
      <c r="D67" s="121"/>
      <c r="E67" s="122">
        <f t="shared" ref="E67:K67" si="27">SUM(E12:E66)/2</f>
        <v>26335629.233333323</v>
      </c>
      <c r="F67" s="122">
        <f t="shared" si="27"/>
        <v>0</v>
      </c>
      <c r="G67" s="122">
        <f t="shared" si="27"/>
        <v>0</v>
      </c>
      <c r="H67" s="122">
        <f t="shared" si="27"/>
        <v>0</v>
      </c>
      <c r="I67" s="122">
        <f t="shared" si="27"/>
        <v>26335629.233333323</v>
      </c>
      <c r="J67" s="122">
        <f t="shared" si="27"/>
        <v>31602755.080000006</v>
      </c>
      <c r="K67" s="122">
        <f t="shared" si="27"/>
        <v>31602755.080000006</v>
      </c>
      <c r="L67" s="123"/>
      <c r="M67" s="123"/>
      <c r="N67" s="123"/>
      <c r="O67" s="122">
        <f>SUM(O12:O66)/2</f>
        <v>0</v>
      </c>
      <c r="P67" s="122" t="e">
        <f>SUM(P12:P66)/2</f>
        <v>#REF!</v>
      </c>
      <c r="R67" s="124">
        <f>SUM(R12:R66)/2</f>
        <v>0</v>
      </c>
      <c r="S67" s="124">
        <f>SUM(S12:S66)/2</f>
        <v>0</v>
      </c>
      <c r="T67" s="124">
        <f>SUM(T12:T66)/2</f>
        <v>0</v>
      </c>
      <c r="U67" s="124">
        <f>SUM(U12:U66)/2</f>
        <v>0</v>
      </c>
      <c r="V67" s="124">
        <f>SUM(V12:V66)/2</f>
        <v>0</v>
      </c>
    </row>
    <row r="68" spans="1:22" ht="21" customHeight="1">
      <c r="A68" s="45"/>
      <c r="B68" s="46"/>
      <c r="C68" s="46"/>
      <c r="D68" s="47" t="s">
        <v>44</v>
      </c>
      <c r="E68" s="48">
        <f>+E67/$M$7</f>
        <v>1.0000000001265708</v>
      </c>
      <c r="F68" s="46"/>
      <c r="G68" s="46"/>
      <c r="H68" s="46"/>
      <c r="I68" s="46"/>
      <c r="J68" s="47" t="s">
        <v>45</v>
      </c>
      <c r="K68" s="48">
        <f>+K67/J67</f>
        <v>1</v>
      </c>
      <c r="L68" s="46"/>
      <c r="M68" s="46"/>
      <c r="N68" s="46"/>
      <c r="O68" s="46"/>
      <c r="P68" s="49"/>
      <c r="Q68" s="39"/>
      <c r="R68" s="39"/>
      <c r="S68" s="39"/>
      <c r="T68" s="39"/>
      <c r="U68" s="39"/>
      <c r="V68" s="39"/>
    </row>
    <row r="69" spans="1:22" ht="21" customHeight="1" thickBot="1">
      <c r="A69" s="50"/>
      <c r="B69" s="51"/>
      <c r="C69" s="51"/>
      <c r="D69" s="52" t="s">
        <v>46</v>
      </c>
      <c r="E69" s="53">
        <f>+$M$7-$E$67</f>
        <v>-3.3333227038383484E-3</v>
      </c>
      <c r="F69" s="54">
        <f>+E69/M7</f>
        <v>-1.2657083963048899E-10</v>
      </c>
      <c r="G69" s="51"/>
      <c r="H69" s="51"/>
      <c r="I69" s="51"/>
      <c r="J69" s="117"/>
      <c r="K69" s="51"/>
      <c r="L69" s="51"/>
      <c r="M69" s="51"/>
      <c r="N69" s="51"/>
      <c r="O69" s="51"/>
      <c r="P69" s="55"/>
      <c r="Q69" s="39"/>
      <c r="R69" s="39"/>
      <c r="S69" s="39"/>
      <c r="T69" s="39"/>
      <c r="U69" s="39"/>
      <c r="V69" s="39"/>
    </row>
    <row r="70" spans="1:22">
      <c r="A70" s="39"/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9"/>
      <c r="O70" s="39"/>
      <c r="P70" s="39"/>
      <c r="Q70" s="39"/>
      <c r="R70" s="39"/>
      <c r="S70" s="39"/>
      <c r="T70" s="39"/>
      <c r="U70" s="39"/>
      <c r="V70" s="39"/>
    </row>
    <row r="71" spans="1:22" ht="21">
      <c r="A71" s="39"/>
      <c r="B71" s="56"/>
      <c r="C71" s="91" t="s">
        <v>47</v>
      </c>
      <c r="D71" s="91"/>
      <c r="E71" s="91"/>
      <c r="F71" s="91"/>
      <c r="G71" s="91"/>
      <c r="H71" s="91" t="s">
        <v>197</v>
      </c>
      <c r="I71" s="57"/>
      <c r="J71" s="57"/>
      <c r="K71" s="57"/>
      <c r="L71" s="57"/>
      <c r="M71" s="57"/>
      <c r="N71" s="58"/>
      <c r="O71" s="39"/>
      <c r="P71" s="39"/>
      <c r="Q71" s="39"/>
      <c r="R71" s="39"/>
      <c r="S71" s="39"/>
      <c r="T71" s="39"/>
      <c r="U71" s="39"/>
      <c r="V71" s="39"/>
    </row>
    <row r="72" spans="1:22" ht="17.25" thickBot="1">
      <c r="A72" s="39"/>
      <c r="B72" s="56"/>
      <c r="C72" s="57"/>
      <c r="D72" s="57"/>
      <c r="E72" s="57"/>
      <c r="F72" s="57"/>
      <c r="G72" s="59"/>
      <c r="H72" s="57"/>
      <c r="I72" s="57"/>
      <c r="J72" s="57"/>
      <c r="K72" s="57"/>
      <c r="L72" s="57"/>
      <c r="M72" s="57"/>
      <c r="N72" s="58"/>
      <c r="O72" s="39"/>
      <c r="P72" s="39"/>
      <c r="Q72" s="39"/>
      <c r="R72" s="39"/>
      <c r="S72" s="39"/>
      <c r="T72" s="39"/>
      <c r="U72" s="39"/>
      <c r="V72" s="39"/>
    </row>
    <row r="73" spans="1:22" ht="18" customHeight="1" thickBot="1">
      <c r="A73" s="39"/>
      <c r="B73" s="56"/>
      <c r="C73" s="158" t="s">
        <v>48</v>
      </c>
      <c r="D73" s="159"/>
      <c r="E73" s="160"/>
      <c r="F73" s="79" t="s">
        <v>57</v>
      </c>
      <c r="G73" s="61">
        <f>+M7</f>
        <v>26335629.23</v>
      </c>
      <c r="H73" s="60"/>
      <c r="I73" s="62"/>
      <c r="J73" s="60"/>
      <c r="K73" s="60"/>
      <c r="L73" s="60"/>
      <c r="M73" s="60"/>
      <c r="N73" s="63"/>
      <c r="O73" s="39"/>
      <c r="P73" s="39"/>
      <c r="Q73" s="39"/>
      <c r="R73" s="39"/>
      <c r="S73" s="39"/>
      <c r="T73" s="39"/>
      <c r="U73" s="39"/>
      <c r="V73" s="39"/>
    </row>
    <row r="74" spans="1:22" ht="17.25" thickBot="1">
      <c r="A74" s="39"/>
      <c r="B74" s="56"/>
      <c r="C74" s="79"/>
      <c r="D74" s="79"/>
      <c r="E74" s="79"/>
      <c r="F74" s="79"/>
      <c r="G74" s="60"/>
      <c r="H74" s="60"/>
      <c r="I74" s="60"/>
      <c r="J74" s="60"/>
      <c r="K74" s="60"/>
      <c r="L74" s="60"/>
      <c r="M74" s="60"/>
      <c r="N74" s="63"/>
      <c r="O74" s="39"/>
      <c r="P74" s="39"/>
      <c r="Q74" s="39"/>
      <c r="R74" s="39"/>
      <c r="S74" s="39"/>
      <c r="T74" s="39"/>
      <c r="U74" s="39"/>
      <c r="V74" s="39"/>
    </row>
    <row r="75" spans="1:22" ht="18" customHeight="1" thickBot="1">
      <c r="A75" s="39"/>
      <c r="B75" s="56"/>
      <c r="C75" s="149" t="s">
        <v>49</v>
      </c>
      <c r="D75" s="150"/>
      <c r="E75" s="151"/>
      <c r="F75" s="79" t="s">
        <v>57</v>
      </c>
      <c r="G75" s="64">
        <f>+E67</f>
        <v>26335629.233333323</v>
      </c>
      <c r="H75" s="60"/>
      <c r="I75" s="60"/>
      <c r="J75" s="65">
        <f>G75/G73</f>
        <v>1.0000000001265708</v>
      </c>
      <c r="K75" s="100" t="s">
        <v>50</v>
      </c>
      <c r="L75" s="66"/>
      <c r="M75" s="66"/>
      <c r="N75" s="63"/>
      <c r="O75" s="39"/>
      <c r="P75" s="39"/>
      <c r="Q75" s="39"/>
      <c r="R75" s="39"/>
      <c r="S75" s="39"/>
      <c r="T75" s="39"/>
      <c r="U75" s="39"/>
      <c r="V75" s="39"/>
    </row>
    <row r="76" spans="1:22" ht="17.25" thickBot="1">
      <c r="B76" s="67"/>
      <c r="C76" s="79"/>
      <c r="D76" s="79"/>
      <c r="E76" s="79"/>
      <c r="F76" s="79"/>
      <c r="G76" s="60"/>
      <c r="H76" s="60"/>
      <c r="I76" s="60"/>
      <c r="J76" s="60"/>
      <c r="K76" s="101"/>
      <c r="L76" s="60"/>
      <c r="M76" s="60"/>
      <c r="N76" s="63"/>
    </row>
    <row r="77" spans="1:22" ht="18" customHeight="1" thickBot="1">
      <c r="B77" s="67"/>
      <c r="C77" s="152" t="s">
        <v>58</v>
      </c>
      <c r="D77" s="153"/>
      <c r="E77" s="154"/>
      <c r="F77" s="79" t="s">
        <v>56</v>
      </c>
      <c r="G77" s="68">
        <f>+K67</f>
        <v>31602755.080000006</v>
      </c>
      <c r="H77" s="60"/>
      <c r="I77" s="60"/>
      <c r="J77" s="69">
        <f>+G77/J67</f>
        <v>1</v>
      </c>
      <c r="K77" s="102" t="s">
        <v>51</v>
      </c>
      <c r="L77" s="70"/>
      <c r="M77" s="70"/>
      <c r="N77" s="63"/>
    </row>
    <row r="78" spans="1:22" ht="17.25" thickBot="1">
      <c r="B78" s="67"/>
      <c r="C78" s="79"/>
      <c r="D78" s="79"/>
      <c r="E78" s="79"/>
      <c r="F78" s="79"/>
      <c r="G78" s="60"/>
      <c r="H78" s="60"/>
      <c r="I78" s="60"/>
      <c r="J78" s="60"/>
      <c r="K78" s="101"/>
      <c r="L78" s="60"/>
      <c r="M78" s="60"/>
      <c r="N78" s="63"/>
    </row>
    <row r="79" spans="1:22" ht="18" customHeight="1" thickBot="1">
      <c r="B79" s="67"/>
      <c r="C79" s="152" t="s">
        <v>52</v>
      </c>
      <c r="D79" s="153"/>
      <c r="E79" s="154"/>
      <c r="F79" s="79" t="s">
        <v>56</v>
      </c>
      <c r="G79" s="71">
        <f>+O67</f>
        <v>0</v>
      </c>
      <c r="H79" s="60"/>
      <c r="I79" s="60"/>
      <c r="J79" s="72">
        <f>+G79/J67</f>
        <v>0</v>
      </c>
      <c r="K79" s="102" t="s">
        <v>51</v>
      </c>
      <c r="L79" s="73"/>
      <c r="M79" s="73"/>
      <c r="N79" s="63"/>
    </row>
    <row r="80" spans="1:22" ht="17.25" thickBot="1">
      <c r="B80" s="67"/>
      <c r="C80" s="79"/>
      <c r="D80" s="79"/>
      <c r="E80" s="79"/>
      <c r="F80" s="79"/>
      <c r="G80" s="60"/>
      <c r="H80" s="60"/>
      <c r="I80" s="60"/>
      <c r="J80" s="60"/>
      <c r="K80" s="101"/>
      <c r="L80" s="60"/>
      <c r="M80" s="60"/>
      <c r="N80" s="63"/>
    </row>
    <row r="81" spans="2:14" ht="18" customHeight="1" thickBot="1">
      <c r="B81" s="67"/>
      <c r="C81" s="152" t="s">
        <v>54</v>
      </c>
      <c r="D81" s="153"/>
      <c r="E81" s="154"/>
      <c r="F81" s="79" t="s">
        <v>56</v>
      </c>
      <c r="G81" s="74" t="e">
        <f>+P67</f>
        <v>#REF!</v>
      </c>
      <c r="H81" s="60"/>
      <c r="I81" s="60"/>
      <c r="J81" s="75" t="e">
        <f>+G81/J67</f>
        <v>#REF!</v>
      </c>
      <c r="K81" s="102" t="s">
        <v>51</v>
      </c>
      <c r="L81" s="70"/>
      <c r="M81" s="70"/>
      <c r="N81" s="63"/>
    </row>
    <row r="82" spans="2:14" ht="5.25" customHeight="1" thickBot="1">
      <c r="B82" s="76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8"/>
    </row>
  </sheetData>
  <mergeCells count="18">
    <mergeCell ref="C75:E75"/>
    <mergeCell ref="C77:E77"/>
    <mergeCell ref="C79:E79"/>
    <mergeCell ref="C81:E81"/>
    <mergeCell ref="M5:N5"/>
    <mergeCell ref="M6:N6"/>
    <mergeCell ref="M7:N7"/>
    <mergeCell ref="M8:N8"/>
    <mergeCell ref="O10:P10"/>
    <mergeCell ref="C73:E73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53" fitToHeight="4" orientation="landscape" r:id="rId1"/>
  <rowBreaks count="1" manualBreakCount="1">
    <brk id="69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78"/>
  <sheetViews>
    <sheetView workbookViewId="0">
      <selection activeCell="F1" sqref="F1:F2"/>
    </sheetView>
  </sheetViews>
  <sheetFormatPr baseColWidth="10" defaultColWidth="11.42578125" defaultRowHeight="16.5"/>
  <cols>
    <col min="1" max="1" width="22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11.28515625" style="7" bestFit="1" customWidth="1"/>
    <col min="23" max="16384" width="11.42578125" style="7"/>
  </cols>
  <sheetData>
    <row r="1" spans="1:24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26181228.52</v>
      </c>
      <c r="N1" s="144"/>
      <c r="O1" s="5" t="s">
        <v>3</v>
      </c>
      <c r="P1" s="6"/>
    </row>
    <row r="2" spans="1:24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4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>
        <v>-40000</v>
      </c>
      <c r="N3" s="137"/>
      <c r="O3" s="11"/>
      <c r="P3" s="12"/>
      <c r="R3" s="7" t="s">
        <v>185</v>
      </c>
    </row>
    <row r="4" spans="1:24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4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4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4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26141228.52</v>
      </c>
      <c r="N7" s="145"/>
      <c r="O7" s="11"/>
      <c r="P7" s="12"/>
    </row>
    <row r="8" spans="1:24">
      <c r="A8" s="23" t="s">
        <v>18</v>
      </c>
      <c r="B8" s="24"/>
      <c r="C8" s="24"/>
      <c r="D8" s="25" t="s">
        <v>186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31369474.223999999</v>
      </c>
      <c r="N8" s="146"/>
      <c r="O8" s="30"/>
      <c r="P8" s="31"/>
    </row>
    <row r="10" spans="1:24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O10" s="147" t="s">
        <v>22</v>
      </c>
      <c r="P10" s="148"/>
    </row>
    <row r="11" spans="1:24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4" ht="19.5" customHeight="1">
      <c r="A12" s="41" t="s">
        <v>94</v>
      </c>
      <c r="B12" s="42"/>
      <c r="C12" s="126"/>
      <c r="D12" s="44"/>
      <c r="E12" s="36">
        <f>912332.1/1.2</f>
        <v>760276.75</v>
      </c>
      <c r="F12" s="36">
        <v>0</v>
      </c>
      <c r="G12" s="36">
        <v>0</v>
      </c>
      <c r="H12" s="36"/>
      <c r="I12" s="36">
        <f>+E12+F12-G12-H12</f>
        <v>760276.75</v>
      </c>
      <c r="J12" s="36">
        <f>+I12+(I12*$I$4)</f>
        <v>912332.1</v>
      </c>
      <c r="K12" s="36">
        <v>912332.1</v>
      </c>
      <c r="L12" s="37"/>
      <c r="M12" s="37"/>
      <c r="N12" s="92">
        <f>-IF(L12=0,,IF(M12=0,($C$10-L12),M12-L12))</f>
        <v>0</v>
      </c>
      <c r="O12" s="36">
        <f>+J12-K12</f>
        <v>0</v>
      </c>
      <c r="P12" s="36" t="e">
        <f>+IF($C$10&lt;L12,0,O12)</f>
        <v>#REF!</v>
      </c>
      <c r="Q12" s="39"/>
      <c r="R12" s="40">
        <f>IF(N12&gt;=0,0,(IF(-N12&lt;=60,O12,0)))</f>
        <v>0</v>
      </c>
      <c r="S12" s="40">
        <f>IF(N12&gt;=0,0,(IF(N12&gt;=-60,0,IF(-60&gt;=N12,IF(N12&gt;=-120,O12,0)))))</f>
        <v>0</v>
      </c>
      <c r="T12" s="40">
        <f>IF(N12&gt;=0,0,(IF(N12&gt;-60,0,IF(-60&gt;=N12,IF(N12&gt;=-120,0,IF(N12&gt;=-180,O12,0))))))</f>
        <v>0</v>
      </c>
      <c r="U12" s="40">
        <f>IF(N12&gt;=0,0,(IF(N12&gt;-60,0,IF(-60&gt;=N12,IF(N12&gt;-120,0,IF(N12&gt;=-180,0,IF(N12&gt;=-365,O12,0)))))))</f>
        <v>0</v>
      </c>
      <c r="V12" s="40">
        <f>IF(N12&gt;=0,0,IF(365&lt;-N12,O12,0))</f>
        <v>0</v>
      </c>
      <c r="X12" s="7" t="s">
        <v>187</v>
      </c>
    </row>
    <row r="13" spans="1:24" s="99" customFormat="1" ht="19.5" customHeight="1">
      <c r="A13" s="104"/>
      <c r="B13" s="105"/>
      <c r="C13" s="106"/>
      <c r="D13" s="107"/>
      <c r="E13" s="108">
        <f t="shared" ref="E13:K13" si="0">SUM(E12:E12)</f>
        <v>760276.75</v>
      </c>
      <c r="F13" s="108">
        <f t="shared" si="0"/>
        <v>0</v>
      </c>
      <c r="G13" s="108">
        <f t="shared" si="0"/>
        <v>0</v>
      </c>
      <c r="H13" s="108">
        <f t="shared" si="0"/>
        <v>0</v>
      </c>
      <c r="I13" s="108">
        <f t="shared" si="0"/>
        <v>760276.75</v>
      </c>
      <c r="J13" s="113">
        <f t="shared" si="0"/>
        <v>912332.1</v>
      </c>
      <c r="K13" s="113">
        <f t="shared" si="0"/>
        <v>912332.1</v>
      </c>
      <c r="L13" s="109"/>
      <c r="M13" s="109"/>
      <c r="N13" s="110"/>
      <c r="O13" s="108">
        <f>SUM(O12:O12)</f>
        <v>0</v>
      </c>
      <c r="P13" s="108" t="e">
        <f>SUM(P12:P12)</f>
        <v>#REF!</v>
      </c>
      <c r="Q13" s="114"/>
      <c r="R13" s="115">
        <f>SUM(R12:R12)</f>
        <v>0</v>
      </c>
      <c r="S13" s="115">
        <f>SUM(S12:S12)</f>
        <v>0</v>
      </c>
      <c r="T13" s="115">
        <f>SUM(T12:T12)</f>
        <v>0</v>
      </c>
      <c r="U13" s="115">
        <f>SUM(U12:U12)</f>
        <v>0</v>
      </c>
      <c r="V13" s="115">
        <f>SUM(V12:V12)</f>
        <v>0</v>
      </c>
    </row>
    <row r="14" spans="1:24" ht="19.5" customHeight="1">
      <c r="A14" s="41" t="s">
        <v>97</v>
      </c>
      <c r="B14" s="42"/>
      <c r="C14" s="125"/>
      <c r="D14" s="44"/>
      <c r="E14" s="36">
        <f>115590.01/1.2</f>
        <v>96325.008333333331</v>
      </c>
      <c r="F14" s="36">
        <f>-E14*$F$10</f>
        <v>0</v>
      </c>
      <c r="G14" s="36">
        <f>E14*$G$10</f>
        <v>0</v>
      </c>
      <c r="H14" s="36"/>
      <c r="I14" s="36">
        <f>+E14+F14-G14-H14</f>
        <v>96325.008333333331</v>
      </c>
      <c r="J14" s="36">
        <f>+I14+(I14*$I$4)</f>
        <v>115590.01</v>
      </c>
      <c r="K14" s="36">
        <v>115590.01</v>
      </c>
      <c r="L14" s="37"/>
      <c r="M14" s="37"/>
      <c r="N14" s="92">
        <f>-IF(L14=0,,IF(M14=0,($C$10-L14),M14-L14))</f>
        <v>0</v>
      </c>
      <c r="O14" s="36">
        <f>+J14-K14</f>
        <v>0</v>
      </c>
      <c r="P14" s="36" t="e">
        <f>+IF($C$10&lt;L14,0,O14)</f>
        <v>#REF!</v>
      </c>
      <c r="Q14" s="39"/>
      <c r="R14" s="40">
        <f>IF(N14&gt;=0,0,(IF(-N14&lt;=60,O14,0)))</f>
        <v>0</v>
      </c>
      <c r="S14" s="40">
        <f>IF(N14&gt;=0,0,(IF(N14&gt;=-60,0,IF(-60&gt;=N14,IF(N14&gt;=-120,O14,0)))))</f>
        <v>0</v>
      </c>
      <c r="T14" s="40">
        <f>IF(N14&gt;=0,0,(IF(N14&gt;-60,0,IF(-60&gt;=N14,IF(N14&gt;=-120,0,IF(N14&gt;=-180,O14,0))))))</f>
        <v>0</v>
      </c>
      <c r="U14" s="40">
        <f>IF(N14&gt;=0,0,(IF(N14&gt;-60,0,IF(-60&gt;=N14,IF(N14&gt;-120,0,IF(N14&gt;=-180,0,IF(N14&gt;=-365,O14,0)))))))</f>
        <v>0</v>
      </c>
      <c r="V14" s="40">
        <f>IF(N14&gt;=0,0,IF(365&lt;-N14,O14,0))</f>
        <v>0</v>
      </c>
    </row>
    <row r="15" spans="1:24" s="99" customFormat="1" ht="19.5" customHeight="1">
      <c r="A15" s="104"/>
      <c r="B15" s="105"/>
      <c r="C15" s="106"/>
      <c r="D15" s="107"/>
      <c r="E15" s="108">
        <f t="shared" ref="E15:K15" si="1">SUM(E14:E14)</f>
        <v>96325.008333333331</v>
      </c>
      <c r="F15" s="108">
        <f t="shared" si="1"/>
        <v>0</v>
      </c>
      <c r="G15" s="108">
        <f t="shared" si="1"/>
        <v>0</v>
      </c>
      <c r="H15" s="108">
        <f t="shared" si="1"/>
        <v>0</v>
      </c>
      <c r="I15" s="108">
        <f t="shared" si="1"/>
        <v>96325.008333333331</v>
      </c>
      <c r="J15" s="113">
        <f t="shared" si="1"/>
        <v>115590.01</v>
      </c>
      <c r="K15" s="113">
        <f t="shared" si="1"/>
        <v>115590.01</v>
      </c>
      <c r="L15" s="109"/>
      <c r="M15" s="109"/>
      <c r="N15" s="110"/>
      <c r="O15" s="108">
        <f>SUM(O14:O14)</f>
        <v>0</v>
      </c>
      <c r="P15" s="108" t="e">
        <f>SUM(P14:P14)</f>
        <v>#REF!</v>
      </c>
      <c r="Q15" s="114"/>
      <c r="R15" s="115">
        <f>SUM(R14:R14)</f>
        <v>0</v>
      </c>
      <c r="S15" s="115">
        <f>SUM(S14:S14)</f>
        <v>0</v>
      </c>
      <c r="T15" s="115">
        <f>SUM(T14:T14)</f>
        <v>0</v>
      </c>
      <c r="U15" s="115">
        <f>SUM(U14:U14)</f>
        <v>0</v>
      </c>
      <c r="V15" s="115">
        <f>SUM(V14:V14)</f>
        <v>0</v>
      </c>
    </row>
    <row r="16" spans="1:24" ht="19.5" customHeight="1">
      <c r="A16" s="41" t="s">
        <v>62</v>
      </c>
      <c r="B16" s="42"/>
      <c r="C16" s="125"/>
      <c r="D16" s="44"/>
      <c r="E16" s="36">
        <f>1626803.93/1.2</f>
        <v>1355669.9416666667</v>
      </c>
      <c r="F16" s="36">
        <f>-E16*$F$10</f>
        <v>0</v>
      </c>
      <c r="G16" s="36">
        <f>E16*$G$10</f>
        <v>0</v>
      </c>
      <c r="H16" s="36"/>
      <c r="I16" s="36">
        <f>+E16+F16-G16-H16</f>
        <v>1355669.9416666667</v>
      </c>
      <c r="J16" s="36">
        <f>+I16+(I16*$I$4)</f>
        <v>1626803.93</v>
      </c>
      <c r="K16" s="36">
        <v>1626803.93</v>
      </c>
      <c r="L16" s="37"/>
      <c r="M16" s="37"/>
      <c r="N16" s="92">
        <f>-IF(L16=0,,IF(M16=0,($C$10-L16),M16-L16))</f>
        <v>0</v>
      </c>
      <c r="O16" s="36">
        <f>+J16-K16</f>
        <v>0</v>
      </c>
      <c r="P16" s="36" t="e">
        <f>+IF($C$10&lt;L16,0,O16)</f>
        <v>#REF!</v>
      </c>
      <c r="Q16" s="39"/>
      <c r="R16" s="40">
        <f>IF(N16&gt;=0,0,(IF(-N16&lt;=60,O16,0)))</f>
        <v>0</v>
      </c>
      <c r="S16" s="40">
        <f>IF(N16&gt;=0,0,(IF(N16&gt;=-60,0,IF(-60&gt;=N16,IF(N16&gt;=-120,O16,0)))))</f>
        <v>0</v>
      </c>
      <c r="T16" s="40">
        <f>IF(N16&gt;=0,0,(IF(N16&gt;-60,0,IF(-60&gt;=N16,IF(N16&gt;=-120,0,IF(N16&gt;=-180,O16,0))))))</f>
        <v>0</v>
      </c>
      <c r="U16" s="40">
        <f>IF(N16&gt;=0,0,(IF(N16&gt;-60,0,IF(-60&gt;=N16,IF(N16&gt;-120,0,IF(N16&gt;=-180,0,IF(N16&gt;=-365,O16,0)))))))</f>
        <v>0</v>
      </c>
      <c r="V16" s="40">
        <f>IF(N16&gt;=0,0,IF(365&lt;-N16,O16,0))</f>
        <v>0</v>
      </c>
    </row>
    <row r="17" spans="1:22" s="99" customFormat="1" ht="19.5" customHeight="1">
      <c r="A17" s="104"/>
      <c r="B17" s="105"/>
      <c r="C17" s="106"/>
      <c r="D17" s="107"/>
      <c r="E17" s="108">
        <f t="shared" ref="E17:K17" si="2">SUM(E16:E16)</f>
        <v>1355669.9416666667</v>
      </c>
      <c r="F17" s="108">
        <f t="shared" si="2"/>
        <v>0</v>
      </c>
      <c r="G17" s="108">
        <f t="shared" si="2"/>
        <v>0</v>
      </c>
      <c r="H17" s="108">
        <f t="shared" si="2"/>
        <v>0</v>
      </c>
      <c r="I17" s="108">
        <f t="shared" si="2"/>
        <v>1355669.9416666667</v>
      </c>
      <c r="J17" s="113">
        <f t="shared" si="2"/>
        <v>1626803.93</v>
      </c>
      <c r="K17" s="113">
        <f t="shared" si="2"/>
        <v>1626803.93</v>
      </c>
      <c r="L17" s="109"/>
      <c r="M17" s="109"/>
      <c r="N17" s="110"/>
      <c r="O17" s="108">
        <f>SUM(O16:O16)</f>
        <v>0</v>
      </c>
      <c r="P17" s="108" t="e">
        <f>SUM(P16:P16)</f>
        <v>#REF!</v>
      </c>
      <c r="Q17" s="114"/>
      <c r="R17" s="115">
        <f>SUM(R16:R16)</f>
        <v>0</v>
      </c>
      <c r="S17" s="115">
        <f>SUM(S16:S16)</f>
        <v>0</v>
      </c>
      <c r="T17" s="115">
        <f>SUM(T16:T16)</f>
        <v>0</v>
      </c>
      <c r="U17" s="115">
        <f>SUM(U16:U16)</f>
        <v>0</v>
      </c>
      <c r="V17" s="115">
        <f>SUM(V16:V16)</f>
        <v>0</v>
      </c>
    </row>
    <row r="18" spans="1:22" ht="19.5" customHeight="1">
      <c r="A18" s="41" t="s">
        <v>63</v>
      </c>
      <c r="B18" s="42"/>
      <c r="C18" s="43"/>
      <c r="D18" s="44"/>
      <c r="E18" s="36">
        <f>1474097.55/1.2</f>
        <v>1228414.625</v>
      </c>
      <c r="F18" s="36">
        <f>-E18*$F$10</f>
        <v>0</v>
      </c>
      <c r="G18" s="36">
        <f>E18*$G$10</f>
        <v>0</v>
      </c>
      <c r="H18" s="36"/>
      <c r="I18" s="36">
        <f>+E18+F18-G18-H18</f>
        <v>1228414.625</v>
      </c>
      <c r="J18" s="36">
        <f>+I18+(I18*$I$4)</f>
        <v>1474097.55</v>
      </c>
      <c r="K18" s="36">
        <v>1474097.55</v>
      </c>
      <c r="L18" s="37"/>
      <c r="M18" s="37"/>
      <c r="N18" s="92">
        <f>-IF(L18=0,,IF(M18=0,($C$10-L18),M18-L18))</f>
        <v>0</v>
      </c>
      <c r="O18" s="36">
        <f>+J18-K18</f>
        <v>0</v>
      </c>
      <c r="P18" s="36" t="e">
        <f>+IF($C$10&lt;L18,0,O18)</f>
        <v>#REF!</v>
      </c>
      <c r="Q18" s="39"/>
      <c r="R18" s="40">
        <f>IF(N18&gt;=0,0,(IF(-N18&lt;=60,O18,0)))</f>
        <v>0</v>
      </c>
      <c r="S18" s="40">
        <f>IF(N18&gt;=0,0,(IF(N18&gt;=-60,0,IF(-60&gt;=N18,IF(N18&gt;=-120,O18,0)))))</f>
        <v>0</v>
      </c>
      <c r="T18" s="40">
        <f>IF(N18&gt;=0,0,(IF(N18&gt;-60,0,IF(-60&gt;=N18,IF(N18&gt;=-120,0,IF(N18&gt;=-180,O18,0))))))</f>
        <v>0</v>
      </c>
      <c r="U18" s="40">
        <f>IF(N18&gt;=0,0,(IF(N18&gt;-60,0,IF(-60&gt;=N18,IF(N18&gt;-120,0,IF(N18&gt;=-180,0,IF(N18&gt;=-365,O18,0)))))))</f>
        <v>0</v>
      </c>
      <c r="V18" s="40">
        <f>IF(N18&gt;=0,0,IF(365&lt;-N18,O18,0))</f>
        <v>0</v>
      </c>
    </row>
    <row r="19" spans="1:22" s="99" customFormat="1" ht="19.5" customHeight="1">
      <c r="A19" s="104"/>
      <c r="B19" s="104"/>
      <c r="C19" s="106"/>
      <c r="D19" s="107"/>
      <c r="E19" s="108">
        <f t="shared" ref="E19:K19" si="3">SUM(E18:E18)</f>
        <v>1228414.625</v>
      </c>
      <c r="F19" s="108">
        <f t="shared" si="3"/>
        <v>0</v>
      </c>
      <c r="G19" s="108">
        <f t="shared" si="3"/>
        <v>0</v>
      </c>
      <c r="H19" s="108">
        <f t="shared" si="3"/>
        <v>0</v>
      </c>
      <c r="I19" s="108">
        <f t="shared" si="3"/>
        <v>1228414.625</v>
      </c>
      <c r="J19" s="113">
        <f t="shared" si="3"/>
        <v>1474097.55</v>
      </c>
      <c r="K19" s="113">
        <f t="shared" si="3"/>
        <v>1474097.55</v>
      </c>
      <c r="L19" s="109"/>
      <c r="M19" s="109"/>
      <c r="N19" s="110"/>
      <c r="O19" s="108">
        <f>SUM(O18:O18)</f>
        <v>0</v>
      </c>
      <c r="P19" s="108" t="e">
        <f>SUM(P18:P18)</f>
        <v>#REF!</v>
      </c>
      <c r="Q19" s="111"/>
      <c r="R19" s="112">
        <f>SUM(R18:R18)</f>
        <v>0</v>
      </c>
      <c r="S19" s="112">
        <f>SUM(S18:S18)</f>
        <v>0</v>
      </c>
      <c r="T19" s="112">
        <f>SUM(T18:T18)</f>
        <v>0</v>
      </c>
      <c r="U19" s="112">
        <f>SUM(U18:U18)</f>
        <v>0</v>
      </c>
      <c r="V19" s="112">
        <f>SUM(V18:V18)</f>
        <v>0</v>
      </c>
    </row>
    <row r="20" spans="1:22" ht="19.5" customHeight="1">
      <c r="A20" s="41" t="s">
        <v>73</v>
      </c>
      <c r="B20" s="41"/>
      <c r="C20" s="43"/>
      <c r="D20" s="44"/>
      <c r="E20" s="36">
        <f>17348952.24/1.2</f>
        <v>14457460.199999999</v>
      </c>
      <c r="F20" s="36">
        <f>-E20*$F$10</f>
        <v>0</v>
      </c>
      <c r="G20" s="36">
        <f>E20*$G$10</f>
        <v>0</v>
      </c>
      <c r="H20" s="36"/>
      <c r="I20" s="36">
        <f>+E20+F20-G20-H20</f>
        <v>14457460.199999999</v>
      </c>
      <c r="J20" s="36">
        <f>+I20+(I20*$I$4)</f>
        <v>17348952.239999998</v>
      </c>
      <c r="K20" s="36">
        <v>17348952.239999998</v>
      </c>
      <c r="L20" s="37"/>
      <c r="M20" s="37"/>
      <c r="N20" s="92">
        <f>-IF(L20=0,,IF(M20=0,($C$10-L20),M20-L20))</f>
        <v>0</v>
      </c>
      <c r="O20" s="36">
        <f>+J20-K20</f>
        <v>0</v>
      </c>
      <c r="P20" s="36" t="e">
        <f>+IF($C$10&lt;L20,0,O20)</f>
        <v>#REF!</v>
      </c>
      <c r="Q20" s="39"/>
      <c r="R20" s="40">
        <f>IF(N20&gt;=0,0,(IF(-N20&lt;=60,O20,0)))</f>
        <v>0</v>
      </c>
      <c r="S20" s="40">
        <f>IF(N20&gt;=0,0,(IF(N20&gt;=-60,0,IF(-60&gt;=N20,IF(N20&gt;=-120,O20,0)))))</f>
        <v>0</v>
      </c>
      <c r="T20" s="40">
        <f>IF(N20&gt;=0,0,(IF(N20&gt;-60,0,IF(-60&gt;=N20,IF(N20&gt;=-120,0,IF(N20&gt;=-180,O20,0))))))</f>
        <v>0</v>
      </c>
      <c r="U20" s="40">
        <f>IF(N20&gt;=0,0,(IF(N20&gt;-60,0,IF(-60&gt;=N20,IF(N20&gt;-120,0,IF(N20&gt;=-180,0,IF(N20&gt;=-365,O20,0)))))))</f>
        <v>0</v>
      </c>
      <c r="V20" s="40">
        <f>IF(N20&gt;=0,0,IF(365&lt;-N20,O20,0))</f>
        <v>0</v>
      </c>
    </row>
    <row r="21" spans="1:22" s="99" customFormat="1" ht="19.5" customHeight="1">
      <c r="A21" s="104"/>
      <c r="B21" s="104"/>
      <c r="C21" s="106"/>
      <c r="D21" s="107"/>
      <c r="E21" s="108">
        <f t="shared" ref="E21:K21" si="4">SUM(E20:E20)</f>
        <v>14457460.199999999</v>
      </c>
      <c r="F21" s="108">
        <f t="shared" si="4"/>
        <v>0</v>
      </c>
      <c r="G21" s="108">
        <f t="shared" si="4"/>
        <v>0</v>
      </c>
      <c r="H21" s="108">
        <f t="shared" si="4"/>
        <v>0</v>
      </c>
      <c r="I21" s="108">
        <f t="shared" si="4"/>
        <v>14457460.199999999</v>
      </c>
      <c r="J21" s="113">
        <f t="shared" si="4"/>
        <v>17348952.239999998</v>
      </c>
      <c r="K21" s="113">
        <f t="shared" si="4"/>
        <v>17348952.239999998</v>
      </c>
      <c r="L21" s="109"/>
      <c r="M21" s="109"/>
      <c r="N21" s="110"/>
      <c r="O21" s="108">
        <f>SUM(O20:O20)</f>
        <v>0</v>
      </c>
      <c r="P21" s="108" t="e">
        <f>SUM(P20:P20)</f>
        <v>#REF!</v>
      </c>
      <c r="Q21" s="111"/>
      <c r="R21" s="112">
        <f>SUM(R20:R20)</f>
        <v>0</v>
      </c>
      <c r="S21" s="112">
        <f>SUM(S20:S20)</f>
        <v>0</v>
      </c>
      <c r="T21" s="112">
        <f>SUM(T20:T20)</f>
        <v>0</v>
      </c>
      <c r="U21" s="112">
        <f>SUM(U20:U20)</f>
        <v>0</v>
      </c>
      <c r="V21" s="112">
        <f>SUM(V20:V20)</f>
        <v>0</v>
      </c>
    </row>
    <row r="22" spans="1:22" ht="19.5" customHeight="1">
      <c r="A22" s="41" t="s">
        <v>99</v>
      </c>
      <c r="B22" s="41"/>
      <c r="C22" s="43"/>
      <c r="D22" s="44"/>
      <c r="E22" s="36">
        <f>646972.85/1.2</f>
        <v>539144.04166666663</v>
      </c>
      <c r="F22" s="36">
        <f>-E22*$F$10</f>
        <v>0</v>
      </c>
      <c r="G22" s="36">
        <f>E22*$G$10</f>
        <v>0</v>
      </c>
      <c r="H22" s="36"/>
      <c r="I22" s="36">
        <f>+E22+F22-G22-H22</f>
        <v>539144.04166666663</v>
      </c>
      <c r="J22" s="36">
        <f>+I22+(I22*$I$4)</f>
        <v>646972.85</v>
      </c>
      <c r="K22" s="36">
        <v>646972.85</v>
      </c>
      <c r="L22" s="37"/>
      <c r="M22" s="37"/>
      <c r="N22" s="92">
        <f>-IF(L22=0,,IF(M22=0,($C$10-L22),M22-L22))</f>
        <v>0</v>
      </c>
      <c r="O22" s="36">
        <f>+J22-K22</f>
        <v>0</v>
      </c>
      <c r="P22" s="36" t="e">
        <f>+IF($C$10&lt;L22,0,O22)</f>
        <v>#REF!</v>
      </c>
      <c r="Q22" s="39"/>
      <c r="R22" s="40">
        <f>IF(N22&gt;=0,0,(IF(-N22&lt;=60,O22,0)))</f>
        <v>0</v>
      </c>
      <c r="S22" s="40">
        <f>IF(N22&gt;=0,0,(IF(N22&gt;=-60,0,IF(-60&gt;=N22,IF(N22&gt;=-120,O22,0)))))</f>
        <v>0</v>
      </c>
      <c r="T22" s="40">
        <f>IF(N22&gt;=0,0,(IF(N22&gt;-60,0,IF(-60&gt;=N22,IF(N22&gt;=-120,0,IF(N22&gt;=-180,O22,0))))))</f>
        <v>0</v>
      </c>
      <c r="U22" s="40">
        <f>IF(N22&gt;=0,0,(IF(N22&gt;-60,0,IF(-60&gt;=N22,IF(N22&gt;-120,0,IF(N22&gt;=-180,0,IF(N22&gt;=-365,O22,0)))))))</f>
        <v>0</v>
      </c>
      <c r="V22" s="40">
        <f>IF(N22&gt;=0,0,IF(365&lt;-N22,O22,0))</f>
        <v>0</v>
      </c>
    </row>
    <row r="23" spans="1:22" s="99" customFormat="1" ht="19.5" customHeight="1">
      <c r="A23" s="104"/>
      <c r="B23" s="105"/>
      <c r="C23" s="106"/>
      <c r="D23" s="107"/>
      <c r="E23" s="108">
        <f t="shared" ref="E23:K23" si="5">SUM(E22:E22)</f>
        <v>539144.04166666663</v>
      </c>
      <c r="F23" s="108">
        <f t="shared" si="5"/>
        <v>0</v>
      </c>
      <c r="G23" s="108">
        <f t="shared" si="5"/>
        <v>0</v>
      </c>
      <c r="H23" s="108">
        <f t="shared" si="5"/>
        <v>0</v>
      </c>
      <c r="I23" s="108">
        <f t="shared" si="5"/>
        <v>539144.04166666663</v>
      </c>
      <c r="J23" s="113">
        <f t="shared" si="5"/>
        <v>646972.85</v>
      </c>
      <c r="K23" s="113">
        <f t="shared" si="5"/>
        <v>646972.85</v>
      </c>
      <c r="L23" s="109"/>
      <c r="M23" s="109"/>
      <c r="N23" s="110"/>
      <c r="O23" s="108">
        <f>SUM(O22:O22)</f>
        <v>0</v>
      </c>
      <c r="P23" s="108" t="e">
        <f>SUM(P22:P22)</f>
        <v>#REF!</v>
      </c>
      <c r="Q23" s="111"/>
      <c r="R23" s="112">
        <f>SUM(R22:R22)</f>
        <v>0</v>
      </c>
      <c r="S23" s="112">
        <f>SUM(S22:S22)</f>
        <v>0</v>
      </c>
      <c r="T23" s="112">
        <f>SUM(T22:T22)</f>
        <v>0</v>
      </c>
      <c r="U23" s="112">
        <f>SUM(U22:U22)</f>
        <v>0</v>
      </c>
      <c r="V23" s="112">
        <f>SUM(V22:V22)</f>
        <v>0</v>
      </c>
    </row>
    <row r="24" spans="1:22" ht="19.5" customHeight="1">
      <c r="A24" s="41" t="s">
        <v>69</v>
      </c>
      <c r="B24" s="41"/>
      <c r="C24" s="43"/>
      <c r="D24" s="44"/>
      <c r="E24" s="36">
        <f>12558/1.2</f>
        <v>10465</v>
      </c>
      <c r="F24" s="36">
        <f>-E24*$F$10</f>
        <v>0</v>
      </c>
      <c r="G24" s="36">
        <f>E24*$G$10</f>
        <v>0</v>
      </c>
      <c r="H24" s="36"/>
      <c r="I24" s="36">
        <f>+E24+F24-G24-H24</f>
        <v>10465</v>
      </c>
      <c r="J24" s="36">
        <f>+I24+(I24*$I$4)</f>
        <v>12558</v>
      </c>
      <c r="K24" s="36">
        <v>12558</v>
      </c>
      <c r="L24" s="37"/>
      <c r="M24" s="116"/>
      <c r="N24" s="92">
        <f>-IF(L24=0,,IF(M24=0,($C$10-L24),M24-L24))</f>
        <v>0</v>
      </c>
      <c r="O24" s="36">
        <f>+J24-K24</f>
        <v>0</v>
      </c>
      <c r="P24" s="36" t="e">
        <f>+IF($C$10&lt;L24,0,O24)</f>
        <v>#REF!</v>
      </c>
      <c r="Q24" s="39"/>
      <c r="R24" s="40">
        <f>IF(N24&gt;=0,0,(IF(-N24&lt;=60,O24,0)))</f>
        <v>0</v>
      </c>
      <c r="S24" s="40">
        <f>IF(N24&gt;=0,0,(IF(N24&gt;=-60,0,IF(-60&gt;=N24,IF(N24&gt;=-120,O24,0)))))</f>
        <v>0</v>
      </c>
      <c r="T24" s="40">
        <f>IF(N24&gt;=0,0,(IF(N24&gt;-60,0,IF(-60&gt;=N24,IF(N24&gt;=-120,0,IF(N24&gt;=-180,O24,0))))))</f>
        <v>0</v>
      </c>
      <c r="U24" s="40">
        <f>IF(N24&gt;=0,0,(IF(N24&gt;-60,0,IF(-60&gt;=N24,IF(N24&gt;-120,0,IF(N24&gt;=-180,0,IF(N24&gt;=-365,O24,0)))))))</f>
        <v>0</v>
      </c>
      <c r="V24" s="40">
        <f>IF(N24&gt;=0,0,IF(365&lt;-N24,O24,0))</f>
        <v>0</v>
      </c>
    </row>
    <row r="25" spans="1:22" s="99" customFormat="1" ht="19.5" customHeight="1">
      <c r="A25" s="104"/>
      <c r="B25" s="104"/>
      <c r="C25" s="106"/>
      <c r="D25" s="107"/>
      <c r="E25" s="108">
        <f t="shared" ref="E25:K25" si="6">SUM(E24:E24)</f>
        <v>10465</v>
      </c>
      <c r="F25" s="108">
        <f t="shared" si="6"/>
        <v>0</v>
      </c>
      <c r="G25" s="108">
        <f t="shared" si="6"/>
        <v>0</v>
      </c>
      <c r="H25" s="108">
        <f t="shared" si="6"/>
        <v>0</v>
      </c>
      <c r="I25" s="108">
        <f t="shared" si="6"/>
        <v>10465</v>
      </c>
      <c r="J25" s="113">
        <f t="shared" si="6"/>
        <v>12558</v>
      </c>
      <c r="K25" s="113">
        <f t="shared" si="6"/>
        <v>12558</v>
      </c>
      <c r="L25" s="109"/>
      <c r="M25" s="119"/>
      <c r="N25" s="110"/>
      <c r="O25" s="108">
        <f>SUM(O24:O24)</f>
        <v>0</v>
      </c>
      <c r="P25" s="108" t="e">
        <f>SUM(P24:P24)</f>
        <v>#REF!</v>
      </c>
      <c r="Q25" s="111"/>
      <c r="R25" s="112">
        <f>SUM(R24:R24)</f>
        <v>0</v>
      </c>
      <c r="S25" s="112">
        <f>SUM(S24:S24)</f>
        <v>0</v>
      </c>
      <c r="T25" s="112">
        <f>SUM(T24:T24)</f>
        <v>0</v>
      </c>
      <c r="U25" s="112">
        <f>SUM(U24:U24)</f>
        <v>0</v>
      </c>
      <c r="V25" s="112">
        <f>SUM(V24:V24)</f>
        <v>0</v>
      </c>
    </row>
    <row r="26" spans="1:22" ht="19.5" customHeight="1">
      <c r="A26" s="41" t="s">
        <v>75</v>
      </c>
      <c r="B26" s="41"/>
      <c r="C26" s="43"/>
      <c r="D26" s="44"/>
      <c r="E26" s="36">
        <f>618398.89/1.2</f>
        <v>515332.40833333338</v>
      </c>
      <c r="F26" s="36">
        <f>-E26*$F$10</f>
        <v>0</v>
      </c>
      <c r="G26" s="36">
        <f>E26*$G$10</f>
        <v>0</v>
      </c>
      <c r="H26" s="36"/>
      <c r="I26" s="36">
        <f>+E26+F26-G26-H26</f>
        <v>515332.40833333338</v>
      </c>
      <c r="J26" s="36">
        <f>+I26+(I26*$I$4)</f>
        <v>618398.89000000013</v>
      </c>
      <c r="K26" s="36">
        <v>618398.89000000013</v>
      </c>
      <c r="L26" s="37"/>
      <c r="M26" s="37"/>
      <c r="N26" s="92">
        <f>-IF(L26=0,,IF(M26=0,($C$10-L26),M26-L26))</f>
        <v>0</v>
      </c>
      <c r="O26" s="36">
        <f>+J26-K26</f>
        <v>0</v>
      </c>
      <c r="P26" s="36" t="e">
        <f>+IF($C$10&lt;L26,0,O26)</f>
        <v>#REF!</v>
      </c>
      <c r="Q26" s="39"/>
      <c r="R26" s="40">
        <f>IF(N26&gt;=0,0,(IF(-N26&lt;=60,O26,0)))</f>
        <v>0</v>
      </c>
      <c r="S26" s="40">
        <f>IF(N26&gt;=0,0,(IF(N26&gt;=-60,0,IF(-60&gt;=N26,IF(N26&gt;=-120,O26,0)))))</f>
        <v>0</v>
      </c>
      <c r="T26" s="40">
        <f>IF(N26&gt;=0,0,(IF(N26&gt;-60,0,IF(-60&gt;=N26,IF(N26&gt;=-120,0,IF(N26&gt;=-180,O26,0))))))</f>
        <v>0</v>
      </c>
      <c r="U26" s="40">
        <f>IF(N26&gt;=0,0,(IF(N26&gt;-60,0,IF(-60&gt;=N26,IF(N26&gt;-120,0,IF(N26&gt;=-180,0,IF(N26&gt;=-365,O26,0)))))))</f>
        <v>0</v>
      </c>
      <c r="V26" s="40">
        <f>IF(N26&gt;=0,0,IF(365&lt;-N26,O26,0))</f>
        <v>0</v>
      </c>
    </row>
    <row r="27" spans="1:22" s="99" customFormat="1" ht="19.5" customHeight="1">
      <c r="A27" s="104"/>
      <c r="B27" s="105"/>
      <c r="C27" s="106"/>
      <c r="D27" s="107"/>
      <c r="E27" s="108">
        <f t="shared" ref="E27:K27" si="7">SUM(E26:E26)</f>
        <v>515332.40833333338</v>
      </c>
      <c r="F27" s="108">
        <f t="shared" si="7"/>
        <v>0</v>
      </c>
      <c r="G27" s="108">
        <f t="shared" si="7"/>
        <v>0</v>
      </c>
      <c r="H27" s="108">
        <f t="shared" si="7"/>
        <v>0</v>
      </c>
      <c r="I27" s="108">
        <f t="shared" si="7"/>
        <v>515332.40833333338</v>
      </c>
      <c r="J27" s="113">
        <f t="shared" si="7"/>
        <v>618398.89000000013</v>
      </c>
      <c r="K27" s="113">
        <f t="shared" si="7"/>
        <v>618398.89000000013</v>
      </c>
      <c r="L27" s="109"/>
      <c r="M27" s="109"/>
      <c r="N27" s="110"/>
      <c r="O27" s="108">
        <f>SUM(O26:O26)</f>
        <v>0</v>
      </c>
      <c r="P27" s="108" t="e">
        <f>SUM(P26:P26)</f>
        <v>#REF!</v>
      </c>
      <c r="Q27" s="111"/>
      <c r="R27" s="112">
        <f>SUM(R26:R26)</f>
        <v>0</v>
      </c>
      <c r="S27" s="112">
        <f>SUM(S26:S26)</f>
        <v>0</v>
      </c>
      <c r="T27" s="112">
        <f>SUM(T26:T26)</f>
        <v>0</v>
      </c>
      <c r="U27" s="112">
        <f>SUM(U26:U26)</f>
        <v>0</v>
      </c>
      <c r="V27" s="112">
        <f>SUM(V26:V26)</f>
        <v>0</v>
      </c>
    </row>
    <row r="28" spans="1:22" ht="19.5" customHeight="1">
      <c r="A28" s="41" t="s">
        <v>176</v>
      </c>
      <c r="B28" s="41"/>
      <c r="C28" s="43"/>
      <c r="D28" s="44"/>
      <c r="E28" s="36">
        <f>883327.87/1.2</f>
        <v>736106.55833333335</v>
      </c>
      <c r="F28" s="36">
        <f>-E28*$F$10</f>
        <v>0</v>
      </c>
      <c r="G28" s="36">
        <f>E28*$G$10</f>
        <v>0</v>
      </c>
      <c r="H28" s="36"/>
      <c r="I28" s="36">
        <f>+E28+F28-G28-H28</f>
        <v>736106.55833333335</v>
      </c>
      <c r="J28" s="36">
        <f>+I28+(I28*$I$4)</f>
        <v>883327.87</v>
      </c>
      <c r="K28" s="36">
        <v>883327.87</v>
      </c>
      <c r="L28" s="37"/>
      <c r="M28" s="37"/>
      <c r="N28" s="92">
        <f>-IF(L28=0,,IF(M28=0,($C$10-L28),M28-L28))</f>
        <v>0</v>
      </c>
      <c r="O28" s="36">
        <f>+J28-K28</f>
        <v>0</v>
      </c>
      <c r="P28" s="36" t="e">
        <f>+IF($C$10&lt;L28,0,O28)</f>
        <v>#REF!</v>
      </c>
      <c r="Q28" s="39"/>
      <c r="R28" s="40">
        <f>IF(N28&gt;=0,0,(IF(-N28&lt;=60,O28,0)))</f>
        <v>0</v>
      </c>
      <c r="S28" s="40">
        <f>IF(N28&gt;=0,0,(IF(N28&gt;=-60,0,IF(-60&gt;=N28,IF(N28&gt;=-120,O28,0)))))</f>
        <v>0</v>
      </c>
      <c r="T28" s="40">
        <f>IF(N28&gt;=0,0,(IF(N28&gt;-60,0,IF(-60&gt;=N28,IF(N28&gt;=-120,0,IF(N28&gt;=-180,O28,0))))))</f>
        <v>0</v>
      </c>
      <c r="U28" s="40">
        <f>IF(N28&gt;=0,0,(IF(N28&gt;-60,0,IF(-60&gt;=N28,IF(N28&gt;-120,0,IF(N28&gt;=-180,0,IF(N28&gt;=-365,O28,0)))))))</f>
        <v>0</v>
      </c>
      <c r="V28" s="40">
        <f>IF(N28&gt;=0,0,IF(365&lt;-N28,O28,0))</f>
        <v>0</v>
      </c>
    </row>
    <row r="29" spans="1:22" s="99" customFormat="1" ht="19.5" customHeight="1">
      <c r="A29" s="104"/>
      <c r="B29" s="104"/>
      <c r="C29" s="106"/>
      <c r="D29" s="107"/>
      <c r="E29" s="108">
        <f t="shared" ref="E29:K29" si="8">SUM(E28:E28)</f>
        <v>736106.55833333335</v>
      </c>
      <c r="F29" s="108">
        <f t="shared" si="8"/>
        <v>0</v>
      </c>
      <c r="G29" s="108">
        <f t="shared" si="8"/>
        <v>0</v>
      </c>
      <c r="H29" s="108">
        <f t="shared" si="8"/>
        <v>0</v>
      </c>
      <c r="I29" s="108">
        <f t="shared" si="8"/>
        <v>736106.55833333335</v>
      </c>
      <c r="J29" s="113">
        <f t="shared" si="8"/>
        <v>883327.87</v>
      </c>
      <c r="K29" s="113">
        <f t="shared" si="8"/>
        <v>883327.87</v>
      </c>
      <c r="L29" s="109"/>
      <c r="M29" s="109"/>
      <c r="N29" s="110"/>
      <c r="O29" s="108">
        <f>SUM(O28:O28)</f>
        <v>0</v>
      </c>
      <c r="P29" s="108" t="e">
        <f>SUM(P28:P28)</f>
        <v>#REF!</v>
      </c>
      <c r="Q29" s="111"/>
      <c r="R29" s="112">
        <f>SUM(R28:R28)</f>
        <v>0</v>
      </c>
      <c r="S29" s="112">
        <f>SUM(S28:S28)</f>
        <v>0</v>
      </c>
      <c r="T29" s="112">
        <f>SUM(T28:T28)</f>
        <v>0</v>
      </c>
      <c r="U29" s="112">
        <f>SUM(U28:U28)</f>
        <v>0</v>
      </c>
      <c r="V29" s="112">
        <f>SUM(V28:V28)</f>
        <v>0</v>
      </c>
    </row>
    <row r="30" spans="1:22" ht="19.5" customHeight="1">
      <c r="A30" s="41" t="s">
        <v>188</v>
      </c>
      <c r="B30" s="41"/>
      <c r="C30" s="43"/>
      <c r="D30" s="44"/>
      <c r="E30" s="36">
        <f>1872.56/1.2</f>
        <v>1560.4666666666667</v>
      </c>
      <c r="F30" s="36">
        <f>-E30*$F$10</f>
        <v>0</v>
      </c>
      <c r="G30" s="36">
        <f>E30*$G$10</f>
        <v>0</v>
      </c>
      <c r="H30" s="36"/>
      <c r="I30" s="36">
        <f>+E30+F30-G30-H30</f>
        <v>1560.4666666666667</v>
      </c>
      <c r="J30" s="36">
        <f>+I30+(I30*$I$4)</f>
        <v>1872.56</v>
      </c>
      <c r="K30" s="36">
        <v>1872.56</v>
      </c>
      <c r="L30" s="37"/>
      <c r="M30" s="116"/>
      <c r="N30" s="92">
        <f>-IF(L30=0,,IF(M30=0,($C$10-L30),M30-L30))</f>
        <v>0</v>
      </c>
      <c r="O30" s="36">
        <f>+J30-K30</f>
        <v>0</v>
      </c>
      <c r="P30" s="36" t="e">
        <f>+IF($C$10&lt;L30,0,O30)</f>
        <v>#REF!</v>
      </c>
      <c r="Q30" s="39"/>
      <c r="R30" s="40">
        <f>IF(N30&gt;=0,0,(IF(-N30&lt;=60,O30,0)))</f>
        <v>0</v>
      </c>
      <c r="S30" s="40">
        <f>IF(N30&gt;=0,0,(IF(N30&gt;=-60,0,IF(-60&gt;=N30,IF(N30&gt;=-120,O30,0)))))</f>
        <v>0</v>
      </c>
      <c r="T30" s="40">
        <f>IF(N30&gt;=0,0,(IF(N30&gt;-60,0,IF(-60&gt;=N30,IF(N30&gt;=-120,0,IF(N30&gt;=-180,O30,0))))))</f>
        <v>0</v>
      </c>
      <c r="U30" s="40">
        <f>IF(N30&gt;=0,0,(IF(N30&gt;-60,0,IF(-60&gt;=N30,IF(N30&gt;-120,0,IF(N30&gt;=-180,0,IF(N30&gt;=-365,O30,0)))))))</f>
        <v>0</v>
      </c>
      <c r="V30" s="40">
        <f>IF(N30&gt;=0,0,IF(365&lt;-N30,O30,0))</f>
        <v>0</v>
      </c>
    </row>
    <row r="31" spans="1:22" s="99" customFormat="1" ht="19.5" customHeight="1">
      <c r="A31" s="104"/>
      <c r="B31" s="104"/>
      <c r="C31" s="106"/>
      <c r="D31" s="107"/>
      <c r="E31" s="108">
        <f t="shared" ref="E31:K31" si="9">SUM(E30:E30)</f>
        <v>1560.4666666666667</v>
      </c>
      <c r="F31" s="108">
        <f t="shared" si="9"/>
        <v>0</v>
      </c>
      <c r="G31" s="108">
        <f t="shared" si="9"/>
        <v>0</v>
      </c>
      <c r="H31" s="108">
        <f t="shared" si="9"/>
        <v>0</v>
      </c>
      <c r="I31" s="108">
        <f t="shared" si="9"/>
        <v>1560.4666666666667</v>
      </c>
      <c r="J31" s="113">
        <f t="shared" si="9"/>
        <v>1872.56</v>
      </c>
      <c r="K31" s="113">
        <f t="shared" si="9"/>
        <v>1872.56</v>
      </c>
      <c r="L31" s="109"/>
      <c r="M31" s="109"/>
      <c r="N31" s="110"/>
      <c r="O31" s="108">
        <f>SUM(O30:O30)</f>
        <v>0</v>
      </c>
      <c r="P31" s="108" t="e">
        <f>SUM(P30:P30)</f>
        <v>#REF!</v>
      </c>
      <c r="Q31" s="111"/>
      <c r="R31" s="112">
        <f>SUM(R30:R30)</f>
        <v>0</v>
      </c>
      <c r="S31" s="112">
        <f>SUM(S30:S30)</f>
        <v>0</v>
      </c>
      <c r="T31" s="112">
        <f>SUM(T30:T30)</f>
        <v>0</v>
      </c>
      <c r="U31" s="112">
        <f>SUM(U30:U30)</f>
        <v>0</v>
      </c>
      <c r="V31" s="112">
        <f>SUM(V30:V30)</f>
        <v>0</v>
      </c>
    </row>
    <row r="32" spans="1:22" ht="19.5" customHeight="1">
      <c r="A32" s="41" t="s">
        <v>77</v>
      </c>
      <c r="B32" s="41"/>
      <c r="C32" s="43"/>
      <c r="D32" s="44"/>
      <c r="E32" s="36">
        <f>28601.53/1.2</f>
        <v>23834.608333333334</v>
      </c>
      <c r="F32" s="36">
        <f>-E32*$F$10</f>
        <v>0</v>
      </c>
      <c r="G32" s="36">
        <f>E32*$G$10</f>
        <v>0</v>
      </c>
      <c r="H32" s="36"/>
      <c r="I32" s="36">
        <f>+E32+F32-G32-H32</f>
        <v>23834.608333333334</v>
      </c>
      <c r="J32" s="36">
        <f>+I32+(I32*$I$4)</f>
        <v>28601.53</v>
      </c>
      <c r="K32" s="36">
        <v>28601.53</v>
      </c>
      <c r="L32" s="37"/>
      <c r="M32" s="37"/>
      <c r="N32" s="92">
        <f>-IF(L32=0,,IF(M32=0,($C$10-L32),M32-L32))</f>
        <v>0</v>
      </c>
      <c r="O32" s="36">
        <f>+J32-K32</f>
        <v>0</v>
      </c>
      <c r="P32" s="36" t="e">
        <f>+IF($C$10&lt;L32,0,O32)</f>
        <v>#REF!</v>
      </c>
      <c r="Q32" s="39"/>
      <c r="R32" s="40">
        <f>IF(N32&gt;=0,0,(IF(-N32&lt;=60,O32,0)))</f>
        <v>0</v>
      </c>
      <c r="S32" s="40">
        <f>IF(N32&gt;=0,0,(IF(N32&gt;=-60,0,IF(-60&gt;=N32,IF(N32&gt;=-120,O32,0)))))</f>
        <v>0</v>
      </c>
      <c r="T32" s="40">
        <f>IF(N32&gt;=0,0,(IF(N32&gt;-60,0,IF(-60&gt;=N32,IF(N32&gt;=-120,0,IF(N32&gt;=-180,O32,0))))))</f>
        <v>0</v>
      </c>
      <c r="U32" s="40">
        <f>IF(N32&gt;=0,0,(IF(N32&gt;-60,0,IF(-60&gt;=N32,IF(N32&gt;-120,0,IF(N32&gt;=-180,0,IF(N32&gt;=-365,O32,0)))))))</f>
        <v>0</v>
      </c>
      <c r="V32" s="40">
        <f>IF(N32&gt;=0,0,IF(365&lt;-N32,O32,0))</f>
        <v>0</v>
      </c>
    </row>
    <row r="33" spans="1:22" s="99" customFormat="1" ht="19.5" customHeight="1">
      <c r="A33" s="104"/>
      <c r="B33" s="104"/>
      <c r="C33" s="106"/>
      <c r="D33" s="107"/>
      <c r="E33" s="108">
        <f t="shared" ref="E33:K33" si="10">SUM(E32:E32)</f>
        <v>23834.608333333334</v>
      </c>
      <c r="F33" s="108">
        <f t="shared" si="10"/>
        <v>0</v>
      </c>
      <c r="G33" s="108">
        <f t="shared" si="10"/>
        <v>0</v>
      </c>
      <c r="H33" s="108">
        <f t="shared" si="10"/>
        <v>0</v>
      </c>
      <c r="I33" s="108">
        <f t="shared" si="10"/>
        <v>23834.608333333334</v>
      </c>
      <c r="J33" s="113">
        <f t="shared" si="10"/>
        <v>28601.53</v>
      </c>
      <c r="K33" s="113">
        <f t="shared" si="10"/>
        <v>28601.53</v>
      </c>
      <c r="L33" s="109"/>
      <c r="M33" s="109"/>
      <c r="N33" s="110"/>
      <c r="O33" s="108">
        <f>SUM(O32:O32)</f>
        <v>0</v>
      </c>
      <c r="P33" s="108" t="e">
        <f>SUM(P32:P32)</f>
        <v>#REF!</v>
      </c>
      <c r="Q33" s="111"/>
      <c r="R33" s="112">
        <f>SUM(R32:R32)</f>
        <v>0</v>
      </c>
      <c r="S33" s="112">
        <f>SUM(S32:S32)</f>
        <v>0</v>
      </c>
      <c r="T33" s="112">
        <f>SUM(T32:T32)</f>
        <v>0</v>
      </c>
      <c r="U33" s="112">
        <f>SUM(U32:U32)</f>
        <v>0</v>
      </c>
      <c r="V33" s="112">
        <f>SUM(V32:V32)</f>
        <v>0</v>
      </c>
    </row>
    <row r="34" spans="1:22" ht="19.5" customHeight="1">
      <c r="A34" s="41" t="s">
        <v>168</v>
      </c>
      <c r="B34" s="41"/>
      <c r="C34" s="43"/>
      <c r="D34" s="44"/>
      <c r="E34" s="36">
        <f>41639.28/1.2</f>
        <v>34699.4</v>
      </c>
      <c r="F34" s="36">
        <f>-E34*$F$10</f>
        <v>0</v>
      </c>
      <c r="G34" s="36">
        <f>E34*$G$10</f>
        <v>0</v>
      </c>
      <c r="H34" s="36"/>
      <c r="I34" s="36">
        <f>+E34+F34-G34-H34</f>
        <v>34699.4</v>
      </c>
      <c r="J34" s="36">
        <f>+I34+(I34*$I$4)</f>
        <v>41639.279999999999</v>
      </c>
      <c r="K34" s="36">
        <v>41639.279999999999</v>
      </c>
      <c r="L34" s="37"/>
      <c r="M34" s="116"/>
      <c r="N34" s="92">
        <f>-IF(L34=0,,IF(M34=0,($C$10-L34),M34-L34))</f>
        <v>0</v>
      </c>
      <c r="O34" s="36">
        <f>+J34-K34</f>
        <v>0</v>
      </c>
      <c r="P34" s="36" t="e">
        <f>+IF($C$10&lt;L34,0,O34)</f>
        <v>#REF!</v>
      </c>
      <c r="Q34" s="39"/>
      <c r="R34" s="40">
        <f>IF(N34&gt;=0,0,(IF(-N34&lt;=60,O34,0)))</f>
        <v>0</v>
      </c>
      <c r="S34" s="40">
        <f>IF(N34&gt;=0,0,(IF(N34&gt;=-60,0,IF(-60&gt;=N34,IF(N34&gt;=-120,O34,0)))))</f>
        <v>0</v>
      </c>
      <c r="T34" s="40">
        <f>IF(N34&gt;=0,0,(IF(N34&gt;-60,0,IF(-60&gt;=N34,IF(N34&gt;=-120,0,IF(N34&gt;=-180,O34,0))))))</f>
        <v>0</v>
      </c>
      <c r="U34" s="40">
        <f>IF(N34&gt;=0,0,(IF(N34&gt;-60,0,IF(-60&gt;=N34,IF(N34&gt;-120,0,IF(N34&gt;=-180,0,IF(N34&gt;=-365,O34,0)))))))</f>
        <v>0</v>
      </c>
      <c r="V34" s="40">
        <f>IF(N34&gt;=0,0,IF(365&lt;-N34,O34,0))</f>
        <v>0</v>
      </c>
    </row>
    <row r="35" spans="1:22" s="99" customFormat="1" ht="19.5" customHeight="1">
      <c r="A35" s="104"/>
      <c r="B35" s="104"/>
      <c r="C35" s="106"/>
      <c r="D35" s="107"/>
      <c r="E35" s="108">
        <f t="shared" ref="E35:K35" si="11">SUM(E34:E34)</f>
        <v>34699.4</v>
      </c>
      <c r="F35" s="108">
        <f t="shared" si="11"/>
        <v>0</v>
      </c>
      <c r="G35" s="108">
        <f t="shared" si="11"/>
        <v>0</v>
      </c>
      <c r="H35" s="108">
        <f t="shared" si="11"/>
        <v>0</v>
      </c>
      <c r="I35" s="108">
        <f t="shared" si="11"/>
        <v>34699.4</v>
      </c>
      <c r="J35" s="113">
        <f t="shared" si="11"/>
        <v>41639.279999999999</v>
      </c>
      <c r="K35" s="113">
        <f t="shared" si="11"/>
        <v>41639.279999999999</v>
      </c>
      <c r="L35" s="109"/>
      <c r="M35" s="109"/>
      <c r="N35" s="110"/>
      <c r="O35" s="108">
        <f>SUM(O34:O34)</f>
        <v>0</v>
      </c>
      <c r="P35" s="108" t="e">
        <f>SUM(P34:P34)</f>
        <v>#REF!</v>
      </c>
      <c r="Q35" s="111"/>
      <c r="R35" s="112">
        <f>SUM(R34:R34)</f>
        <v>0</v>
      </c>
      <c r="S35" s="112">
        <f>SUM(S34:S34)</f>
        <v>0</v>
      </c>
      <c r="T35" s="112">
        <f>SUM(T34:T34)</f>
        <v>0</v>
      </c>
      <c r="U35" s="112">
        <f>SUM(U34:U34)</f>
        <v>0</v>
      </c>
      <c r="V35" s="112">
        <f>SUM(V34:V34)</f>
        <v>0</v>
      </c>
    </row>
    <row r="36" spans="1:22" ht="19.5" customHeight="1">
      <c r="A36" s="41" t="s">
        <v>79</v>
      </c>
      <c r="B36" s="41"/>
      <c r="C36" s="43"/>
      <c r="D36" s="44"/>
      <c r="E36" s="36">
        <f>16457.75/1.2</f>
        <v>13714.791666666668</v>
      </c>
      <c r="F36" s="36">
        <f>-E36*$F$10</f>
        <v>0</v>
      </c>
      <c r="G36" s="36">
        <f>E36*$G$10</f>
        <v>0</v>
      </c>
      <c r="H36" s="36"/>
      <c r="I36" s="36">
        <f>+E36+F36-G36-H36</f>
        <v>13714.791666666668</v>
      </c>
      <c r="J36" s="36">
        <f>+I36+(I36*$I$4)</f>
        <v>16457.75</v>
      </c>
      <c r="K36" s="36">
        <v>16457.75</v>
      </c>
      <c r="L36" s="37"/>
      <c r="M36" s="37"/>
      <c r="N36" s="92">
        <f>-IF(L36=0,,IF(M36=0,($C$10-L36),M36-L36))</f>
        <v>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s="99" customFormat="1" ht="19.5" customHeight="1">
      <c r="A37" s="104"/>
      <c r="B37" s="104"/>
      <c r="C37" s="106"/>
      <c r="D37" s="107"/>
      <c r="E37" s="108">
        <f t="shared" ref="E37:K37" si="12">SUM(E36:E36)</f>
        <v>13714.791666666668</v>
      </c>
      <c r="F37" s="108">
        <f t="shared" si="12"/>
        <v>0</v>
      </c>
      <c r="G37" s="108">
        <f t="shared" si="12"/>
        <v>0</v>
      </c>
      <c r="H37" s="108">
        <f t="shared" si="12"/>
        <v>0</v>
      </c>
      <c r="I37" s="108">
        <f t="shared" si="12"/>
        <v>13714.791666666668</v>
      </c>
      <c r="J37" s="113">
        <f t="shared" si="12"/>
        <v>16457.75</v>
      </c>
      <c r="K37" s="113">
        <f t="shared" si="12"/>
        <v>16457.75</v>
      </c>
      <c r="L37" s="109"/>
      <c r="M37" s="109"/>
      <c r="N37" s="110"/>
      <c r="O37" s="108">
        <f>SUM(O36:O36)</f>
        <v>0</v>
      </c>
      <c r="P37" s="108" t="e">
        <f>SUM(P36:P36)</f>
        <v>#REF!</v>
      </c>
      <c r="Q37" s="111"/>
      <c r="R37" s="112">
        <f>SUM(R36:R36)</f>
        <v>0</v>
      </c>
      <c r="S37" s="112">
        <f>SUM(S36:S36)</f>
        <v>0</v>
      </c>
      <c r="T37" s="112">
        <f>SUM(T36:T36)</f>
        <v>0</v>
      </c>
      <c r="U37" s="112">
        <f>SUM(U36:U36)</f>
        <v>0</v>
      </c>
      <c r="V37" s="112">
        <f>SUM(V36:V36)</f>
        <v>0</v>
      </c>
    </row>
    <row r="38" spans="1:22" ht="19.5" customHeight="1">
      <c r="A38" s="41" t="s">
        <v>178</v>
      </c>
      <c r="B38" s="41"/>
      <c r="C38" s="43"/>
      <c r="D38" s="44"/>
      <c r="E38" s="36">
        <f>4990117.03/1.2</f>
        <v>4158430.8583333339</v>
      </c>
      <c r="F38" s="36">
        <f>-E38*$F$10</f>
        <v>0</v>
      </c>
      <c r="G38" s="36">
        <f>E38*$G$10</f>
        <v>0</v>
      </c>
      <c r="H38" s="36"/>
      <c r="I38" s="36">
        <f>+E38+F38-G38-H38</f>
        <v>4158430.8583333339</v>
      </c>
      <c r="J38" s="36">
        <f>+I38+(I38*$I$4)</f>
        <v>4990117.0300000012</v>
      </c>
      <c r="K38" s="36">
        <v>4990117.0300000012</v>
      </c>
      <c r="L38" s="37"/>
      <c r="M38" s="37"/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9.5" customHeight="1">
      <c r="A39" s="104"/>
      <c r="B39" s="104"/>
      <c r="C39" s="106"/>
      <c r="D39" s="107"/>
      <c r="E39" s="108">
        <f t="shared" ref="E39:K39" si="13">SUM(E38:E38)</f>
        <v>4158430.8583333339</v>
      </c>
      <c r="F39" s="108">
        <f t="shared" si="13"/>
        <v>0</v>
      </c>
      <c r="G39" s="108">
        <f t="shared" si="13"/>
        <v>0</v>
      </c>
      <c r="H39" s="108">
        <f t="shared" si="13"/>
        <v>0</v>
      </c>
      <c r="I39" s="108">
        <f t="shared" si="13"/>
        <v>4158430.8583333339</v>
      </c>
      <c r="J39" s="113">
        <f t="shared" si="13"/>
        <v>4990117.0300000012</v>
      </c>
      <c r="K39" s="113">
        <f t="shared" si="13"/>
        <v>4990117.0300000012</v>
      </c>
      <c r="L39" s="109"/>
      <c r="M39" s="10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68</v>
      </c>
      <c r="B40" s="41"/>
      <c r="C40" s="43"/>
      <c r="D40" s="44"/>
      <c r="E40" s="36">
        <f>394227.55/1.2</f>
        <v>328522.95833333331</v>
      </c>
      <c r="F40" s="36">
        <f>-E40*$F$10</f>
        <v>0</v>
      </c>
      <c r="G40" s="36">
        <f>E40*$G$10</f>
        <v>0</v>
      </c>
      <c r="H40" s="36"/>
      <c r="I40" s="36">
        <f>+E40+F40-G40-H40</f>
        <v>328522.95833333331</v>
      </c>
      <c r="J40" s="36">
        <f>+I40+(I40*$I$4)</f>
        <v>394227.55</v>
      </c>
      <c r="K40" s="36">
        <v>394227.55</v>
      </c>
      <c r="L40" s="37"/>
      <c r="M40" s="37"/>
      <c r="N40" s="92">
        <f>-IF(L40=0,,IF(M40=0,($C$10-L40),M40-L40))</f>
        <v>0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9.5" customHeight="1">
      <c r="A41" s="104"/>
      <c r="B41" s="104"/>
      <c r="C41" s="106"/>
      <c r="D41" s="107"/>
      <c r="E41" s="108">
        <f t="shared" ref="E41:K41" si="14">SUM(E40:E40)</f>
        <v>328522.95833333331</v>
      </c>
      <c r="F41" s="108">
        <f t="shared" si="14"/>
        <v>0</v>
      </c>
      <c r="G41" s="108">
        <f t="shared" si="14"/>
        <v>0</v>
      </c>
      <c r="H41" s="108">
        <f t="shared" si="14"/>
        <v>0</v>
      </c>
      <c r="I41" s="108">
        <f t="shared" si="14"/>
        <v>328522.95833333331</v>
      </c>
      <c r="J41" s="113">
        <f t="shared" si="14"/>
        <v>394227.55</v>
      </c>
      <c r="K41" s="113">
        <f t="shared" si="14"/>
        <v>394227.55</v>
      </c>
      <c r="L41" s="109"/>
      <c r="M41" s="10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133</v>
      </c>
      <c r="B42" s="41"/>
      <c r="C42" s="43"/>
      <c r="D42" s="44"/>
      <c r="E42" s="36">
        <f>379743.93/1.2</f>
        <v>316453.27500000002</v>
      </c>
      <c r="F42" s="36">
        <f>-E42*$F$10</f>
        <v>0</v>
      </c>
      <c r="G42" s="36">
        <f>E42*$G$10</f>
        <v>0</v>
      </c>
      <c r="H42" s="36"/>
      <c r="I42" s="36">
        <f>+E42+F42-G42-H42</f>
        <v>316453.27500000002</v>
      </c>
      <c r="J42" s="36">
        <f>+I42+(I42*$I$4)</f>
        <v>379743.93000000005</v>
      </c>
      <c r="K42" s="36">
        <v>379743.93000000005</v>
      </c>
      <c r="L42" s="37"/>
      <c r="M42" s="37"/>
      <c r="N42" s="92">
        <f>-IF(L42=0,,IF(M42=0,($C$10-L42),M42-L42))</f>
        <v>0</v>
      </c>
      <c r="O42" s="36">
        <f>+J42-K42</f>
        <v>0</v>
      </c>
      <c r="P42" s="36" t="e">
        <f>+IF($C$10&lt;L42,0,O42)</f>
        <v>#REF!</v>
      </c>
      <c r="Q42" s="39"/>
      <c r="R42" s="40">
        <f>IF(N42&gt;=0,0,(IF(-N42&lt;=60,O42,0)))</f>
        <v>0</v>
      </c>
      <c r="S42" s="40">
        <f>IF(N42&gt;=0,0,(IF(N42&gt;=-60,0,IF(-60&gt;=N42,IF(N42&gt;=-120,O42,0)))))</f>
        <v>0</v>
      </c>
      <c r="T42" s="40">
        <f>IF(N42&gt;=0,0,(IF(N42&gt;-60,0,IF(-60&gt;=N42,IF(N42&gt;=-120,0,IF(N42&gt;=-180,O42,0))))))</f>
        <v>0</v>
      </c>
      <c r="U42" s="40">
        <f>IF(N42&gt;=0,0,(IF(N42&gt;-60,0,IF(-60&gt;=N42,IF(N42&gt;-120,0,IF(N42&gt;=-180,0,IF(N42&gt;=-365,O42,0)))))))</f>
        <v>0</v>
      </c>
      <c r="V42" s="40">
        <f>IF(N42&gt;=0,0,IF(365&lt;-N42,O42,0))</f>
        <v>0</v>
      </c>
    </row>
    <row r="43" spans="1:22" s="99" customFormat="1" ht="19.5" customHeight="1">
      <c r="A43" s="104"/>
      <c r="B43" s="104"/>
      <c r="C43" s="106"/>
      <c r="D43" s="107"/>
      <c r="E43" s="108">
        <f t="shared" ref="E43:K43" si="15">SUM(E42:E42)</f>
        <v>316453.27500000002</v>
      </c>
      <c r="F43" s="108">
        <f t="shared" si="15"/>
        <v>0</v>
      </c>
      <c r="G43" s="108">
        <f t="shared" si="15"/>
        <v>0</v>
      </c>
      <c r="H43" s="108">
        <f t="shared" si="15"/>
        <v>0</v>
      </c>
      <c r="I43" s="108">
        <f t="shared" si="15"/>
        <v>316453.27500000002</v>
      </c>
      <c r="J43" s="113">
        <f t="shared" si="15"/>
        <v>379743.93000000005</v>
      </c>
      <c r="K43" s="113">
        <f t="shared" si="15"/>
        <v>379743.93000000005</v>
      </c>
      <c r="L43" s="109"/>
      <c r="M43" s="109"/>
      <c r="N43" s="110"/>
      <c r="O43" s="108">
        <f>SUM(O42:O42)</f>
        <v>0</v>
      </c>
      <c r="P43" s="108" t="e">
        <f>SUM(P42:P42)</f>
        <v>#REF!</v>
      </c>
      <c r="Q43" s="111"/>
      <c r="R43" s="112">
        <f>SUM(R42:R42)</f>
        <v>0</v>
      </c>
      <c r="S43" s="112">
        <f>SUM(S42:S42)</f>
        <v>0</v>
      </c>
      <c r="T43" s="112">
        <f>SUM(T42:T42)</f>
        <v>0</v>
      </c>
      <c r="U43" s="112">
        <f>SUM(U42:U42)</f>
        <v>0</v>
      </c>
      <c r="V43" s="112">
        <f>SUM(V42:V42)</f>
        <v>0</v>
      </c>
    </row>
    <row r="44" spans="1:22" ht="19.5" customHeight="1">
      <c r="A44" s="41" t="s">
        <v>70</v>
      </c>
      <c r="B44" s="41"/>
      <c r="C44" s="43"/>
      <c r="D44" s="44"/>
      <c r="E44" s="36">
        <f>974456.57/1.2</f>
        <v>812047.1416666666</v>
      </c>
      <c r="F44" s="36">
        <f>-E44*$F$10</f>
        <v>0</v>
      </c>
      <c r="G44" s="36">
        <f>E44*$G$10</f>
        <v>0</v>
      </c>
      <c r="H44" s="36"/>
      <c r="I44" s="36">
        <f>+E44+F44-G44-H44</f>
        <v>812047.1416666666</v>
      </c>
      <c r="J44" s="36">
        <f>+I44+(I44*$I$4)</f>
        <v>974456.57</v>
      </c>
      <c r="K44" s="36">
        <v>974456.57</v>
      </c>
      <c r="L44" s="37"/>
      <c r="M44" s="37"/>
      <c r="N44" s="92">
        <f>-IF(L44=0,,IF(M44=0,($C$10-L44),M44-L44))</f>
        <v>0</v>
      </c>
      <c r="O44" s="36">
        <f>+J44-K44</f>
        <v>0</v>
      </c>
      <c r="P44" s="36" t="e">
        <f>+IF($C$10&lt;L44,0,O44)</f>
        <v>#REF!</v>
      </c>
      <c r="Q44" s="39"/>
      <c r="R44" s="40">
        <f>IF(N44&gt;=0,0,(IF(-N44&lt;=60,O44,0)))</f>
        <v>0</v>
      </c>
      <c r="S44" s="40">
        <f>IF(N44&gt;=0,0,(IF(N44&gt;=-60,0,IF(-60&gt;=N44,IF(N44&gt;=-120,O44,0)))))</f>
        <v>0</v>
      </c>
      <c r="T44" s="40">
        <f>IF(N44&gt;=0,0,(IF(N44&gt;-60,0,IF(-60&gt;=N44,IF(N44&gt;=-120,0,IF(N44&gt;=-180,O44,0))))))</f>
        <v>0</v>
      </c>
      <c r="U44" s="40">
        <f>IF(N44&gt;=0,0,(IF(N44&gt;-60,0,IF(-60&gt;=N44,IF(N44&gt;-120,0,IF(N44&gt;=-180,0,IF(N44&gt;=-365,O44,0)))))))</f>
        <v>0</v>
      </c>
      <c r="V44" s="40">
        <f>IF(N44&gt;=0,0,IF(365&lt;-N44,O44,0))</f>
        <v>0</v>
      </c>
    </row>
    <row r="45" spans="1:22" s="99" customFormat="1" ht="13.5" customHeight="1">
      <c r="A45" s="104"/>
      <c r="B45" s="105"/>
      <c r="C45" s="106"/>
      <c r="D45" s="107"/>
      <c r="E45" s="108">
        <f t="shared" ref="E45:K45" si="16">SUM(E44:E44)</f>
        <v>812047.1416666666</v>
      </c>
      <c r="F45" s="108">
        <f t="shared" si="16"/>
        <v>0</v>
      </c>
      <c r="G45" s="108">
        <f t="shared" si="16"/>
        <v>0</v>
      </c>
      <c r="H45" s="108">
        <f t="shared" si="16"/>
        <v>0</v>
      </c>
      <c r="I45" s="108">
        <f t="shared" si="16"/>
        <v>812047.1416666666</v>
      </c>
      <c r="J45" s="113">
        <f t="shared" si="16"/>
        <v>974456.57</v>
      </c>
      <c r="K45" s="113">
        <f t="shared" si="16"/>
        <v>974456.57</v>
      </c>
      <c r="L45" s="109"/>
      <c r="M45" s="109"/>
      <c r="N45" s="110"/>
      <c r="O45" s="108">
        <f>SUM(O44:O44)</f>
        <v>0</v>
      </c>
      <c r="P45" s="108" t="e">
        <f>SUM(P44:P44)</f>
        <v>#REF!</v>
      </c>
      <c r="Q45" s="111"/>
      <c r="R45" s="112">
        <f>SUM(R44:R44)</f>
        <v>0</v>
      </c>
      <c r="S45" s="112">
        <f>SUM(S44:S44)</f>
        <v>0</v>
      </c>
      <c r="T45" s="112">
        <f>SUM(T44:T44)</f>
        <v>0</v>
      </c>
      <c r="U45" s="112">
        <f>SUM(U44:U44)</f>
        <v>0</v>
      </c>
      <c r="V45" s="112">
        <f>SUM(V44:V44)</f>
        <v>0</v>
      </c>
    </row>
    <row r="46" spans="1:22" ht="19.5" customHeight="1">
      <c r="A46" s="41" t="s">
        <v>181</v>
      </c>
      <c r="B46" s="41"/>
      <c r="C46" s="43"/>
      <c r="D46" s="44"/>
      <c r="E46" s="36">
        <f>42139.94/1.2</f>
        <v>35116.616666666669</v>
      </c>
      <c r="F46" s="36">
        <f>-E46*$F$10</f>
        <v>0</v>
      </c>
      <c r="G46" s="36">
        <f>E46*$G$10</f>
        <v>0</v>
      </c>
      <c r="H46" s="36"/>
      <c r="I46" s="36">
        <f>+E46+F46-G46-H46</f>
        <v>35116.616666666669</v>
      </c>
      <c r="J46" s="36">
        <f>+I46+(I46*$I$4)</f>
        <v>42139.94</v>
      </c>
      <c r="K46" s="36">
        <v>42139.94</v>
      </c>
      <c r="L46" s="37"/>
      <c r="M46" s="37"/>
      <c r="N46" s="92">
        <f>-IF(L46=0,,IF(M46=0,($C$10-L46),M46-L46))</f>
        <v>0</v>
      </c>
      <c r="O46" s="36">
        <f>+J46-K46</f>
        <v>0</v>
      </c>
      <c r="P46" s="36" t="e">
        <f>+IF($C$10&lt;L46,0,O46)</f>
        <v>#REF!</v>
      </c>
      <c r="Q46" s="39"/>
      <c r="R46" s="40">
        <f>IF(N46&gt;=0,0,(IF(-N46&lt;=60,O46,0)))</f>
        <v>0</v>
      </c>
      <c r="S46" s="40">
        <f>IF(N46&gt;=0,0,(IF(N46&gt;=-60,0,IF(-60&gt;=N46,IF(N46&gt;=-120,O46,0)))))</f>
        <v>0</v>
      </c>
      <c r="T46" s="40">
        <f>IF(N46&gt;=0,0,(IF(N46&gt;-60,0,IF(-60&gt;=N46,IF(N46&gt;=-120,0,IF(N46&gt;=-180,O46,0))))))</f>
        <v>0</v>
      </c>
      <c r="U46" s="40">
        <f>IF(N46&gt;=0,0,(IF(N46&gt;-60,0,IF(-60&gt;=N46,IF(N46&gt;-120,0,IF(N46&gt;=-180,0,IF(N46&gt;=-365,O46,0)))))))</f>
        <v>0</v>
      </c>
      <c r="V46" s="40">
        <f>IF(N46&gt;=0,0,IF(365&lt;-N46,O46,0))</f>
        <v>0</v>
      </c>
    </row>
    <row r="47" spans="1:22" s="99" customFormat="1" ht="12.75" customHeight="1">
      <c r="A47" s="104"/>
      <c r="B47" s="104"/>
      <c r="C47" s="106"/>
      <c r="D47" s="107"/>
      <c r="E47" s="108">
        <f t="shared" ref="E47:K47" si="17">SUM(E46:E46)</f>
        <v>35116.616666666669</v>
      </c>
      <c r="F47" s="108">
        <f t="shared" si="17"/>
        <v>0</v>
      </c>
      <c r="G47" s="108">
        <f t="shared" si="17"/>
        <v>0</v>
      </c>
      <c r="H47" s="108">
        <f t="shared" si="17"/>
        <v>0</v>
      </c>
      <c r="I47" s="108">
        <f t="shared" si="17"/>
        <v>35116.616666666669</v>
      </c>
      <c r="J47" s="113">
        <f t="shared" si="17"/>
        <v>42139.94</v>
      </c>
      <c r="K47" s="113">
        <f t="shared" si="17"/>
        <v>42139.94</v>
      </c>
      <c r="L47" s="109"/>
      <c r="M47" s="109"/>
      <c r="N47" s="110"/>
      <c r="O47" s="108">
        <f>SUM(O46:O46)</f>
        <v>0</v>
      </c>
      <c r="P47" s="108" t="e">
        <f>SUM(P46:P46)</f>
        <v>#REF!</v>
      </c>
      <c r="Q47" s="111"/>
      <c r="R47" s="112">
        <f>SUM(R46:R46)</f>
        <v>0</v>
      </c>
      <c r="S47" s="112">
        <f>SUM(S46:S46)</f>
        <v>0</v>
      </c>
      <c r="T47" s="112">
        <f>SUM(T46:T46)</f>
        <v>0</v>
      </c>
      <c r="U47" s="112">
        <f>SUM(U46:U46)</f>
        <v>0</v>
      </c>
      <c r="V47" s="112">
        <f>SUM(V46:V46)</f>
        <v>0</v>
      </c>
    </row>
    <row r="48" spans="1:22" ht="19.5" customHeight="1">
      <c r="A48" s="41" t="s">
        <v>182</v>
      </c>
      <c r="B48" s="41"/>
      <c r="C48" s="43"/>
      <c r="D48" s="44"/>
      <c r="E48" s="36">
        <f>18799.1/1.2</f>
        <v>15665.916666666666</v>
      </c>
      <c r="F48" s="36">
        <f>-E48*$F$10</f>
        <v>0</v>
      </c>
      <c r="G48" s="36">
        <f>E48*$G$10</f>
        <v>0</v>
      </c>
      <c r="H48" s="36"/>
      <c r="I48" s="36">
        <f>+E48+F48-G48-H48</f>
        <v>15665.916666666666</v>
      </c>
      <c r="J48" s="36">
        <f>+I48+(I48*$I$4)</f>
        <v>18799.099999999999</v>
      </c>
      <c r="K48" s="36">
        <v>18799.099999999999</v>
      </c>
      <c r="L48" s="37"/>
      <c r="M48" s="37"/>
      <c r="N48" s="92">
        <f>-IF(L48=0,,IF(M48=0,($C$10-L48),M48-L48))</f>
        <v>0</v>
      </c>
      <c r="O48" s="36">
        <f>+J48-K48</f>
        <v>0</v>
      </c>
      <c r="P48" s="36" t="e">
        <f>+IF($C$10&lt;L48,0,O48)</f>
        <v>#REF!</v>
      </c>
      <c r="Q48" s="39"/>
      <c r="R48" s="40">
        <f>IF(N48&gt;=0,0,(IF(-N48&lt;=60,O48,0)))</f>
        <v>0</v>
      </c>
      <c r="S48" s="40">
        <f>IF(N48&gt;=0,0,(IF(N48&gt;=-60,0,IF(-60&gt;=N48,IF(N48&gt;=-120,O48,0)))))</f>
        <v>0</v>
      </c>
      <c r="T48" s="40">
        <f>IF(N48&gt;=0,0,(IF(N48&gt;-60,0,IF(-60&gt;=N48,IF(N48&gt;=-120,0,IF(N48&gt;=-180,O48,0))))))</f>
        <v>0</v>
      </c>
      <c r="U48" s="40">
        <f>IF(N48&gt;=0,0,(IF(N48&gt;-60,0,IF(-60&gt;=N48,IF(N48&gt;-120,0,IF(N48&gt;=-180,0,IF(N48&gt;=-365,O48,0)))))))</f>
        <v>0</v>
      </c>
      <c r="V48" s="40">
        <f>IF(N48&gt;=0,0,IF(365&lt;-N48,O48,0))</f>
        <v>0</v>
      </c>
    </row>
    <row r="49" spans="1:22" s="99" customFormat="1" ht="13.5" customHeight="1">
      <c r="A49" s="104"/>
      <c r="B49" s="105"/>
      <c r="C49" s="106"/>
      <c r="D49" s="107"/>
      <c r="E49" s="108">
        <f t="shared" ref="E49:K49" si="18">SUM(E48:E48)</f>
        <v>15665.916666666666</v>
      </c>
      <c r="F49" s="108">
        <f t="shared" si="18"/>
        <v>0</v>
      </c>
      <c r="G49" s="108">
        <f t="shared" si="18"/>
        <v>0</v>
      </c>
      <c r="H49" s="108">
        <f t="shared" si="18"/>
        <v>0</v>
      </c>
      <c r="I49" s="108">
        <f t="shared" si="18"/>
        <v>15665.916666666666</v>
      </c>
      <c r="J49" s="113">
        <f t="shared" si="18"/>
        <v>18799.099999999999</v>
      </c>
      <c r="K49" s="113">
        <f t="shared" si="18"/>
        <v>18799.099999999999</v>
      </c>
      <c r="L49" s="109"/>
      <c r="M49" s="109"/>
      <c r="N49" s="110"/>
      <c r="O49" s="108">
        <f>SUM(O48:O48)</f>
        <v>0</v>
      </c>
      <c r="P49" s="108" t="e">
        <f>SUM(P48:P48)</f>
        <v>#REF!</v>
      </c>
      <c r="Q49" s="111"/>
      <c r="R49" s="112">
        <f>SUM(R48:R48)</f>
        <v>0</v>
      </c>
      <c r="S49" s="112">
        <f>SUM(S48:S48)</f>
        <v>0</v>
      </c>
      <c r="T49" s="112">
        <f>SUM(T48:T48)</f>
        <v>0</v>
      </c>
      <c r="U49" s="112">
        <f>SUM(U48:U48)</f>
        <v>0</v>
      </c>
      <c r="V49" s="112">
        <f>SUM(V48:V48)</f>
        <v>0</v>
      </c>
    </row>
    <row r="50" spans="1:22" ht="19.5" customHeight="1">
      <c r="A50" s="41" t="s">
        <v>93</v>
      </c>
      <c r="B50" s="41"/>
      <c r="C50" s="43">
        <v>39113</v>
      </c>
      <c r="D50" s="44"/>
      <c r="E50" s="36">
        <v>44654.616666666669</v>
      </c>
      <c r="F50" s="36">
        <f t="shared" ref="F50:F58" si="19">-E50*$F$10</f>
        <v>0</v>
      </c>
      <c r="G50" s="36">
        <f t="shared" ref="G50:G58" si="20">E50*$G$10</f>
        <v>0</v>
      </c>
      <c r="H50" s="36"/>
      <c r="I50" s="36">
        <f t="shared" ref="I50:I58" si="21">+E50+F50-G50-H50</f>
        <v>44654.616666666669</v>
      </c>
      <c r="J50" s="36">
        <f t="shared" ref="J50:J58" si="22">+I50+(I50*$I$4)</f>
        <v>53585.54</v>
      </c>
      <c r="K50" s="36">
        <v>53585.54</v>
      </c>
      <c r="L50" s="37">
        <v>39212</v>
      </c>
      <c r="M50" s="37">
        <v>39310</v>
      </c>
      <c r="N50" s="92">
        <f t="shared" ref="N50:N58" si="23">-IF(L50=0,,IF(M50=0,($C$10-L50),M50-L50))</f>
        <v>-98</v>
      </c>
      <c r="O50" s="36">
        <f t="shared" ref="O50:O58" si="24">+J50-K50</f>
        <v>0</v>
      </c>
      <c r="P50" s="36" t="e">
        <f t="shared" ref="P50:P58" si="25">+IF($C$10&lt;L50,0,O50)</f>
        <v>#REF!</v>
      </c>
      <c r="Q50" s="39"/>
      <c r="R50" s="40">
        <f t="shared" ref="R50:R58" si="26">IF(N50&gt;=0,0,(IF(-N50&lt;=60,O50,0)))</f>
        <v>0</v>
      </c>
      <c r="S50" s="40">
        <f t="shared" ref="S50:S58" si="27">IF(N50&gt;=0,0,(IF(N50&gt;=-60,0,IF(-60&gt;=N50,IF(N50&gt;=-120,O50,0)))))</f>
        <v>0</v>
      </c>
      <c r="T50" s="40">
        <f t="shared" ref="T50:T58" si="28">IF(N50&gt;=0,0,(IF(N50&gt;-60,0,IF(-60&gt;=N50,IF(N50&gt;=-120,0,IF(N50&gt;=-180,O50,0))))))</f>
        <v>0</v>
      </c>
      <c r="U50" s="40">
        <f t="shared" ref="U50:U58" si="29">IF(N50&gt;=0,0,(IF(N50&gt;-60,0,IF(-60&gt;=N50,IF(N50&gt;-120,0,IF(N50&gt;=-180,0,IF(N50&gt;=-365,O50,0)))))))</f>
        <v>0</v>
      </c>
      <c r="V50" s="40">
        <f t="shared" ref="V50:V57" si="30">IF(N50&gt;=0,0,IF(365&lt;-N50,O50,0))</f>
        <v>0</v>
      </c>
    </row>
    <row r="51" spans="1:22" ht="19.5" customHeight="1">
      <c r="A51" s="41" t="s">
        <v>93</v>
      </c>
      <c r="B51" s="41"/>
      <c r="C51" s="43">
        <v>39141</v>
      </c>
      <c r="D51" s="44"/>
      <c r="E51" s="36">
        <v>173411.7</v>
      </c>
      <c r="F51" s="36">
        <f t="shared" si="19"/>
        <v>0</v>
      </c>
      <c r="G51" s="36">
        <f t="shared" si="20"/>
        <v>0</v>
      </c>
      <c r="H51" s="36"/>
      <c r="I51" s="36">
        <f t="shared" si="21"/>
        <v>173411.7</v>
      </c>
      <c r="J51" s="36">
        <f t="shared" si="22"/>
        <v>208094.04</v>
      </c>
      <c r="K51" s="36">
        <v>208094.04</v>
      </c>
      <c r="L51" s="37">
        <v>39243</v>
      </c>
      <c r="M51" s="37">
        <v>39346</v>
      </c>
      <c r="N51" s="92">
        <f t="shared" si="23"/>
        <v>-103</v>
      </c>
      <c r="O51" s="36">
        <f t="shared" si="24"/>
        <v>0</v>
      </c>
      <c r="P51" s="36" t="e">
        <f t="shared" si="25"/>
        <v>#REF!</v>
      </c>
      <c r="Q51" s="39"/>
      <c r="R51" s="40">
        <f t="shared" si="26"/>
        <v>0</v>
      </c>
      <c r="S51" s="40">
        <f t="shared" si="27"/>
        <v>0</v>
      </c>
      <c r="T51" s="40">
        <f t="shared" si="28"/>
        <v>0</v>
      </c>
      <c r="U51" s="40">
        <f t="shared" si="29"/>
        <v>0</v>
      </c>
      <c r="V51" s="40">
        <f t="shared" si="30"/>
        <v>0</v>
      </c>
    </row>
    <row r="52" spans="1:22" ht="19.5" customHeight="1">
      <c r="A52" s="41" t="s">
        <v>93</v>
      </c>
      <c r="B52" s="41"/>
      <c r="C52" s="43">
        <v>39172</v>
      </c>
      <c r="D52" s="44"/>
      <c r="E52" s="36">
        <v>97331.941666666666</v>
      </c>
      <c r="F52" s="36">
        <f t="shared" si="19"/>
        <v>0</v>
      </c>
      <c r="G52" s="36">
        <f t="shared" si="20"/>
        <v>0</v>
      </c>
      <c r="H52" s="36"/>
      <c r="I52" s="36">
        <f t="shared" si="21"/>
        <v>97331.941666666666</v>
      </c>
      <c r="J52" s="36">
        <f t="shared" si="22"/>
        <v>116798.33</v>
      </c>
      <c r="K52" s="36">
        <v>116798.33</v>
      </c>
      <c r="L52" s="37">
        <v>39273</v>
      </c>
      <c r="M52" s="37">
        <v>39660</v>
      </c>
      <c r="N52" s="92">
        <f t="shared" si="23"/>
        <v>-387</v>
      </c>
      <c r="O52" s="36">
        <f t="shared" si="24"/>
        <v>0</v>
      </c>
      <c r="P52" s="36" t="e">
        <f t="shared" si="25"/>
        <v>#REF!</v>
      </c>
      <c r="Q52" s="39"/>
      <c r="R52" s="40">
        <f t="shared" si="26"/>
        <v>0</v>
      </c>
      <c r="S52" s="40">
        <f t="shared" si="27"/>
        <v>0</v>
      </c>
      <c r="T52" s="40">
        <f t="shared" si="28"/>
        <v>0</v>
      </c>
      <c r="U52" s="40">
        <f t="shared" si="29"/>
        <v>0</v>
      </c>
      <c r="V52" s="40">
        <f t="shared" si="30"/>
        <v>0</v>
      </c>
    </row>
    <row r="53" spans="1:22" ht="19.5" customHeight="1">
      <c r="A53" s="41" t="s">
        <v>93</v>
      </c>
      <c r="B53" s="41"/>
      <c r="C53" s="43">
        <v>39202</v>
      </c>
      <c r="D53" s="44"/>
      <c r="E53" s="36">
        <v>131300.84166666667</v>
      </c>
      <c r="F53" s="36">
        <f t="shared" si="19"/>
        <v>0</v>
      </c>
      <c r="G53" s="36">
        <f t="shared" si="20"/>
        <v>0</v>
      </c>
      <c r="H53" s="36"/>
      <c r="I53" s="36">
        <f t="shared" si="21"/>
        <v>131300.84166666667</v>
      </c>
      <c r="J53" s="36">
        <f t="shared" si="22"/>
        <v>157561.01</v>
      </c>
      <c r="K53" s="36">
        <v>157561.01</v>
      </c>
      <c r="L53" s="37">
        <v>39304</v>
      </c>
      <c r="M53" s="37">
        <v>39752</v>
      </c>
      <c r="N53" s="92">
        <f t="shared" si="23"/>
        <v>-448</v>
      </c>
      <c r="O53" s="36">
        <f t="shared" si="24"/>
        <v>0</v>
      </c>
      <c r="P53" s="36" t="e">
        <f t="shared" si="25"/>
        <v>#REF!</v>
      </c>
      <c r="Q53" s="39"/>
      <c r="R53" s="40">
        <f t="shared" si="26"/>
        <v>0</v>
      </c>
      <c r="S53" s="40">
        <f t="shared" si="27"/>
        <v>0</v>
      </c>
      <c r="T53" s="40">
        <f t="shared" si="28"/>
        <v>0</v>
      </c>
      <c r="U53" s="40">
        <f t="shared" si="29"/>
        <v>0</v>
      </c>
      <c r="V53" s="40">
        <f t="shared" si="30"/>
        <v>0</v>
      </c>
    </row>
    <row r="54" spans="1:22" ht="19.5" customHeight="1">
      <c r="A54" s="41" t="s">
        <v>93</v>
      </c>
      <c r="B54" s="41"/>
      <c r="C54" s="43">
        <v>39233</v>
      </c>
      <c r="D54" s="44"/>
      <c r="E54" s="36">
        <v>21383.908333333333</v>
      </c>
      <c r="F54" s="36">
        <f t="shared" si="19"/>
        <v>0</v>
      </c>
      <c r="G54" s="36">
        <f t="shared" si="20"/>
        <v>0</v>
      </c>
      <c r="H54" s="36"/>
      <c r="I54" s="36">
        <f t="shared" si="21"/>
        <v>21383.908333333333</v>
      </c>
      <c r="J54" s="36">
        <f t="shared" si="22"/>
        <v>25660.69</v>
      </c>
      <c r="K54" s="36">
        <v>25660.69</v>
      </c>
      <c r="L54" s="37">
        <v>39335</v>
      </c>
      <c r="M54" s="37">
        <v>39752</v>
      </c>
      <c r="N54" s="92">
        <f t="shared" si="23"/>
        <v>-417</v>
      </c>
      <c r="O54" s="36">
        <f t="shared" si="24"/>
        <v>0</v>
      </c>
      <c r="P54" s="36" t="e">
        <f t="shared" si="25"/>
        <v>#REF!</v>
      </c>
      <c r="Q54" s="39"/>
      <c r="R54" s="40">
        <f t="shared" si="26"/>
        <v>0</v>
      </c>
      <c r="S54" s="40">
        <f t="shared" si="27"/>
        <v>0</v>
      </c>
      <c r="T54" s="40">
        <f t="shared" si="28"/>
        <v>0</v>
      </c>
      <c r="U54" s="40">
        <f t="shared" si="29"/>
        <v>0</v>
      </c>
      <c r="V54" s="40">
        <f t="shared" si="30"/>
        <v>0</v>
      </c>
    </row>
    <row r="55" spans="1:22" ht="19.5" customHeight="1">
      <c r="A55" s="41" t="s">
        <v>93</v>
      </c>
      <c r="B55" s="41"/>
      <c r="C55" s="43">
        <v>39263</v>
      </c>
      <c r="D55" s="44"/>
      <c r="E55" s="36">
        <v>81086.183333333334</v>
      </c>
      <c r="F55" s="36">
        <f t="shared" si="19"/>
        <v>0</v>
      </c>
      <c r="G55" s="36">
        <f t="shared" si="20"/>
        <v>0</v>
      </c>
      <c r="H55" s="36"/>
      <c r="I55" s="36">
        <f t="shared" si="21"/>
        <v>81086.183333333334</v>
      </c>
      <c r="J55" s="36">
        <f t="shared" si="22"/>
        <v>97303.42</v>
      </c>
      <c r="K55" s="36">
        <v>97303.42</v>
      </c>
      <c r="L55" s="37">
        <v>39365</v>
      </c>
      <c r="M55" s="37">
        <v>40071</v>
      </c>
      <c r="N55" s="92">
        <f t="shared" si="23"/>
        <v>-706</v>
      </c>
      <c r="O55" s="36">
        <f t="shared" si="24"/>
        <v>0</v>
      </c>
      <c r="P55" s="36" t="e">
        <f t="shared" si="25"/>
        <v>#REF!</v>
      </c>
      <c r="Q55" s="39"/>
      <c r="R55" s="40">
        <f t="shared" si="26"/>
        <v>0</v>
      </c>
      <c r="S55" s="40">
        <f t="shared" si="27"/>
        <v>0</v>
      </c>
      <c r="T55" s="40">
        <f t="shared" si="28"/>
        <v>0</v>
      </c>
      <c r="U55" s="40">
        <f t="shared" si="29"/>
        <v>0</v>
      </c>
      <c r="V55" s="40">
        <f t="shared" si="30"/>
        <v>0</v>
      </c>
    </row>
    <row r="56" spans="1:22" ht="19.5" customHeight="1">
      <c r="A56" s="41" t="s">
        <v>93</v>
      </c>
      <c r="B56" s="41"/>
      <c r="C56" s="43">
        <v>39294</v>
      </c>
      <c r="D56" s="44"/>
      <c r="E56" s="36">
        <v>19571.125</v>
      </c>
      <c r="F56" s="36">
        <f t="shared" si="19"/>
        <v>0</v>
      </c>
      <c r="G56" s="36">
        <f t="shared" si="20"/>
        <v>0</v>
      </c>
      <c r="H56" s="36"/>
      <c r="I56" s="36">
        <f t="shared" si="21"/>
        <v>19571.125</v>
      </c>
      <c r="J56" s="36">
        <f t="shared" si="22"/>
        <v>23485.35</v>
      </c>
      <c r="K56" s="36">
        <v>4603.3900000000003</v>
      </c>
      <c r="L56" s="37">
        <v>39396</v>
      </c>
      <c r="M56" s="37">
        <v>40101</v>
      </c>
      <c r="N56" s="92">
        <f t="shared" si="23"/>
        <v>-705</v>
      </c>
      <c r="O56" s="36">
        <f t="shared" si="24"/>
        <v>18881.96</v>
      </c>
      <c r="P56" s="36" t="e">
        <f t="shared" si="25"/>
        <v>#REF!</v>
      </c>
      <c r="Q56" s="39"/>
      <c r="R56" s="40">
        <f t="shared" si="26"/>
        <v>0</v>
      </c>
      <c r="S56" s="40">
        <f t="shared" si="27"/>
        <v>0</v>
      </c>
      <c r="T56" s="40">
        <f t="shared" si="28"/>
        <v>0</v>
      </c>
      <c r="U56" s="40">
        <f t="shared" si="29"/>
        <v>0</v>
      </c>
      <c r="V56" s="40">
        <f t="shared" si="30"/>
        <v>18881.96</v>
      </c>
    </row>
    <row r="57" spans="1:22" ht="19.5" customHeight="1">
      <c r="A57" s="41" t="s">
        <v>93</v>
      </c>
      <c r="B57" s="41"/>
      <c r="C57" s="43">
        <v>39325</v>
      </c>
      <c r="D57" s="44"/>
      <c r="E57" s="36">
        <v>70098.350000000006</v>
      </c>
      <c r="F57" s="36">
        <f t="shared" si="19"/>
        <v>0</v>
      </c>
      <c r="G57" s="36">
        <f t="shared" si="20"/>
        <v>0</v>
      </c>
      <c r="H57" s="36"/>
      <c r="I57" s="36">
        <f t="shared" si="21"/>
        <v>70098.350000000006</v>
      </c>
      <c r="J57" s="36">
        <f t="shared" si="22"/>
        <v>84118.02</v>
      </c>
      <c r="K57" s="36"/>
      <c r="L57" s="37">
        <v>39426</v>
      </c>
      <c r="M57" s="37"/>
      <c r="N57" s="92" t="e">
        <f t="shared" si="23"/>
        <v>#REF!</v>
      </c>
      <c r="O57" s="36">
        <f t="shared" si="24"/>
        <v>84118.02</v>
      </c>
      <c r="P57" s="36" t="e">
        <f t="shared" si="25"/>
        <v>#REF!</v>
      </c>
      <c r="Q57" s="39"/>
      <c r="R57" s="40" t="e">
        <f t="shared" si="26"/>
        <v>#REF!</v>
      </c>
      <c r="S57" s="40" t="e">
        <f t="shared" si="27"/>
        <v>#REF!</v>
      </c>
      <c r="T57" s="40" t="e">
        <f t="shared" si="28"/>
        <v>#REF!</v>
      </c>
      <c r="U57" s="40" t="e">
        <f t="shared" si="29"/>
        <v>#REF!</v>
      </c>
      <c r="V57" s="40" t="e">
        <f t="shared" si="30"/>
        <v>#REF!</v>
      </c>
    </row>
    <row r="58" spans="1:22" ht="19.5" customHeight="1">
      <c r="A58" s="41" t="s">
        <v>93</v>
      </c>
      <c r="B58" s="41"/>
      <c r="C58" s="43">
        <v>41121</v>
      </c>
      <c r="D58" s="44"/>
      <c r="E58" s="36">
        <v>-40000</v>
      </c>
      <c r="F58" s="36">
        <f t="shared" si="19"/>
        <v>0</v>
      </c>
      <c r="G58" s="36">
        <f t="shared" si="20"/>
        <v>0</v>
      </c>
      <c r="H58" s="36"/>
      <c r="I58" s="36">
        <f t="shared" si="21"/>
        <v>-40000</v>
      </c>
      <c r="J58" s="36">
        <f t="shared" si="22"/>
        <v>-48000</v>
      </c>
      <c r="K58" s="36">
        <v>54999.98</v>
      </c>
      <c r="L58" s="37">
        <v>41121</v>
      </c>
      <c r="M58" s="37">
        <v>42289</v>
      </c>
      <c r="N58" s="92">
        <f t="shared" si="23"/>
        <v>-1168</v>
      </c>
      <c r="O58" s="36">
        <f t="shared" si="24"/>
        <v>-102999.98000000001</v>
      </c>
      <c r="P58" s="36" t="e">
        <f t="shared" si="25"/>
        <v>#REF!</v>
      </c>
      <c r="Q58" s="39"/>
      <c r="R58" s="40">
        <f t="shared" si="26"/>
        <v>0</v>
      </c>
      <c r="S58" s="40">
        <f t="shared" si="27"/>
        <v>0</v>
      </c>
      <c r="T58" s="40">
        <f t="shared" si="28"/>
        <v>0</v>
      </c>
      <c r="U58" s="40">
        <f t="shared" si="29"/>
        <v>0</v>
      </c>
      <c r="V58" s="40">
        <v>-48000</v>
      </c>
    </row>
    <row r="59" spans="1:22" s="99" customFormat="1" ht="19.5" customHeight="1">
      <c r="A59" s="104"/>
      <c r="B59" s="104"/>
      <c r="C59" s="106"/>
      <c r="D59" s="107"/>
      <c r="E59" s="108">
        <f>SUM(E50:E58)</f>
        <v>598838.66666666663</v>
      </c>
      <c r="F59" s="108">
        <f t="shared" ref="F59:K59" si="31">SUM(F50:F58)</f>
        <v>0</v>
      </c>
      <c r="G59" s="108">
        <f t="shared" si="31"/>
        <v>0</v>
      </c>
      <c r="H59" s="108">
        <f t="shared" si="31"/>
        <v>0</v>
      </c>
      <c r="I59" s="108">
        <f t="shared" si="31"/>
        <v>598838.66666666663</v>
      </c>
      <c r="J59" s="113">
        <f t="shared" si="31"/>
        <v>718606.4</v>
      </c>
      <c r="K59" s="113">
        <f t="shared" si="31"/>
        <v>718606.4</v>
      </c>
      <c r="L59" s="109"/>
      <c r="M59" s="109"/>
      <c r="N59" s="110"/>
      <c r="O59" s="108">
        <f>SUM(O50:O58)</f>
        <v>0</v>
      </c>
      <c r="P59" s="108" t="e">
        <f>SUM(P50:P58)</f>
        <v>#REF!</v>
      </c>
      <c r="Q59" s="111"/>
      <c r="R59" s="112" t="e">
        <f>SUM(R50:R58)</f>
        <v>#REF!</v>
      </c>
      <c r="S59" s="112" t="e">
        <f>SUM(S50:S58)</f>
        <v>#REF!</v>
      </c>
      <c r="T59" s="112" t="e">
        <f>SUM(T50:T58)</f>
        <v>#REF!</v>
      </c>
      <c r="U59" s="112" t="e">
        <f>SUM(U50:U58)</f>
        <v>#REF!</v>
      </c>
      <c r="V59" s="112" t="e">
        <f>SUM(V50:V58)</f>
        <v>#REF!</v>
      </c>
    </row>
    <row r="60" spans="1:22" ht="19.5" customHeight="1">
      <c r="A60" s="41" t="s">
        <v>165</v>
      </c>
      <c r="B60" s="41"/>
      <c r="C60" s="43"/>
      <c r="D60" s="44"/>
      <c r="E60" s="36"/>
      <c r="F60" s="36">
        <f>-E60*$F$10</f>
        <v>0</v>
      </c>
      <c r="G60" s="36">
        <f>E60*$G$10</f>
        <v>0</v>
      </c>
      <c r="H60" s="36"/>
      <c r="I60" s="36">
        <f>+E60+F60-G60-H60</f>
        <v>0</v>
      </c>
      <c r="J60" s="36">
        <f>+I60+(I60*$I$4)</f>
        <v>0</v>
      </c>
      <c r="K60" s="36"/>
      <c r="L60" s="37"/>
      <c r="M60" s="37"/>
      <c r="N60" s="92">
        <f>-IF(L60=0,,IF(M60=0,($C$10-L60),M60-L60))</f>
        <v>0</v>
      </c>
      <c r="O60" s="36">
        <f>+J60-K60</f>
        <v>0</v>
      </c>
      <c r="P60" s="36" t="e">
        <f>+IF($C$10&lt;L60,0,O60)</f>
        <v>#REF!</v>
      </c>
      <c r="Q60" s="39"/>
      <c r="R60" s="40">
        <f>IF(N60&gt;=0,0,(IF(-N60&lt;=60,O60,0)))</f>
        <v>0</v>
      </c>
      <c r="S60" s="40">
        <f>IF(N60&gt;=0,0,(IF(N60&gt;=-60,0,IF(-60&gt;=N60,IF(N60&gt;=-120,O60,0)))))</f>
        <v>0</v>
      </c>
      <c r="T60" s="40">
        <f>IF(N60&gt;=0,0,(IF(N60&gt;-60,0,IF(-60&gt;=N60,IF(N60&gt;=-120,0,IF(N60&gt;=-180,O60,0))))))</f>
        <v>0</v>
      </c>
      <c r="U60" s="40">
        <f>IF(N60&gt;=0,0,(IF(N60&gt;-60,0,IF(-60&gt;=N60,IF(N60&gt;-120,0,IF(N60&gt;=-180,0,IF(N60&gt;=-365,O60,0)))))))</f>
        <v>0</v>
      </c>
      <c r="V60" s="40">
        <f>IF(N60&gt;=0,0,IF(365&lt;-N60,O60,0))</f>
        <v>0</v>
      </c>
    </row>
    <row r="61" spans="1:22" s="99" customFormat="1" ht="12.75" customHeight="1">
      <c r="A61" s="104"/>
      <c r="B61" s="104"/>
      <c r="C61" s="106"/>
      <c r="D61" s="107"/>
      <c r="E61" s="108">
        <f t="shared" ref="E61:K61" si="32">SUM(E60:E60)</f>
        <v>0</v>
      </c>
      <c r="F61" s="108">
        <f t="shared" si="32"/>
        <v>0</v>
      </c>
      <c r="G61" s="108">
        <f t="shared" si="32"/>
        <v>0</v>
      </c>
      <c r="H61" s="108">
        <f t="shared" si="32"/>
        <v>0</v>
      </c>
      <c r="I61" s="108">
        <f t="shared" si="32"/>
        <v>0</v>
      </c>
      <c r="J61" s="113">
        <f t="shared" si="32"/>
        <v>0</v>
      </c>
      <c r="K61" s="113">
        <f t="shared" si="32"/>
        <v>0</v>
      </c>
      <c r="L61" s="109"/>
      <c r="M61" s="109"/>
      <c r="N61" s="110"/>
      <c r="O61" s="108">
        <f>SUM(O60:O60)</f>
        <v>0</v>
      </c>
      <c r="P61" s="108" t="e">
        <f>SUM(P60:P60)</f>
        <v>#REF!</v>
      </c>
      <c r="Q61" s="111"/>
      <c r="R61" s="112">
        <f>SUM(R60:R60)</f>
        <v>0</v>
      </c>
      <c r="S61" s="112">
        <f>SUM(S60:S60)</f>
        <v>0</v>
      </c>
      <c r="T61" s="112">
        <f>SUM(T60:T60)</f>
        <v>0</v>
      </c>
      <c r="U61" s="112">
        <f>SUM(U60:U60)</f>
        <v>0</v>
      </c>
      <c r="V61" s="112">
        <f>SUM(V60:V60)</f>
        <v>0</v>
      </c>
    </row>
    <row r="62" spans="1:22" ht="19.5" customHeight="1" thickBot="1">
      <c r="A62" s="41"/>
      <c r="B62" s="42"/>
      <c r="C62" s="43"/>
      <c r="D62" s="44"/>
      <c r="E62" s="36"/>
      <c r="F62" s="36"/>
      <c r="G62" s="36"/>
      <c r="H62" s="36"/>
      <c r="I62" s="36"/>
      <c r="J62" s="36"/>
      <c r="K62" s="36"/>
      <c r="L62" s="37"/>
      <c r="M62" s="37"/>
      <c r="N62" s="38"/>
      <c r="O62" s="36"/>
      <c r="P62" s="42" t="e">
        <f>+IF($C$10&lt;L62,0,O62)</f>
        <v>#REF!</v>
      </c>
      <c r="Q62" s="39"/>
      <c r="R62" s="97"/>
      <c r="S62" s="97"/>
      <c r="T62" s="97"/>
      <c r="U62" s="97"/>
      <c r="V62" s="97"/>
    </row>
    <row r="63" spans="1:22" s="111" customFormat="1" ht="28.5" customHeight="1" thickBot="1">
      <c r="A63" s="120"/>
      <c r="B63" s="121" t="s">
        <v>43</v>
      </c>
      <c r="C63" s="121"/>
      <c r="D63" s="121"/>
      <c r="E63" s="122">
        <f t="shared" ref="E63:K63" si="33">SUM(E12:E62)/2</f>
        <v>26038079.233333323</v>
      </c>
      <c r="F63" s="122">
        <f t="shared" si="33"/>
        <v>0</v>
      </c>
      <c r="G63" s="122">
        <f t="shared" si="33"/>
        <v>0</v>
      </c>
      <c r="H63" s="122">
        <f t="shared" si="33"/>
        <v>0</v>
      </c>
      <c r="I63" s="122">
        <f t="shared" si="33"/>
        <v>26038079.233333323</v>
      </c>
      <c r="J63" s="122">
        <f t="shared" si="33"/>
        <v>31245695.079999998</v>
      </c>
      <c r="K63" s="122">
        <f t="shared" si="33"/>
        <v>31245695.079999994</v>
      </c>
      <c r="L63" s="123"/>
      <c r="M63" s="123"/>
      <c r="N63" s="123"/>
      <c r="O63" s="122">
        <f>SUM(O12:O62)/2</f>
        <v>0</v>
      </c>
      <c r="P63" s="122" t="e">
        <f>SUM(P12:P62)/2</f>
        <v>#REF!</v>
      </c>
      <c r="R63" s="124" t="e">
        <f>SUM(R12:R62)/2</f>
        <v>#REF!</v>
      </c>
      <c r="S63" s="124" t="e">
        <f>SUM(S12:S62)/2</f>
        <v>#REF!</v>
      </c>
      <c r="T63" s="124" t="e">
        <f>SUM(T12:T62)/2</f>
        <v>#REF!</v>
      </c>
      <c r="U63" s="124" t="e">
        <f>SUM(U12:U62)/2</f>
        <v>#REF!</v>
      </c>
      <c r="V63" s="124" t="e">
        <f>SUM(V12:V62)/2</f>
        <v>#REF!</v>
      </c>
    </row>
    <row r="64" spans="1:22" ht="21" customHeight="1">
      <c r="A64" s="45"/>
      <c r="B64" s="46"/>
      <c r="C64" s="46"/>
      <c r="D64" s="47" t="s">
        <v>44</v>
      </c>
      <c r="E64" s="48">
        <f>+E63/$M$7</f>
        <v>0.99605415305605249</v>
      </c>
      <c r="F64" s="46"/>
      <c r="G64" s="46"/>
      <c r="H64" s="46"/>
      <c r="I64" s="46"/>
      <c r="J64" s="47" t="s">
        <v>45</v>
      </c>
      <c r="K64" s="48">
        <f>+K63/J63</f>
        <v>0.99999999999999989</v>
      </c>
      <c r="L64" s="46"/>
      <c r="M64" s="46"/>
      <c r="N64" s="46"/>
      <c r="O64" s="46"/>
      <c r="P64" s="49"/>
      <c r="Q64" s="39"/>
      <c r="R64" s="39"/>
      <c r="S64" s="39"/>
      <c r="T64" s="39"/>
      <c r="U64" s="39"/>
      <c r="V64" s="39"/>
    </row>
    <row r="65" spans="1:22" ht="21" customHeight="1" thickBot="1">
      <c r="A65" s="50"/>
      <c r="B65" s="51"/>
      <c r="C65" s="51"/>
      <c r="D65" s="52" t="s">
        <v>46</v>
      </c>
      <c r="E65" s="53">
        <f>+$M$7-$E$63</f>
        <v>103149.2866666764</v>
      </c>
      <c r="F65" s="54">
        <f>+E65/M7</f>
        <v>3.9458469439475454E-3</v>
      </c>
      <c r="G65" s="51"/>
      <c r="H65" s="51"/>
      <c r="I65" s="51"/>
      <c r="J65" s="117"/>
      <c r="K65" s="51"/>
      <c r="L65" s="51"/>
      <c r="M65" s="51"/>
      <c r="N65" s="51"/>
      <c r="O65" s="51"/>
      <c r="P65" s="55"/>
      <c r="Q65" s="39"/>
      <c r="R65" s="39"/>
      <c r="S65" s="39"/>
      <c r="T65" s="39"/>
      <c r="U65" s="39"/>
      <c r="V65" s="39"/>
    </row>
    <row r="66" spans="1:22">
      <c r="A66" s="39"/>
      <c r="B66" s="45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9"/>
      <c r="O66" s="39"/>
      <c r="P66" s="39"/>
      <c r="Q66" s="39"/>
      <c r="R66" s="39"/>
      <c r="S66" s="39"/>
      <c r="T66" s="39"/>
      <c r="U66" s="39"/>
      <c r="V66" s="39"/>
    </row>
    <row r="67" spans="1:22" ht="21">
      <c r="A67" s="39"/>
      <c r="B67" s="56"/>
      <c r="C67" s="91" t="s">
        <v>47</v>
      </c>
      <c r="D67" s="91"/>
      <c r="E67" s="91"/>
      <c r="F67" s="91"/>
      <c r="G67" s="91"/>
      <c r="H67" s="91" t="s">
        <v>189</v>
      </c>
      <c r="I67" s="57"/>
      <c r="J67" s="57"/>
      <c r="K67" s="57"/>
      <c r="L67" s="57"/>
      <c r="M67" s="57"/>
      <c r="N67" s="58"/>
      <c r="O67" s="39"/>
      <c r="P67" s="39"/>
      <c r="Q67" s="39"/>
      <c r="R67" s="39"/>
      <c r="S67" s="39"/>
      <c r="T67" s="39"/>
      <c r="U67" s="39"/>
      <c r="V67" s="39"/>
    </row>
    <row r="68" spans="1:22" ht="17.25" thickBot="1">
      <c r="A68" s="39"/>
      <c r="B68" s="56"/>
      <c r="C68" s="57"/>
      <c r="D68" s="57"/>
      <c r="E68" s="57"/>
      <c r="F68" s="57"/>
      <c r="G68" s="59"/>
      <c r="H68" s="57"/>
      <c r="I68" s="57"/>
      <c r="J68" s="57"/>
      <c r="K68" s="57"/>
      <c r="L68" s="57"/>
      <c r="M68" s="57"/>
      <c r="N68" s="58"/>
      <c r="O68" s="39"/>
      <c r="P68" s="39"/>
      <c r="Q68" s="39"/>
      <c r="R68" s="39"/>
      <c r="S68" s="39"/>
      <c r="T68" s="39"/>
      <c r="U68" s="39"/>
      <c r="V68" s="39"/>
    </row>
    <row r="69" spans="1:22" ht="18" customHeight="1" thickBot="1">
      <c r="A69" s="39"/>
      <c r="B69" s="56"/>
      <c r="C69" s="158" t="s">
        <v>48</v>
      </c>
      <c r="D69" s="159"/>
      <c r="E69" s="160"/>
      <c r="F69" s="79" t="s">
        <v>57</v>
      </c>
      <c r="G69" s="61">
        <f>+M7</f>
        <v>26141228.52</v>
      </c>
      <c r="H69" s="60"/>
      <c r="I69" s="62"/>
      <c r="J69" s="60"/>
      <c r="K69" s="60"/>
      <c r="L69" s="60"/>
      <c r="M69" s="60"/>
      <c r="N69" s="63"/>
      <c r="O69" s="39"/>
      <c r="P69" s="39"/>
      <c r="Q69" s="39"/>
      <c r="R69" s="39"/>
      <c r="S69" s="39"/>
      <c r="T69" s="39"/>
      <c r="U69" s="39"/>
      <c r="V69" s="39"/>
    </row>
    <row r="70" spans="1:22" ht="17.25" thickBot="1">
      <c r="A70" s="39"/>
      <c r="B70" s="56"/>
      <c r="C70" s="79"/>
      <c r="D70" s="79"/>
      <c r="E70" s="79"/>
      <c r="F70" s="79"/>
      <c r="G70" s="60"/>
      <c r="H70" s="60"/>
      <c r="I70" s="60"/>
      <c r="J70" s="60"/>
      <c r="K70" s="60"/>
      <c r="L70" s="60"/>
      <c r="M70" s="60"/>
      <c r="N70" s="63"/>
      <c r="O70" s="39"/>
      <c r="P70" s="39"/>
      <c r="Q70" s="39"/>
      <c r="R70" s="39"/>
      <c r="S70" s="39"/>
      <c r="T70" s="39"/>
      <c r="U70" s="39"/>
      <c r="V70" s="39"/>
    </row>
    <row r="71" spans="1:22" ht="18" customHeight="1" thickBot="1">
      <c r="A71" s="39"/>
      <c r="B71" s="56"/>
      <c r="C71" s="149" t="s">
        <v>49</v>
      </c>
      <c r="D71" s="150"/>
      <c r="E71" s="151"/>
      <c r="F71" s="79" t="s">
        <v>57</v>
      </c>
      <c r="G71" s="64">
        <f>+E63</f>
        <v>26038079.233333323</v>
      </c>
      <c r="H71" s="60"/>
      <c r="I71" s="60"/>
      <c r="J71" s="65">
        <f>G71/G69</f>
        <v>0.99605415305605249</v>
      </c>
      <c r="K71" s="100" t="s">
        <v>50</v>
      </c>
      <c r="L71" s="66"/>
      <c r="M71" s="66"/>
      <c r="N71" s="63"/>
      <c r="O71" s="39"/>
      <c r="P71" s="39"/>
      <c r="Q71" s="39"/>
      <c r="R71" s="39"/>
      <c r="S71" s="39"/>
      <c r="T71" s="39"/>
      <c r="U71" s="39"/>
      <c r="V71" s="39"/>
    </row>
    <row r="72" spans="1:22" ht="17.25" thickBot="1">
      <c r="B72" s="67"/>
      <c r="C72" s="79"/>
      <c r="D72" s="79"/>
      <c r="E72" s="79"/>
      <c r="F72" s="79"/>
      <c r="G72" s="60"/>
      <c r="H72" s="60"/>
      <c r="I72" s="60"/>
      <c r="J72" s="60"/>
      <c r="K72" s="101"/>
      <c r="L72" s="60"/>
      <c r="M72" s="60"/>
      <c r="N72" s="63"/>
    </row>
    <row r="73" spans="1:22" ht="18" customHeight="1" thickBot="1">
      <c r="B73" s="67"/>
      <c r="C73" s="152" t="s">
        <v>58</v>
      </c>
      <c r="D73" s="153"/>
      <c r="E73" s="154"/>
      <c r="F73" s="79" t="s">
        <v>56</v>
      </c>
      <c r="G73" s="68">
        <f>+K63</f>
        <v>31245695.079999994</v>
      </c>
      <c r="H73" s="60"/>
      <c r="I73" s="60"/>
      <c r="J73" s="69">
        <f>+G73/J63</f>
        <v>0.99999999999999989</v>
      </c>
      <c r="K73" s="102" t="s">
        <v>51</v>
      </c>
      <c r="L73" s="70"/>
      <c r="M73" s="70"/>
      <c r="N73" s="63"/>
    </row>
    <row r="74" spans="1:22" ht="17.25" thickBot="1">
      <c r="B74" s="67"/>
      <c r="C74" s="79"/>
      <c r="D74" s="79"/>
      <c r="E74" s="79"/>
      <c r="F74" s="79"/>
      <c r="G74" s="60"/>
      <c r="H74" s="60"/>
      <c r="I74" s="60"/>
      <c r="J74" s="60"/>
      <c r="K74" s="101"/>
      <c r="L74" s="60"/>
      <c r="M74" s="60"/>
      <c r="N74" s="63"/>
    </row>
    <row r="75" spans="1:22" ht="18" customHeight="1" thickBot="1">
      <c r="B75" s="67"/>
      <c r="C75" s="152" t="s">
        <v>52</v>
      </c>
      <c r="D75" s="153"/>
      <c r="E75" s="154"/>
      <c r="F75" s="79" t="s">
        <v>56</v>
      </c>
      <c r="G75" s="71">
        <f>+O63</f>
        <v>0</v>
      </c>
      <c r="H75" s="60"/>
      <c r="I75" s="60"/>
      <c r="J75" s="72">
        <f>+G75/J63</f>
        <v>0</v>
      </c>
      <c r="K75" s="102" t="s">
        <v>51</v>
      </c>
      <c r="L75" s="73"/>
      <c r="M75" s="73"/>
      <c r="N75" s="63"/>
    </row>
    <row r="76" spans="1:22" ht="17.25" thickBot="1">
      <c r="B76" s="67"/>
      <c r="C76" s="79"/>
      <c r="D76" s="79"/>
      <c r="E76" s="79"/>
      <c r="F76" s="79"/>
      <c r="G76" s="60"/>
      <c r="H76" s="60"/>
      <c r="I76" s="60"/>
      <c r="J76" s="60"/>
      <c r="K76" s="101"/>
      <c r="L76" s="60"/>
      <c r="M76" s="60"/>
      <c r="N76" s="63"/>
    </row>
    <row r="77" spans="1:22" ht="18" customHeight="1" thickBot="1">
      <c r="B77" s="67"/>
      <c r="C77" s="152" t="s">
        <v>54</v>
      </c>
      <c r="D77" s="153"/>
      <c r="E77" s="154"/>
      <c r="F77" s="79" t="s">
        <v>56</v>
      </c>
      <c r="G77" s="74" t="e">
        <f>+P63</f>
        <v>#REF!</v>
      </c>
      <c r="H77" s="60"/>
      <c r="I77" s="60"/>
      <c r="J77" s="75" t="e">
        <f>+G77/J63</f>
        <v>#REF!</v>
      </c>
      <c r="K77" s="102" t="s">
        <v>51</v>
      </c>
      <c r="L77" s="70"/>
      <c r="M77" s="70"/>
      <c r="N77" s="63"/>
    </row>
    <row r="78" spans="1:22" ht="5.25" customHeight="1" thickBot="1">
      <c r="B78" s="76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8"/>
    </row>
  </sheetData>
  <mergeCells count="18">
    <mergeCell ref="C71:E71"/>
    <mergeCell ref="C73:E73"/>
    <mergeCell ref="C75:E75"/>
    <mergeCell ref="C77:E77"/>
    <mergeCell ref="M5:N5"/>
    <mergeCell ref="M6:N6"/>
    <mergeCell ref="M7:N7"/>
    <mergeCell ref="M8:N8"/>
    <mergeCell ref="O10:P10"/>
    <mergeCell ref="C69:E69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47" fitToHeight="4" orientation="landscape" r:id="rId1"/>
  <rowBreaks count="1" manualBreakCount="1">
    <brk id="65" max="15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4"/>
  <sheetViews>
    <sheetView workbookViewId="0">
      <selection activeCell="F1" sqref="F1:F2"/>
    </sheetView>
  </sheetViews>
  <sheetFormatPr baseColWidth="10" defaultColWidth="11.42578125" defaultRowHeight="16.5"/>
  <cols>
    <col min="1" max="1" width="22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11.28515625" style="7" bestFit="1" customWidth="1"/>
    <col min="23" max="16384" width="11.42578125" style="7"/>
  </cols>
  <sheetData>
    <row r="1" spans="1:22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22657420.359999999</v>
      </c>
      <c r="N1" s="144"/>
      <c r="O1" s="5" t="s">
        <v>3</v>
      </c>
      <c r="P1" s="6"/>
    </row>
    <row r="2" spans="1:22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2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/>
      <c r="N3" s="137"/>
      <c r="O3" s="11"/>
      <c r="P3" s="12"/>
    </row>
    <row r="4" spans="1:22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2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2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2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22657420.359999999</v>
      </c>
      <c r="N7" s="145"/>
      <c r="O7" s="11"/>
      <c r="P7" s="12"/>
    </row>
    <row r="8" spans="1:22">
      <c r="A8" s="23" t="s">
        <v>18</v>
      </c>
      <c r="B8" s="24"/>
      <c r="C8" s="24"/>
      <c r="D8" s="25" t="s">
        <v>175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27188904.432</v>
      </c>
      <c r="N8" s="146"/>
      <c r="O8" s="30"/>
      <c r="P8" s="31"/>
    </row>
    <row r="10" spans="1:22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K10" s="7">
        <v>22657420.359999999</v>
      </c>
      <c r="O10" s="147" t="s">
        <v>22</v>
      </c>
      <c r="P10" s="148"/>
    </row>
    <row r="11" spans="1:22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2" ht="19.5" customHeight="1">
      <c r="A12" s="41" t="s">
        <v>62</v>
      </c>
      <c r="B12" s="42"/>
      <c r="C12" s="125"/>
      <c r="D12" s="44"/>
      <c r="E12" s="36">
        <f>1496420.48333333-2485.02</f>
        <v>1493935.4633333299</v>
      </c>
      <c r="F12" s="36">
        <f>-E12*$F$10</f>
        <v>0</v>
      </c>
      <c r="G12" s="36">
        <f>E12*$G$10</f>
        <v>0</v>
      </c>
      <c r="H12" s="36"/>
      <c r="I12" s="36">
        <f>+E12+F12-G12-H12</f>
        <v>1493935.4633333299</v>
      </c>
      <c r="J12" s="36">
        <f>+I12+(I12*$I$4)</f>
        <v>1792722.5559999959</v>
      </c>
      <c r="K12" s="36">
        <v>1792722.5559999959</v>
      </c>
      <c r="L12" s="37"/>
      <c r="M12" s="37"/>
      <c r="N12" s="92">
        <f>-IF(L12=0,,IF(M12=0,($C$10-L12),M12-L12))</f>
        <v>0</v>
      </c>
      <c r="O12" s="36">
        <f>+J12-K12</f>
        <v>0</v>
      </c>
      <c r="P12" s="36" t="e">
        <f>+IF($C$10&lt;L12,0,O12)</f>
        <v>#REF!</v>
      </c>
      <c r="Q12" s="39"/>
      <c r="R12" s="40">
        <f>IF(N12&gt;=0,0,(IF(-N12&lt;=60,O12,0)))</f>
        <v>0</v>
      </c>
      <c r="S12" s="40">
        <f>IF(N12&gt;=0,0,(IF(N12&gt;=-60,0,IF(-60&gt;=N12,IF(N12&gt;=-120,O12,0)))))</f>
        <v>0</v>
      </c>
      <c r="T12" s="40">
        <f>IF(N12&gt;=0,0,(IF(N12&gt;-60,0,IF(-60&gt;=N12,IF(N12&gt;=-120,0,IF(N12&gt;=-180,O12,0))))))</f>
        <v>0</v>
      </c>
      <c r="U12" s="40">
        <f>IF(N12&gt;=0,0,(IF(N12&gt;-60,0,IF(-60&gt;=N12,IF(N12&gt;-120,0,IF(N12&gt;=-180,0,IF(N12&gt;=-365,O12,0)))))))</f>
        <v>0</v>
      </c>
      <c r="V12" s="40">
        <f>IF(N12&gt;=0,0,IF(365&lt;-N12,O12,0))</f>
        <v>0</v>
      </c>
    </row>
    <row r="13" spans="1:22" s="99" customFormat="1" ht="19.5" customHeight="1">
      <c r="A13" s="104"/>
      <c r="B13" s="105"/>
      <c r="C13" s="106"/>
      <c r="D13" s="107"/>
      <c r="E13" s="108">
        <f t="shared" ref="E13:K13" si="0">SUM(E12:E12)</f>
        <v>1493935.4633333299</v>
      </c>
      <c r="F13" s="108">
        <f t="shared" si="0"/>
        <v>0</v>
      </c>
      <c r="G13" s="108">
        <f t="shared" si="0"/>
        <v>0</v>
      </c>
      <c r="H13" s="108">
        <f t="shared" si="0"/>
        <v>0</v>
      </c>
      <c r="I13" s="108">
        <f t="shared" si="0"/>
        <v>1493935.4633333299</v>
      </c>
      <c r="J13" s="113">
        <f t="shared" si="0"/>
        <v>1792722.5559999959</v>
      </c>
      <c r="K13" s="113">
        <f t="shared" si="0"/>
        <v>1792722.5559999959</v>
      </c>
      <c r="L13" s="109"/>
      <c r="M13" s="109"/>
      <c r="N13" s="110"/>
      <c r="O13" s="108">
        <f>SUM(O12:O12)</f>
        <v>0</v>
      </c>
      <c r="P13" s="108" t="e">
        <f>SUM(P12:P12)</f>
        <v>#REF!</v>
      </c>
      <c r="Q13" s="114"/>
      <c r="R13" s="115">
        <f>SUM(R12:R12)</f>
        <v>0</v>
      </c>
      <c r="S13" s="115">
        <f>SUM(S12:S12)</f>
        <v>0</v>
      </c>
      <c r="T13" s="115">
        <f>SUM(T12:T12)</f>
        <v>0</v>
      </c>
      <c r="U13" s="115">
        <f>SUM(U12:U12)</f>
        <v>0</v>
      </c>
      <c r="V13" s="115">
        <f>SUM(V12:V12)</f>
        <v>0</v>
      </c>
    </row>
    <row r="14" spans="1:22" ht="19.5" customHeight="1">
      <c r="A14" s="41" t="s">
        <v>63</v>
      </c>
      <c r="B14" s="42"/>
      <c r="C14" s="43"/>
      <c r="D14" s="44"/>
      <c r="E14" s="36">
        <f>1540402/1.2</f>
        <v>1283668.3333333335</v>
      </c>
      <c r="F14" s="36">
        <f>-E14*$F$10</f>
        <v>0</v>
      </c>
      <c r="G14" s="36">
        <f>E14*$G$10</f>
        <v>0</v>
      </c>
      <c r="H14" s="36"/>
      <c r="I14" s="36">
        <f>+E14+F14-G14-H14</f>
        <v>1283668.3333333335</v>
      </c>
      <c r="J14" s="36">
        <f>+I14+(I14*$I$4)</f>
        <v>1540402.0000000002</v>
      </c>
      <c r="K14" s="36">
        <v>1540402.0000000002</v>
      </c>
      <c r="L14" s="37"/>
      <c r="M14" s="37"/>
      <c r="N14" s="92">
        <f>-IF(L14=0,,IF(M14=0,($C$10-L14),M14-L14))</f>
        <v>0</v>
      </c>
      <c r="O14" s="36">
        <f>+J14-K14</f>
        <v>0</v>
      </c>
      <c r="P14" s="36" t="e">
        <f>+IF($C$10&lt;L14,0,O14)</f>
        <v>#REF!</v>
      </c>
      <c r="Q14" s="39"/>
      <c r="R14" s="40">
        <f>IF(N14&gt;=0,0,(IF(-N14&lt;=60,O14,0)))</f>
        <v>0</v>
      </c>
      <c r="S14" s="40">
        <f>IF(N14&gt;=0,0,(IF(N14&gt;=-60,0,IF(-60&gt;=N14,IF(N14&gt;=-120,O14,0)))))</f>
        <v>0</v>
      </c>
      <c r="T14" s="40">
        <f>IF(N14&gt;=0,0,(IF(N14&gt;-60,0,IF(-60&gt;=N14,IF(N14&gt;=-120,0,IF(N14&gt;=-180,O14,0))))))</f>
        <v>0</v>
      </c>
      <c r="U14" s="40">
        <f>IF(N14&gt;=0,0,(IF(N14&gt;-60,0,IF(-60&gt;=N14,IF(N14&gt;-120,0,IF(N14&gt;=-180,0,IF(N14&gt;=-365,O14,0)))))))</f>
        <v>0</v>
      </c>
      <c r="V14" s="40">
        <f>IF(N14&gt;=0,0,IF(365&lt;-N14,O14,0))</f>
        <v>0</v>
      </c>
    </row>
    <row r="15" spans="1:22" s="99" customFormat="1" ht="19.5" customHeight="1">
      <c r="A15" s="104"/>
      <c r="B15" s="104"/>
      <c r="C15" s="106"/>
      <c r="D15" s="107"/>
      <c r="E15" s="108">
        <f t="shared" ref="E15:K15" si="1">SUM(E14:E14)</f>
        <v>1283668.3333333335</v>
      </c>
      <c r="F15" s="108">
        <f t="shared" si="1"/>
        <v>0</v>
      </c>
      <c r="G15" s="108">
        <f t="shared" si="1"/>
        <v>0</v>
      </c>
      <c r="H15" s="108">
        <f t="shared" si="1"/>
        <v>0</v>
      </c>
      <c r="I15" s="108">
        <f t="shared" si="1"/>
        <v>1283668.3333333335</v>
      </c>
      <c r="J15" s="113">
        <f t="shared" si="1"/>
        <v>1540402.0000000002</v>
      </c>
      <c r="K15" s="113">
        <f t="shared" si="1"/>
        <v>1540402.0000000002</v>
      </c>
      <c r="L15" s="109"/>
      <c r="M15" s="109"/>
      <c r="N15" s="110"/>
      <c r="O15" s="108">
        <f>SUM(O14:O14)</f>
        <v>0</v>
      </c>
      <c r="P15" s="108" t="e">
        <f>SUM(P14:P14)</f>
        <v>#REF!</v>
      </c>
      <c r="Q15" s="111"/>
      <c r="R15" s="112">
        <f>SUM(R14:R14)</f>
        <v>0</v>
      </c>
      <c r="S15" s="112">
        <f>SUM(S14:S14)</f>
        <v>0</v>
      </c>
      <c r="T15" s="112">
        <f>SUM(T14:T14)</f>
        <v>0</v>
      </c>
      <c r="U15" s="112">
        <f>SUM(U14:U14)</f>
        <v>0</v>
      </c>
      <c r="V15" s="112">
        <f>SUM(V14:V14)</f>
        <v>0</v>
      </c>
    </row>
    <row r="16" spans="1:22" ht="19.5" customHeight="1">
      <c r="A16" s="41" t="s">
        <v>73</v>
      </c>
      <c r="B16" s="41"/>
      <c r="C16" s="43"/>
      <c r="D16" s="44"/>
      <c r="E16" s="36">
        <f>16411676.62/1.2</f>
        <v>13676397.183333334</v>
      </c>
      <c r="F16" s="36">
        <f>-E16*$F$10</f>
        <v>0</v>
      </c>
      <c r="G16" s="36">
        <f>E16*$G$10</f>
        <v>0</v>
      </c>
      <c r="H16" s="36"/>
      <c r="I16" s="36">
        <f>+E16+F16-G16-H16</f>
        <v>13676397.183333334</v>
      </c>
      <c r="J16" s="36">
        <f>+I16+(I16*$I$4)</f>
        <v>16411676.620000001</v>
      </c>
      <c r="K16" s="36">
        <v>16411676.620000001</v>
      </c>
      <c r="L16" s="37"/>
      <c r="M16" s="37"/>
      <c r="N16" s="92">
        <f>-IF(L16=0,,IF(M16=0,($C$10-L16),M16-L16))</f>
        <v>0</v>
      </c>
      <c r="O16" s="36">
        <f>+J16-K16</f>
        <v>0</v>
      </c>
      <c r="P16" s="36" t="e">
        <f>+IF($C$10&lt;L16,0,O16)</f>
        <v>#REF!</v>
      </c>
      <c r="Q16" s="39"/>
      <c r="R16" s="40">
        <f>IF(N16&gt;=0,0,(IF(-N16&lt;=60,O16,0)))</f>
        <v>0</v>
      </c>
      <c r="S16" s="40">
        <f>IF(N16&gt;=0,0,(IF(N16&gt;=-60,0,IF(-60&gt;=N16,IF(N16&gt;=-120,O16,0)))))</f>
        <v>0</v>
      </c>
      <c r="T16" s="40">
        <f>IF(N16&gt;=0,0,(IF(N16&gt;-60,0,IF(-60&gt;=N16,IF(N16&gt;=-120,0,IF(N16&gt;=-180,O16,0))))))</f>
        <v>0</v>
      </c>
      <c r="U16" s="40">
        <f>IF(N16&gt;=0,0,(IF(N16&gt;-60,0,IF(-60&gt;=N16,IF(N16&gt;-120,0,IF(N16&gt;=-180,0,IF(N16&gt;=-365,O16,0)))))))</f>
        <v>0</v>
      </c>
      <c r="V16" s="40">
        <f>IF(N16&gt;=0,0,IF(365&lt;-N16,O16,0))</f>
        <v>0</v>
      </c>
    </row>
    <row r="17" spans="1:22" s="99" customFormat="1" ht="19.5" customHeight="1">
      <c r="A17" s="104"/>
      <c r="B17" s="104"/>
      <c r="C17" s="106"/>
      <c r="D17" s="107"/>
      <c r="E17" s="108">
        <f t="shared" ref="E17:K17" si="2">SUM(E16:E16)</f>
        <v>13676397.183333334</v>
      </c>
      <c r="F17" s="108">
        <f t="shared" si="2"/>
        <v>0</v>
      </c>
      <c r="G17" s="108">
        <f t="shared" si="2"/>
        <v>0</v>
      </c>
      <c r="H17" s="108">
        <f t="shared" si="2"/>
        <v>0</v>
      </c>
      <c r="I17" s="108">
        <f t="shared" si="2"/>
        <v>13676397.183333334</v>
      </c>
      <c r="J17" s="113">
        <f t="shared" si="2"/>
        <v>16411676.620000001</v>
      </c>
      <c r="K17" s="113">
        <f t="shared" si="2"/>
        <v>16411676.620000001</v>
      </c>
      <c r="L17" s="109"/>
      <c r="M17" s="109"/>
      <c r="N17" s="110"/>
      <c r="O17" s="108">
        <f>SUM(O16:O16)</f>
        <v>0</v>
      </c>
      <c r="P17" s="108" t="e">
        <f>SUM(P16:P16)</f>
        <v>#REF!</v>
      </c>
      <c r="Q17" s="111"/>
      <c r="R17" s="112">
        <f>SUM(R16:R16)</f>
        <v>0</v>
      </c>
      <c r="S17" s="112">
        <f>SUM(S16:S16)</f>
        <v>0</v>
      </c>
      <c r="T17" s="112">
        <f>SUM(T16:T16)</f>
        <v>0</v>
      </c>
      <c r="U17" s="112">
        <f>SUM(U16:U16)</f>
        <v>0</v>
      </c>
      <c r="V17" s="112">
        <f>SUM(V16:V16)</f>
        <v>0</v>
      </c>
    </row>
    <row r="18" spans="1:22" ht="19.5" customHeight="1">
      <c r="A18" s="41" t="s">
        <v>99</v>
      </c>
      <c r="B18" s="41"/>
      <c r="C18" s="43"/>
      <c r="D18" s="44"/>
      <c r="E18" s="36">
        <f>340513.07/1.2</f>
        <v>283760.89166666666</v>
      </c>
      <c r="F18" s="36">
        <f>-E18*$F$10</f>
        <v>0</v>
      </c>
      <c r="G18" s="36">
        <f>E18*$G$10</f>
        <v>0</v>
      </c>
      <c r="H18" s="36"/>
      <c r="I18" s="36">
        <f>+E18+F18-G18-H18</f>
        <v>283760.89166666666</v>
      </c>
      <c r="J18" s="36">
        <f>+I18+(I18*$I$4)</f>
        <v>340513.07</v>
      </c>
      <c r="K18" s="36">
        <v>340513.07</v>
      </c>
      <c r="L18" s="37"/>
      <c r="M18" s="37"/>
      <c r="N18" s="92">
        <f>-IF(L18=0,,IF(M18=0,($C$10-L18),M18-L18))</f>
        <v>0</v>
      </c>
      <c r="O18" s="36">
        <f>+J18-K18</f>
        <v>0</v>
      </c>
      <c r="P18" s="36" t="e">
        <f>+IF($C$10&lt;L18,0,O18)</f>
        <v>#REF!</v>
      </c>
      <c r="Q18" s="39"/>
      <c r="R18" s="40">
        <f>IF(N18&gt;=0,0,(IF(-N18&lt;=60,O18,0)))</f>
        <v>0</v>
      </c>
      <c r="S18" s="40">
        <f>IF(N18&gt;=0,0,(IF(N18&gt;=-60,0,IF(-60&gt;=N18,IF(N18&gt;=-120,O18,0)))))</f>
        <v>0</v>
      </c>
      <c r="T18" s="40">
        <f>IF(N18&gt;=0,0,(IF(N18&gt;-60,0,IF(-60&gt;=N18,IF(N18&gt;=-120,0,IF(N18&gt;=-180,O18,0))))))</f>
        <v>0</v>
      </c>
      <c r="U18" s="40">
        <f>IF(N18&gt;=0,0,(IF(N18&gt;-60,0,IF(-60&gt;=N18,IF(N18&gt;-120,0,IF(N18&gt;=-180,0,IF(N18&gt;=-365,O18,0)))))))</f>
        <v>0</v>
      </c>
      <c r="V18" s="40">
        <f>IF(N18&gt;=0,0,IF(365&lt;-N18,O18,0))</f>
        <v>0</v>
      </c>
    </row>
    <row r="19" spans="1:22" s="99" customFormat="1" ht="19.5" customHeight="1">
      <c r="A19" s="104"/>
      <c r="B19" s="105"/>
      <c r="C19" s="106"/>
      <c r="D19" s="107"/>
      <c r="E19" s="108">
        <f t="shared" ref="E19:K19" si="3">SUM(E18:E18)</f>
        <v>283760.89166666666</v>
      </c>
      <c r="F19" s="108">
        <f t="shared" si="3"/>
        <v>0</v>
      </c>
      <c r="G19" s="108">
        <f t="shared" si="3"/>
        <v>0</v>
      </c>
      <c r="H19" s="108">
        <f t="shared" si="3"/>
        <v>0</v>
      </c>
      <c r="I19" s="108">
        <f t="shared" si="3"/>
        <v>283760.89166666666</v>
      </c>
      <c r="J19" s="113">
        <f t="shared" si="3"/>
        <v>340513.07</v>
      </c>
      <c r="K19" s="113">
        <f t="shared" si="3"/>
        <v>340513.07</v>
      </c>
      <c r="L19" s="109"/>
      <c r="M19" s="109"/>
      <c r="N19" s="110"/>
      <c r="O19" s="108">
        <f>SUM(O18:O18)</f>
        <v>0</v>
      </c>
      <c r="P19" s="108" t="e">
        <f>SUM(P18:P18)</f>
        <v>#REF!</v>
      </c>
      <c r="Q19" s="111"/>
      <c r="R19" s="112">
        <f>SUM(R18:R18)</f>
        <v>0</v>
      </c>
      <c r="S19" s="112">
        <f>SUM(S18:S18)</f>
        <v>0</v>
      </c>
      <c r="T19" s="112">
        <f>SUM(T18:T18)</f>
        <v>0</v>
      </c>
      <c r="U19" s="112">
        <f>SUM(U18:U18)</f>
        <v>0</v>
      </c>
      <c r="V19" s="112">
        <f>SUM(V18:V18)</f>
        <v>0</v>
      </c>
    </row>
    <row r="20" spans="1:22" ht="19.5" customHeight="1">
      <c r="A20" s="41" t="s">
        <v>69</v>
      </c>
      <c r="B20" s="41"/>
      <c r="C20" s="43"/>
      <c r="D20" s="44"/>
      <c r="E20" s="36">
        <f>478809.06/1.2</f>
        <v>399007.55</v>
      </c>
      <c r="F20" s="36">
        <f>-E20*$F$10</f>
        <v>0</v>
      </c>
      <c r="G20" s="36">
        <f>E20*$G$10</f>
        <v>0</v>
      </c>
      <c r="H20" s="36"/>
      <c r="I20" s="36">
        <f>+E20+F20-G20-H20</f>
        <v>399007.55</v>
      </c>
      <c r="J20" s="36">
        <f>+I20+(I20*$I$4)</f>
        <v>478809.06</v>
      </c>
      <c r="K20" s="36">
        <v>478809.06</v>
      </c>
      <c r="L20" s="37"/>
      <c r="M20" s="116"/>
      <c r="N20" s="92">
        <f>-IF(L20=0,,IF(M20=0,($C$10-L20),M20-L20))</f>
        <v>0</v>
      </c>
      <c r="O20" s="36">
        <f>+J20-K20</f>
        <v>0</v>
      </c>
      <c r="P20" s="36" t="e">
        <f>+IF($C$10&lt;L20,0,O20)</f>
        <v>#REF!</v>
      </c>
      <c r="Q20" s="39"/>
      <c r="R20" s="40">
        <f>IF(N20&gt;=0,0,(IF(-N20&lt;=60,O20,0)))</f>
        <v>0</v>
      </c>
      <c r="S20" s="40">
        <f>IF(N20&gt;=0,0,(IF(N20&gt;=-60,0,IF(-60&gt;=N20,IF(N20&gt;=-120,O20,0)))))</f>
        <v>0</v>
      </c>
      <c r="T20" s="40">
        <f>IF(N20&gt;=0,0,(IF(N20&gt;-60,0,IF(-60&gt;=N20,IF(N20&gt;=-120,0,IF(N20&gt;=-180,O20,0))))))</f>
        <v>0</v>
      </c>
      <c r="U20" s="40">
        <f>IF(N20&gt;=0,0,(IF(N20&gt;-60,0,IF(-60&gt;=N20,IF(N20&gt;-120,0,IF(N20&gt;=-180,0,IF(N20&gt;=-365,O20,0)))))))</f>
        <v>0</v>
      </c>
      <c r="V20" s="40">
        <f>IF(N20&gt;=0,0,IF(365&lt;-N20,O20,0))</f>
        <v>0</v>
      </c>
    </row>
    <row r="21" spans="1:22" s="99" customFormat="1" ht="19.5" customHeight="1">
      <c r="A21" s="104"/>
      <c r="B21" s="104"/>
      <c r="C21" s="106"/>
      <c r="D21" s="107"/>
      <c r="E21" s="108">
        <f t="shared" ref="E21:K21" si="4">SUM(E20:E20)</f>
        <v>399007.55</v>
      </c>
      <c r="F21" s="108">
        <f t="shared" si="4"/>
        <v>0</v>
      </c>
      <c r="G21" s="108">
        <f t="shared" si="4"/>
        <v>0</v>
      </c>
      <c r="H21" s="108">
        <f t="shared" si="4"/>
        <v>0</v>
      </c>
      <c r="I21" s="108">
        <f t="shared" si="4"/>
        <v>399007.55</v>
      </c>
      <c r="J21" s="113">
        <f t="shared" si="4"/>
        <v>478809.06</v>
      </c>
      <c r="K21" s="113">
        <f t="shared" si="4"/>
        <v>478809.06</v>
      </c>
      <c r="L21" s="109"/>
      <c r="M21" s="119"/>
      <c r="N21" s="110"/>
      <c r="O21" s="108">
        <f>SUM(O20:O20)</f>
        <v>0</v>
      </c>
      <c r="P21" s="108" t="e">
        <f>SUM(P20:P20)</f>
        <v>#REF!</v>
      </c>
      <c r="Q21" s="111"/>
      <c r="R21" s="112">
        <f>SUM(R20:R20)</f>
        <v>0</v>
      </c>
      <c r="S21" s="112">
        <f>SUM(S20:S20)</f>
        <v>0</v>
      </c>
      <c r="T21" s="112">
        <f>SUM(T20:T20)</f>
        <v>0</v>
      </c>
      <c r="U21" s="112">
        <f>SUM(U20:U20)</f>
        <v>0</v>
      </c>
      <c r="V21" s="112">
        <f>SUM(V20:V20)</f>
        <v>0</v>
      </c>
    </row>
    <row r="22" spans="1:22" ht="19.5" customHeight="1">
      <c r="A22" s="41" t="s">
        <v>75</v>
      </c>
      <c r="B22" s="41"/>
      <c r="C22" s="43"/>
      <c r="D22" s="44"/>
      <c r="E22" s="36">
        <f>286804.95/1.2</f>
        <v>239004.12500000003</v>
      </c>
      <c r="F22" s="36">
        <f>-E22*$F$10</f>
        <v>0</v>
      </c>
      <c r="G22" s="36">
        <f>E22*$G$10</f>
        <v>0</v>
      </c>
      <c r="H22" s="36"/>
      <c r="I22" s="36">
        <f>+E22+F22-G22-H22</f>
        <v>239004.12500000003</v>
      </c>
      <c r="J22" s="36">
        <f>+I22+(I22*$I$4)</f>
        <v>286804.95000000007</v>
      </c>
      <c r="K22" s="36">
        <v>286804.95000000007</v>
      </c>
      <c r="L22" s="37"/>
      <c r="M22" s="37"/>
      <c r="N22" s="92">
        <f>-IF(L22=0,,IF(M22=0,($C$10-L22),M22-L22))</f>
        <v>0</v>
      </c>
      <c r="O22" s="36">
        <f>+J22-K22</f>
        <v>0</v>
      </c>
      <c r="P22" s="36" t="e">
        <f>+IF($C$10&lt;L22,0,O22)</f>
        <v>#REF!</v>
      </c>
      <c r="Q22" s="39"/>
      <c r="R22" s="40">
        <f>IF(N22&gt;=0,0,(IF(-N22&lt;=60,O22,0)))</f>
        <v>0</v>
      </c>
      <c r="S22" s="40">
        <f>IF(N22&gt;=0,0,(IF(N22&gt;=-60,0,IF(-60&gt;=N22,IF(N22&gt;=-120,O22,0)))))</f>
        <v>0</v>
      </c>
      <c r="T22" s="40">
        <f>IF(N22&gt;=0,0,(IF(N22&gt;-60,0,IF(-60&gt;=N22,IF(N22&gt;=-120,0,IF(N22&gt;=-180,O22,0))))))</f>
        <v>0</v>
      </c>
      <c r="U22" s="40">
        <f>IF(N22&gt;=0,0,(IF(N22&gt;-60,0,IF(-60&gt;=N22,IF(N22&gt;-120,0,IF(N22&gt;=-180,0,IF(N22&gt;=-365,O22,0)))))))</f>
        <v>0</v>
      </c>
      <c r="V22" s="40">
        <f>IF(N22&gt;=0,0,IF(365&lt;-N22,O22,0))</f>
        <v>0</v>
      </c>
    </row>
    <row r="23" spans="1:22" s="99" customFormat="1" ht="19.5" customHeight="1">
      <c r="A23" s="104"/>
      <c r="B23" s="105"/>
      <c r="C23" s="106"/>
      <c r="D23" s="107"/>
      <c r="E23" s="108">
        <f t="shared" ref="E23:K23" si="5">SUM(E22:E22)</f>
        <v>239004.12500000003</v>
      </c>
      <c r="F23" s="108">
        <f t="shared" si="5"/>
        <v>0</v>
      </c>
      <c r="G23" s="108">
        <f t="shared" si="5"/>
        <v>0</v>
      </c>
      <c r="H23" s="108">
        <f t="shared" si="5"/>
        <v>0</v>
      </c>
      <c r="I23" s="108">
        <f t="shared" si="5"/>
        <v>239004.12500000003</v>
      </c>
      <c r="J23" s="113">
        <f t="shared" si="5"/>
        <v>286804.95000000007</v>
      </c>
      <c r="K23" s="113">
        <f t="shared" si="5"/>
        <v>286804.95000000007</v>
      </c>
      <c r="L23" s="109"/>
      <c r="M23" s="109"/>
      <c r="N23" s="110"/>
      <c r="O23" s="108">
        <f>SUM(O22:O22)</f>
        <v>0</v>
      </c>
      <c r="P23" s="108" t="e">
        <f>SUM(P22:P22)</f>
        <v>#REF!</v>
      </c>
      <c r="Q23" s="111"/>
      <c r="R23" s="112">
        <f>SUM(R22:R22)</f>
        <v>0</v>
      </c>
      <c r="S23" s="112">
        <f>SUM(S22:S22)</f>
        <v>0</v>
      </c>
      <c r="T23" s="112">
        <f>SUM(T22:T22)</f>
        <v>0</v>
      </c>
      <c r="U23" s="112">
        <f>SUM(U22:U22)</f>
        <v>0</v>
      </c>
      <c r="V23" s="112">
        <f>SUM(V22:V22)</f>
        <v>0</v>
      </c>
    </row>
    <row r="24" spans="1:22" ht="19.5" customHeight="1">
      <c r="A24" s="41" t="s">
        <v>176</v>
      </c>
      <c r="B24" s="41"/>
      <c r="C24" s="43"/>
      <c r="D24" s="44"/>
      <c r="E24" s="36">
        <f>857993.34/1.2</f>
        <v>714994.45</v>
      </c>
      <c r="F24" s="36">
        <f>-E24*$F$10</f>
        <v>0</v>
      </c>
      <c r="G24" s="36">
        <f>E24*$G$10</f>
        <v>0</v>
      </c>
      <c r="H24" s="36"/>
      <c r="I24" s="36">
        <f>+E24+F24-G24-H24</f>
        <v>714994.45</v>
      </c>
      <c r="J24" s="36">
        <f>+I24+(I24*$I$4)</f>
        <v>857993.34</v>
      </c>
      <c r="K24" s="36">
        <v>857993.34</v>
      </c>
      <c r="L24" s="37"/>
      <c r="M24" s="37"/>
      <c r="N24" s="92">
        <f>-IF(L24=0,,IF(M24=0,($C$10-L24),M24-L24))</f>
        <v>0</v>
      </c>
      <c r="O24" s="36">
        <f>+J24-K24</f>
        <v>0</v>
      </c>
      <c r="P24" s="36" t="e">
        <f>+IF($C$10&lt;L24,0,O24)</f>
        <v>#REF!</v>
      </c>
      <c r="Q24" s="39"/>
      <c r="R24" s="40">
        <f>IF(N24&gt;=0,0,(IF(-N24&lt;=60,O24,0)))</f>
        <v>0</v>
      </c>
      <c r="S24" s="40">
        <f>IF(N24&gt;=0,0,(IF(N24&gt;=-60,0,IF(-60&gt;=N24,IF(N24&gt;=-120,O24,0)))))</f>
        <v>0</v>
      </c>
      <c r="T24" s="40">
        <f>IF(N24&gt;=0,0,(IF(N24&gt;-60,0,IF(-60&gt;=N24,IF(N24&gt;=-120,0,IF(N24&gt;=-180,O24,0))))))</f>
        <v>0</v>
      </c>
      <c r="U24" s="40">
        <f>IF(N24&gt;=0,0,(IF(N24&gt;-60,0,IF(-60&gt;=N24,IF(N24&gt;-120,0,IF(N24&gt;=-180,0,IF(N24&gt;=-365,O24,0)))))))</f>
        <v>0</v>
      </c>
      <c r="V24" s="40">
        <f>IF(N24&gt;=0,0,IF(365&lt;-N24,O24,0))</f>
        <v>0</v>
      </c>
    </row>
    <row r="25" spans="1:22" s="99" customFormat="1" ht="19.5" customHeight="1">
      <c r="A25" s="104"/>
      <c r="B25" s="104"/>
      <c r="C25" s="106"/>
      <c r="D25" s="107"/>
      <c r="E25" s="108">
        <f t="shared" ref="E25:K25" si="6">SUM(E24:E24)</f>
        <v>714994.45</v>
      </c>
      <c r="F25" s="108">
        <f t="shared" si="6"/>
        <v>0</v>
      </c>
      <c r="G25" s="108">
        <f t="shared" si="6"/>
        <v>0</v>
      </c>
      <c r="H25" s="108">
        <f t="shared" si="6"/>
        <v>0</v>
      </c>
      <c r="I25" s="108">
        <f t="shared" si="6"/>
        <v>714994.45</v>
      </c>
      <c r="J25" s="113">
        <f t="shared" si="6"/>
        <v>857993.34</v>
      </c>
      <c r="K25" s="113">
        <f t="shared" si="6"/>
        <v>857993.34</v>
      </c>
      <c r="L25" s="109"/>
      <c r="M25" s="109"/>
      <c r="N25" s="110"/>
      <c r="O25" s="108">
        <f>SUM(O24:O24)</f>
        <v>0</v>
      </c>
      <c r="P25" s="108" t="e">
        <f>SUM(P24:P24)</f>
        <v>#REF!</v>
      </c>
      <c r="Q25" s="111"/>
      <c r="R25" s="112">
        <f>SUM(R24:R24)</f>
        <v>0</v>
      </c>
      <c r="S25" s="112">
        <f>SUM(S24:S24)</f>
        <v>0</v>
      </c>
      <c r="T25" s="112">
        <f>SUM(T24:T24)</f>
        <v>0</v>
      </c>
      <c r="U25" s="112">
        <f>SUM(U24:U24)</f>
        <v>0</v>
      </c>
      <c r="V25" s="112">
        <f>SUM(V24:V24)</f>
        <v>0</v>
      </c>
    </row>
    <row r="26" spans="1:22" ht="19.5" customHeight="1">
      <c r="A26" s="41" t="s">
        <v>177</v>
      </c>
      <c r="B26" s="41"/>
      <c r="C26" s="43"/>
      <c r="D26" s="44"/>
      <c r="E26" s="36">
        <f>134482.91/1.2</f>
        <v>112069.09166666667</v>
      </c>
      <c r="F26" s="36">
        <f>-E26*$F$10</f>
        <v>0</v>
      </c>
      <c r="G26" s="36">
        <f>E26*$G$10</f>
        <v>0</v>
      </c>
      <c r="H26" s="36"/>
      <c r="I26" s="36">
        <f>+E26+F26-G26-H26</f>
        <v>112069.09166666667</v>
      </c>
      <c r="J26" s="36">
        <f>+I26+(I26*$I$4)</f>
        <v>134482.91</v>
      </c>
      <c r="K26" s="36">
        <v>134482.91</v>
      </c>
      <c r="L26" s="37"/>
      <c r="M26" s="116"/>
      <c r="N26" s="92">
        <f>-IF(L26=0,,IF(M26=0,($C$10-L26),M26-L26))</f>
        <v>0</v>
      </c>
      <c r="O26" s="36">
        <f>+J26-K26</f>
        <v>0</v>
      </c>
      <c r="P26" s="36" t="e">
        <f>+IF($C$10&lt;L26,0,O26)</f>
        <v>#REF!</v>
      </c>
      <c r="Q26" s="39"/>
      <c r="R26" s="40">
        <f>IF(N26&gt;=0,0,(IF(-N26&lt;=60,O26,0)))</f>
        <v>0</v>
      </c>
      <c r="S26" s="40">
        <f>IF(N26&gt;=0,0,(IF(N26&gt;=-60,0,IF(-60&gt;=N26,IF(N26&gt;=-120,O26,0)))))</f>
        <v>0</v>
      </c>
      <c r="T26" s="40">
        <f>IF(N26&gt;=0,0,(IF(N26&gt;-60,0,IF(-60&gt;=N26,IF(N26&gt;=-120,0,IF(N26&gt;=-180,O26,0))))))</f>
        <v>0</v>
      </c>
      <c r="U26" s="40">
        <f>IF(N26&gt;=0,0,(IF(N26&gt;-60,0,IF(-60&gt;=N26,IF(N26&gt;-120,0,IF(N26&gt;=-180,0,IF(N26&gt;=-365,O26,0)))))))</f>
        <v>0</v>
      </c>
      <c r="V26" s="40">
        <f>IF(N26&gt;=0,0,IF(365&lt;-N26,O26,0))</f>
        <v>0</v>
      </c>
    </row>
    <row r="27" spans="1:22" s="99" customFormat="1" ht="19.5" customHeight="1">
      <c r="A27" s="104"/>
      <c r="B27" s="104"/>
      <c r="C27" s="106"/>
      <c r="D27" s="107"/>
      <c r="E27" s="108">
        <f t="shared" ref="E27:K27" si="7">SUM(E26:E26)</f>
        <v>112069.09166666667</v>
      </c>
      <c r="F27" s="108">
        <f t="shared" si="7"/>
        <v>0</v>
      </c>
      <c r="G27" s="108">
        <f t="shared" si="7"/>
        <v>0</v>
      </c>
      <c r="H27" s="108">
        <f t="shared" si="7"/>
        <v>0</v>
      </c>
      <c r="I27" s="108">
        <f t="shared" si="7"/>
        <v>112069.09166666667</v>
      </c>
      <c r="J27" s="113">
        <f t="shared" si="7"/>
        <v>134482.91</v>
      </c>
      <c r="K27" s="113">
        <f t="shared" si="7"/>
        <v>134482.91</v>
      </c>
      <c r="L27" s="109"/>
      <c r="M27" s="109"/>
      <c r="N27" s="110"/>
      <c r="O27" s="108">
        <f>SUM(O26:O26)</f>
        <v>0</v>
      </c>
      <c r="P27" s="108" t="e">
        <f>SUM(P26:P26)</f>
        <v>#REF!</v>
      </c>
      <c r="Q27" s="111"/>
      <c r="R27" s="112">
        <f>SUM(R26:R26)</f>
        <v>0</v>
      </c>
      <c r="S27" s="112">
        <f>SUM(S26:S26)</f>
        <v>0</v>
      </c>
      <c r="T27" s="112">
        <f>SUM(T26:T26)</f>
        <v>0</v>
      </c>
      <c r="U27" s="112">
        <f>SUM(U26:U26)</f>
        <v>0</v>
      </c>
      <c r="V27" s="112">
        <f>SUM(V26:V26)</f>
        <v>0</v>
      </c>
    </row>
    <row r="28" spans="1:22" ht="19.5" customHeight="1">
      <c r="A28" s="41" t="s">
        <v>178</v>
      </c>
      <c r="B28" s="41"/>
      <c r="C28" s="43"/>
      <c r="D28" s="44"/>
      <c r="E28" s="36">
        <f>1325897.75/1.2</f>
        <v>1104914.7916666667</v>
      </c>
      <c r="F28" s="36">
        <f>-E28*$F$10</f>
        <v>0</v>
      </c>
      <c r="G28" s="36">
        <f>E28*$G$10</f>
        <v>0</v>
      </c>
      <c r="H28" s="36"/>
      <c r="I28" s="36">
        <f>+E28+F28-G28-H28</f>
        <v>1104914.7916666667</v>
      </c>
      <c r="J28" s="36">
        <f>+I28+(I28*$I$4)</f>
        <v>1325897.75</v>
      </c>
      <c r="K28" s="36">
        <v>1325897.75</v>
      </c>
      <c r="L28" s="37"/>
      <c r="M28" s="37"/>
      <c r="N28" s="92">
        <f>-IF(L28=0,,IF(M28=0,($C$10-L28),M28-L28))</f>
        <v>0</v>
      </c>
      <c r="O28" s="36">
        <f>+J28-K28</f>
        <v>0</v>
      </c>
      <c r="P28" s="36" t="e">
        <f>+IF($C$10&lt;L28,0,O28)</f>
        <v>#REF!</v>
      </c>
      <c r="Q28" s="39"/>
      <c r="R28" s="40">
        <f>IF(N28&gt;=0,0,(IF(-N28&lt;=60,O28,0)))</f>
        <v>0</v>
      </c>
      <c r="S28" s="40">
        <f>IF(N28&gt;=0,0,(IF(N28&gt;=-60,0,IF(-60&gt;=N28,IF(N28&gt;=-120,O28,0)))))</f>
        <v>0</v>
      </c>
      <c r="T28" s="40">
        <f>IF(N28&gt;=0,0,(IF(N28&gt;-60,0,IF(-60&gt;=N28,IF(N28&gt;=-120,0,IF(N28&gt;=-180,O28,0))))))</f>
        <v>0</v>
      </c>
      <c r="U28" s="40">
        <f>IF(N28&gt;=0,0,(IF(N28&gt;-60,0,IF(-60&gt;=N28,IF(N28&gt;-120,0,IF(N28&gt;=-180,0,IF(N28&gt;=-365,O28,0)))))))</f>
        <v>0</v>
      </c>
      <c r="V28" s="40">
        <f>IF(N28&gt;=0,0,IF(365&lt;-N28,O28,0))</f>
        <v>0</v>
      </c>
    </row>
    <row r="29" spans="1:22" s="99" customFormat="1" ht="19.5" customHeight="1">
      <c r="A29" s="104"/>
      <c r="B29" s="104"/>
      <c r="C29" s="106"/>
      <c r="D29" s="107"/>
      <c r="E29" s="108">
        <f t="shared" ref="E29:K29" si="8">SUM(E28:E28)</f>
        <v>1104914.7916666667</v>
      </c>
      <c r="F29" s="108">
        <f t="shared" si="8"/>
        <v>0</v>
      </c>
      <c r="G29" s="108">
        <f t="shared" si="8"/>
        <v>0</v>
      </c>
      <c r="H29" s="108">
        <f t="shared" si="8"/>
        <v>0</v>
      </c>
      <c r="I29" s="108">
        <f t="shared" si="8"/>
        <v>1104914.7916666667</v>
      </c>
      <c r="J29" s="113">
        <f t="shared" si="8"/>
        <v>1325897.75</v>
      </c>
      <c r="K29" s="113">
        <f t="shared" si="8"/>
        <v>1325897.75</v>
      </c>
      <c r="L29" s="109"/>
      <c r="M29" s="109"/>
      <c r="N29" s="110"/>
      <c r="O29" s="108">
        <f>SUM(O28:O28)</f>
        <v>0</v>
      </c>
      <c r="P29" s="108" t="e">
        <f>SUM(P28:P28)</f>
        <v>#REF!</v>
      </c>
      <c r="Q29" s="111"/>
      <c r="R29" s="112">
        <f>SUM(R28:R28)</f>
        <v>0</v>
      </c>
      <c r="S29" s="112">
        <f>SUM(S28:S28)</f>
        <v>0</v>
      </c>
      <c r="T29" s="112">
        <f>SUM(T28:T28)</f>
        <v>0</v>
      </c>
      <c r="U29" s="112">
        <f>SUM(U28:U28)</f>
        <v>0</v>
      </c>
      <c r="V29" s="112">
        <f>SUM(V28:V28)</f>
        <v>0</v>
      </c>
    </row>
    <row r="30" spans="1:22" ht="19.5" customHeight="1">
      <c r="A30" s="41" t="s">
        <v>179</v>
      </c>
      <c r="B30" s="41"/>
      <c r="C30" s="43"/>
      <c r="D30" s="44"/>
      <c r="E30" s="36">
        <f>345712.56/1.2</f>
        <v>288093.8</v>
      </c>
      <c r="F30" s="36">
        <f>-E30*$F$10</f>
        <v>0</v>
      </c>
      <c r="G30" s="36">
        <f>E30*$G$10</f>
        <v>0</v>
      </c>
      <c r="H30" s="36"/>
      <c r="I30" s="36">
        <f>+E30+F30-G30-H30</f>
        <v>288093.8</v>
      </c>
      <c r="J30" s="36">
        <f>+I30+(I30*$I$4)</f>
        <v>345712.56</v>
      </c>
      <c r="K30" s="36">
        <v>345712.56</v>
      </c>
      <c r="L30" s="37"/>
      <c r="M30" s="37"/>
      <c r="N30" s="92">
        <f>-IF(L30=0,,IF(M30=0,($C$10-L30),M30-L30))</f>
        <v>0</v>
      </c>
      <c r="O30" s="36">
        <f>+J30-K30</f>
        <v>0</v>
      </c>
      <c r="P30" s="36" t="e">
        <f>+IF($C$10&lt;L30,0,O30)</f>
        <v>#REF!</v>
      </c>
      <c r="Q30" s="39"/>
      <c r="R30" s="40">
        <f>IF(N30&gt;=0,0,(IF(-N30&lt;=60,O30,0)))</f>
        <v>0</v>
      </c>
      <c r="S30" s="40">
        <f>IF(N30&gt;=0,0,(IF(N30&gt;=-60,0,IF(-60&gt;=N30,IF(N30&gt;=-120,O30,0)))))</f>
        <v>0</v>
      </c>
      <c r="T30" s="40">
        <f>IF(N30&gt;=0,0,(IF(N30&gt;-60,0,IF(-60&gt;=N30,IF(N30&gt;=-120,0,IF(N30&gt;=-180,O30,0))))))</f>
        <v>0</v>
      </c>
      <c r="U30" s="40">
        <f>IF(N30&gt;=0,0,(IF(N30&gt;-60,0,IF(-60&gt;=N30,IF(N30&gt;-120,0,IF(N30&gt;=-180,0,IF(N30&gt;=-365,O30,0)))))))</f>
        <v>0</v>
      </c>
      <c r="V30" s="40">
        <f>IF(N30&gt;=0,0,IF(365&lt;-N30,O30,0))</f>
        <v>0</v>
      </c>
    </row>
    <row r="31" spans="1:22" s="99" customFormat="1" ht="19.5" customHeight="1">
      <c r="A31" s="104"/>
      <c r="B31" s="104"/>
      <c r="C31" s="106"/>
      <c r="D31" s="107"/>
      <c r="E31" s="108">
        <f t="shared" ref="E31:K31" si="9">SUM(E30:E30)</f>
        <v>288093.8</v>
      </c>
      <c r="F31" s="108">
        <f t="shared" si="9"/>
        <v>0</v>
      </c>
      <c r="G31" s="108">
        <f t="shared" si="9"/>
        <v>0</v>
      </c>
      <c r="H31" s="108">
        <f t="shared" si="9"/>
        <v>0</v>
      </c>
      <c r="I31" s="108">
        <f t="shared" si="9"/>
        <v>288093.8</v>
      </c>
      <c r="J31" s="113">
        <f t="shared" si="9"/>
        <v>345712.56</v>
      </c>
      <c r="K31" s="113">
        <f t="shared" si="9"/>
        <v>345712.56</v>
      </c>
      <c r="L31" s="109"/>
      <c r="M31" s="109"/>
      <c r="N31" s="110"/>
      <c r="O31" s="108">
        <f>SUM(O30:O30)</f>
        <v>0</v>
      </c>
      <c r="P31" s="108" t="e">
        <f>SUM(P30:P30)</f>
        <v>#REF!</v>
      </c>
      <c r="Q31" s="111"/>
      <c r="R31" s="112">
        <f>SUM(R30:R30)</f>
        <v>0</v>
      </c>
      <c r="S31" s="112">
        <f>SUM(S30:S30)</f>
        <v>0</v>
      </c>
      <c r="T31" s="112">
        <f>SUM(T30:T30)</f>
        <v>0</v>
      </c>
      <c r="U31" s="112">
        <f>SUM(U30:U30)</f>
        <v>0</v>
      </c>
      <c r="V31" s="112">
        <f>SUM(V30:V30)</f>
        <v>0</v>
      </c>
    </row>
    <row r="32" spans="1:22" ht="19.5" customHeight="1">
      <c r="A32" s="41" t="s">
        <v>68</v>
      </c>
      <c r="B32" s="41"/>
      <c r="C32" s="43"/>
      <c r="D32" s="44"/>
      <c r="E32" s="36">
        <f>2120300.73/1.2</f>
        <v>1766917.2750000001</v>
      </c>
      <c r="F32" s="36">
        <f>-E32*$F$10</f>
        <v>0</v>
      </c>
      <c r="G32" s="36">
        <f>E32*$G$10</f>
        <v>0</v>
      </c>
      <c r="H32" s="36"/>
      <c r="I32" s="36">
        <f>+E32+F32-G32-H32</f>
        <v>1766917.2750000001</v>
      </c>
      <c r="J32" s="36">
        <f>+I32+(I32*$I$4)</f>
        <v>2120300.7300000004</v>
      </c>
      <c r="K32" s="36">
        <v>2120300.7300000004</v>
      </c>
      <c r="L32" s="37"/>
      <c r="M32" s="37"/>
      <c r="N32" s="92">
        <f>-IF(L32=0,,IF(M32=0,($C$10-L32),M32-L32))</f>
        <v>0</v>
      </c>
      <c r="O32" s="36">
        <f>+J32-K32</f>
        <v>0</v>
      </c>
      <c r="P32" s="36" t="e">
        <f>+IF($C$10&lt;L32,0,O32)</f>
        <v>#REF!</v>
      </c>
      <c r="Q32" s="39"/>
      <c r="R32" s="40">
        <f>IF(N32&gt;=0,0,(IF(-N32&lt;=60,O32,0)))</f>
        <v>0</v>
      </c>
      <c r="S32" s="40">
        <f>IF(N32&gt;=0,0,(IF(N32&gt;=-60,0,IF(-60&gt;=N32,IF(N32&gt;=-120,O32,0)))))</f>
        <v>0</v>
      </c>
      <c r="T32" s="40">
        <f>IF(N32&gt;=0,0,(IF(N32&gt;-60,0,IF(-60&gt;=N32,IF(N32&gt;=-120,0,IF(N32&gt;=-180,O32,0))))))</f>
        <v>0</v>
      </c>
      <c r="U32" s="40">
        <f>IF(N32&gt;=0,0,(IF(N32&gt;-60,0,IF(-60&gt;=N32,IF(N32&gt;-120,0,IF(N32&gt;=-180,0,IF(N32&gt;=-365,O32,0)))))))</f>
        <v>0</v>
      </c>
      <c r="V32" s="40">
        <f>IF(N32&gt;=0,0,IF(365&lt;-N32,O32,0))</f>
        <v>0</v>
      </c>
    </row>
    <row r="33" spans="1:22" s="99" customFormat="1" ht="19.5" customHeight="1">
      <c r="A33" s="104"/>
      <c r="B33" s="104"/>
      <c r="C33" s="106"/>
      <c r="D33" s="107"/>
      <c r="E33" s="108">
        <f t="shared" ref="E33:K33" si="10">SUM(E32:E32)</f>
        <v>1766917.2750000001</v>
      </c>
      <c r="F33" s="108">
        <f t="shared" si="10"/>
        <v>0</v>
      </c>
      <c r="G33" s="108">
        <f t="shared" si="10"/>
        <v>0</v>
      </c>
      <c r="H33" s="108">
        <f t="shared" si="10"/>
        <v>0</v>
      </c>
      <c r="I33" s="108">
        <f t="shared" si="10"/>
        <v>1766917.2750000001</v>
      </c>
      <c r="J33" s="113">
        <f t="shared" si="10"/>
        <v>2120300.7300000004</v>
      </c>
      <c r="K33" s="113">
        <f t="shared" si="10"/>
        <v>2120300.7300000004</v>
      </c>
      <c r="L33" s="109"/>
      <c r="M33" s="109"/>
      <c r="N33" s="110"/>
      <c r="O33" s="108">
        <f>SUM(O32:O32)</f>
        <v>0</v>
      </c>
      <c r="P33" s="108" t="e">
        <f>SUM(P32:P32)</f>
        <v>#REF!</v>
      </c>
      <c r="Q33" s="111"/>
      <c r="R33" s="112">
        <f>SUM(R32:R32)</f>
        <v>0</v>
      </c>
      <c r="S33" s="112">
        <f>SUM(S32:S32)</f>
        <v>0</v>
      </c>
      <c r="T33" s="112">
        <f>SUM(T32:T32)</f>
        <v>0</v>
      </c>
      <c r="U33" s="112">
        <f>SUM(U32:U32)</f>
        <v>0</v>
      </c>
      <c r="V33" s="112">
        <f>SUM(V32:V32)</f>
        <v>0</v>
      </c>
    </row>
    <row r="34" spans="1:22" ht="19.5" customHeight="1">
      <c r="A34" s="41" t="s">
        <v>180</v>
      </c>
      <c r="B34" s="41"/>
      <c r="C34" s="43"/>
      <c r="D34" s="44"/>
      <c r="E34" s="36">
        <f>429435.6/1.2</f>
        <v>357863</v>
      </c>
      <c r="F34" s="36">
        <f>-E34*$F$10</f>
        <v>0</v>
      </c>
      <c r="G34" s="36">
        <f>E34*$G$10</f>
        <v>0</v>
      </c>
      <c r="H34" s="36"/>
      <c r="I34" s="36">
        <f>+E34+F34-G34-H34</f>
        <v>357863</v>
      </c>
      <c r="J34" s="36">
        <f>+I34+(I34*$I$4)</f>
        <v>429435.6</v>
      </c>
      <c r="K34" s="36">
        <v>429435.6</v>
      </c>
      <c r="L34" s="37"/>
      <c r="M34" s="37"/>
      <c r="N34" s="92">
        <f>-IF(L34=0,,IF(M34=0,($C$10-L34),M34-L34))</f>
        <v>0</v>
      </c>
      <c r="O34" s="36">
        <f>+J34-K34</f>
        <v>0</v>
      </c>
      <c r="P34" s="36" t="e">
        <f>+IF($C$10&lt;L34,0,O34)</f>
        <v>#REF!</v>
      </c>
      <c r="Q34" s="39"/>
      <c r="R34" s="40">
        <f>IF(N34&gt;=0,0,(IF(-N34&lt;=60,O34,0)))</f>
        <v>0</v>
      </c>
      <c r="S34" s="40">
        <f>IF(N34&gt;=0,0,(IF(N34&gt;=-60,0,IF(-60&gt;=N34,IF(N34&gt;=-120,O34,0)))))</f>
        <v>0</v>
      </c>
      <c r="T34" s="40">
        <f>IF(N34&gt;=0,0,(IF(N34&gt;-60,0,IF(-60&gt;=N34,IF(N34&gt;=-120,0,IF(N34&gt;=-180,O34,0))))))</f>
        <v>0</v>
      </c>
      <c r="U34" s="40">
        <f>IF(N34&gt;=0,0,(IF(N34&gt;-60,0,IF(-60&gt;=N34,IF(N34&gt;-120,0,IF(N34&gt;=-180,0,IF(N34&gt;=-365,O34,0)))))))</f>
        <v>0</v>
      </c>
      <c r="V34" s="40">
        <f>IF(N34&gt;=0,0,IF(365&lt;-N34,O34,0))</f>
        <v>0</v>
      </c>
    </row>
    <row r="35" spans="1:22" s="99" customFormat="1" ht="19.5" customHeight="1">
      <c r="A35" s="104"/>
      <c r="B35" s="104"/>
      <c r="C35" s="106"/>
      <c r="D35" s="107"/>
      <c r="E35" s="108">
        <f t="shared" ref="E35:K35" si="11">SUM(E34:E34)</f>
        <v>357863</v>
      </c>
      <c r="F35" s="108">
        <f t="shared" si="11"/>
        <v>0</v>
      </c>
      <c r="G35" s="108">
        <f t="shared" si="11"/>
        <v>0</v>
      </c>
      <c r="H35" s="108">
        <f t="shared" si="11"/>
        <v>0</v>
      </c>
      <c r="I35" s="108">
        <f t="shared" si="11"/>
        <v>357863</v>
      </c>
      <c r="J35" s="113">
        <f t="shared" si="11"/>
        <v>429435.6</v>
      </c>
      <c r="K35" s="113">
        <f t="shared" si="11"/>
        <v>429435.6</v>
      </c>
      <c r="L35" s="109"/>
      <c r="M35" s="109"/>
      <c r="N35" s="110"/>
      <c r="O35" s="108">
        <f>SUM(O34:O34)</f>
        <v>0</v>
      </c>
      <c r="P35" s="108" t="e">
        <f>SUM(P34:P34)</f>
        <v>#REF!</v>
      </c>
      <c r="Q35" s="111"/>
      <c r="R35" s="112">
        <f>SUM(R34:R34)</f>
        <v>0</v>
      </c>
      <c r="S35" s="112">
        <f>SUM(S34:S34)</f>
        <v>0</v>
      </c>
      <c r="T35" s="112">
        <f>SUM(T34:T34)</f>
        <v>0</v>
      </c>
      <c r="U35" s="112">
        <f>SUM(U34:U34)</f>
        <v>0</v>
      </c>
      <c r="V35" s="112">
        <f>SUM(V34:V34)</f>
        <v>0</v>
      </c>
    </row>
    <row r="36" spans="1:22" ht="19.5" customHeight="1">
      <c r="A36" s="41" t="s">
        <v>70</v>
      </c>
      <c r="B36" s="41"/>
      <c r="C36" s="43"/>
      <c r="D36" s="44"/>
      <c r="E36" s="36">
        <f>548142.95/1.2</f>
        <v>456785.79166666663</v>
      </c>
      <c r="F36" s="36">
        <f>-E36*$F$10</f>
        <v>0</v>
      </c>
      <c r="G36" s="36">
        <f>E36*$G$10</f>
        <v>0</v>
      </c>
      <c r="H36" s="36"/>
      <c r="I36" s="36">
        <f>+E36+F36-G36-H36</f>
        <v>456785.79166666663</v>
      </c>
      <c r="J36" s="36">
        <f>+I36+(I36*$I$4)</f>
        <v>548142.94999999995</v>
      </c>
      <c r="K36" s="36">
        <v>548142.94999999995</v>
      </c>
      <c r="L36" s="37"/>
      <c r="M36" s="37"/>
      <c r="N36" s="92">
        <f>-IF(L36=0,,IF(M36=0,($C$10-L36),M36-L36))</f>
        <v>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s="99" customFormat="1" ht="13.5" customHeight="1">
      <c r="A37" s="104"/>
      <c r="B37" s="105"/>
      <c r="C37" s="106"/>
      <c r="D37" s="107"/>
      <c r="E37" s="108">
        <f t="shared" ref="E37:K37" si="12">SUM(E36:E36)</f>
        <v>456785.79166666663</v>
      </c>
      <c r="F37" s="108">
        <f t="shared" si="12"/>
        <v>0</v>
      </c>
      <c r="G37" s="108">
        <f t="shared" si="12"/>
        <v>0</v>
      </c>
      <c r="H37" s="108">
        <f t="shared" si="12"/>
        <v>0</v>
      </c>
      <c r="I37" s="108">
        <f t="shared" si="12"/>
        <v>456785.79166666663</v>
      </c>
      <c r="J37" s="113">
        <f t="shared" si="12"/>
        <v>548142.94999999995</v>
      </c>
      <c r="K37" s="113">
        <f t="shared" si="12"/>
        <v>548142.94999999995</v>
      </c>
      <c r="L37" s="109"/>
      <c r="M37" s="109"/>
      <c r="N37" s="110"/>
      <c r="O37" s="108">
        <f>SUM(O36:O36)</f>
        <v>0</v>
      </c>
      <c r="P37" s="108" t="e">
        <f>SUM(P36:P36)</f>
        <v>#REF!</v>
      </c>
      <c r="Q37" s="111"/>
      <c r="R37" s="112">
        <f>SUM(R36:R36)</f>
        <v>0</v>
      </c>
      <c r="S37" s="112">
        <f>SUM(S36:S36)</f>
        <v>0</v>
      </c>
      <c r="T37" s="112">
        <f>SUM(T36:T36)</f>
        <v>0</v>
      </c>
      <c r="U37" s="112">
        <f>SUM(U36:U36)</f>
        <v>0</v>
      </c>
      <c r="V37" s="112">
        <f>SUM(V36:V36)</f>
        <v>0</v>
      </c>
    </row>
    <row r="38" spans="1:22" ht="19.5" customHeight="1">
      <c r="A38" s="41" t="s">
        <v>181</v>
      </c>
      <c r="B38" s="41"/>
      <c r="C38" s="43"/>
      <c r="D38" s="44"/>
      <c r="E38" s="36">
        <f>255658.92/1.2</f>
        <v>213049.1</v>
      </c>
      <c r="F38" s="36">
        <f>-E38*$F$10</f>
        <v>0</v>
      </c>
      <c r="G38" s="36">
        <f>E38*$G$10</f>
        <v>0</v>
      </c>
      <c r="H38" s="36"/>
      <c r="I38" s="36">
        <f>+E38+F38-G38-H38</f>
        <v>213049.1</v>
      </c>
      <c r="J38" s="36">
        <f>+I38+(I38*$I$4)</f>
        <v>255658.92</v>
      </c>
      <c r="K38" s="36">
        <v>255658.92</v>
      </c>
      <c r="L38" s="37"/>
      <c r="M38" s="37"/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2.75" customHeight="1">
      <c r="A39" s="104"/>
      <c r="B39" s="104"/>
      <c r="C39" s="106"/>
      <c r="D39" s="107"/>
      <c r="E39" s="108">
        <f t="shared" ref="E39:K39" si="13">SUM(E38:E38)</f>
        <v>213049.1</v>
      </c>
      <c r="F39" s="108">
        <f t="shared" si="13"/>
        <v>0</v>
      </c>
      <c r="G39" s="108">
        <f t="shared" si="13"/>
        <v>0</v>
      </c>
      <c r="H39" s="108">
        <f t="shared" si="13"/>
        <v>0</v>
      </c>
      <c r="I39" s="108">
        <f t="shared" si="13"/>
        <v>213049.1</v>
      </c>
      <c r="J39" s="113">
        <f t="shared" si="13"/>
        <v>255658.92</v>
      </c>
      <c r="K39" s="113">
        <f t="shared" si="13"/>
        <v>255658.92</v>
      </c>
      <c r="L39" s="109"/>
      <c r="M39" s="10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182</v>
      </c>
      <c r="B40" s="41"/>
      <c r="C40" s="43"/>
      <c r="D40" s="44"/>
      <c r="E40" s="36">
        <f>6537.98/1.2</f>
        <v>5448.3166666666666</v>
      </c>
      <c r="F40" s="36">
        <f>-E40*$F$10</f>
        <v>0</v>
      </c>
      <c r="G40" s="36">
        <f>E40*$G$10</f>
        <v>0</v>
      </c>
      <c r="H40" s="36"/>
      <c r="I40" s="36">
        <f>+E40+F40-G40-H40</f>
        <v>5448.3166666666666</v>
      </c>
      <c r="J40" s="36">
        <f>+I40+(I40*$I$4)</f>
        <v>6537.98</v>
      </c>
      <c r="K40" s="36">
        <v>6537.98</v>
      </c>
      <c r="L40" s="37"/>
      <c r="M40" s="37"/>
      <c r="N40" s="92">
        <f>-IF(L40=0,,IF(M40=0,($C$10-L40),M40-L40))</f>
        <v>0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3.5" customHeight="1">
      <c r="A41" s="104"/>
      <c r="B41" s="105"/>
      <c r="C41" s="106"/>
      <c r="D41" s="107"/>
      <c r="E41" s="108">
        <f t="shared" ref="E41:K41" si="14">SUM(E40:E40)</f>
        <v>5448.3166666666666</v>
      </c>
      <c r="F41" s="108">
        <f t="shared" si="14"/>
        <v>0</v>
      </c>
      <c r="G41" s="108">
        <f t="shared" si="14"/>
        <v>0</v>
      </c>
      <c r="H41" s="108">
        <f t="shared" si="14"/>
        <v>0</v>
      </c>
      <c r="I41" s="108">
        <f t="shared" si="14"/>
        <v>5448.3166666666666</v>
      </c>
      <c r="J41" s="113">
        <f t="shared" si="14"/>
        <v>6537.98</v>
      </c>
      <c r="K41" s="113">
        <f t="shared" si="14"/>
        <v>6537.98</v>
      </c>
      <c r="L41" s="109"/>
      <c r="M41" s="10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183</v>
      </c>
      <c r="B42" s="41"/>
      <c r="C42" s="43"/>
      <c r="D42" s="44"/>
      <c r="E42" s="36">
        <f>71304.19/1.2</f>
        <v>59420.15833333334</v>
      </c>
      <c r="F42" s="36">
        <f>-E42*$F$10</f>
        <v>0</v>
      </c>
      <c r="G42" s="36">
        <f>E42*$G$10</f>
        <v>0</v>
      </c>
      <c r="H42" s="36"/>
      <c r="I42" s="36">
        <f>+E42+F42-G42-H42</f>
        <v>59420.15833333334</v>
      </c>
      <c r="J42" s="36">
        <f>+I42+(I42*$I$4)</f>
        <v>71304.19</v>
      </c>
      <c r="K42" s="36">
        <v>71304.19</v>
      </c>
      <c r="L42" s="37"/>
      <c r="M42" s="37"/>
      <c r="N42" s="92">
        <f>-IF(L42=0,,IF(M42=0,($C$10-L42),M42-L42))</f>
        <v>0</v>
      </c>
      <c r="O42" s="36">
        <f>+J42-K42</f>
        <v>0</v>
      </c>
      <c r="P42" s="36" t="e">
        <f>+IF($C$10&lt;L42,0,O42)</f>
        <v>#REF!</v>
      </c>
      <c r="Q42" s="39"/>
      <c r="R42" s="40">
        <f>IF(N42&gt;=0,0,(IF(-N42&lt;=60,O42,0)))</f>
        <v>0</v>
      </c>
      <c r="S42" s="40">
        <f>IF(N42&gt;=0,0,(IF(N42&gt;=-60,0,IF(-60&gt;=N42,IF(N42&gt;=-120,O42,0)))))</f>
        <v>0</v>
      </c>
      <c r="T42" s="40">
        <f>IF(N42&gt;=0,0,(IF(N42&gt;-60,0,IF(-60&gt;=N42,IF(N42&gt;=-120,0,IF(N42&gt;=-180,O42,0))))))</f>
        <v>0</v>
      </c>
      <c r="U42" s="40">
        <f>IF(N42&gt;=0,0,(IF(N42&gt;-60,0,IF(-60&gt;=N42,IF(N42&gt;-120,0,IF(N42&gt;=-180,0,IF(N42&gt;=-365,O42,0)))))))</f>
        <v>0</v>
      </c>
      <c r="V42" s="40">
        <f>IF(N42&gt;=0,0,IF(365&lt;-N42,O42,0))</f>
        <v>0</v>
      </c>
    </row>
    <row r="43" spans="1:22" s="99" customFormat="1" ht="19.5" customHeight="1">
      <c r="A43" s="104"/>
      <c r="B43" s="104"/>
      <c r="C43" s="106"/>
      <c r="D43" s="107"/>
      <c r="E43" s="108">
        <f t="shared" ref="E43:K43" si="15">SUM(E42:E42)</f>
        <v>59420.15833333334</v>
      </c>
      <c r="F43" s="108">
        <f t="shared" si="15"/>
        <v>0</v>
      </c>
      <c r="G43" s="108">
        <f t="shared" si="15"/>
        <v>0</v>
      </c>
      <c r="H43" s="108">
        <f t="shared" si="15"/>
        <v>0</v>
      </c>
      <c r="I43" s="108">
        <f t="shared" si="15"/>
        <v>59420.15833333334</v>
      </c>
      <c r="J43" s="113">
        <f t="shared" si="15"/>
        <v>71304.19</v>
      </c>
      <c r="K43" s="113">
        <f t="shared" si="15"/>
        <v>71304.19</v>
      </c>
      <c r="L43" s="109"/>
      <c r="M43" s="109"/>
      <c r="N43" s="110"/>
      <c r="O43" s="108">
        <f>SUM(O42)</f>
        <v>0</v>
      </c>
      <c r="P43" s="108" t="e">
        <f>SUM(P42)</f>
        <v>#REF!</v>
      </c>
      <c r="Q43" s="111"/>
      <c r="R43" s="112">
        <f>SUM(R42)</f>
        <v>0</v>
      </c>
      <c r="S43" s="112">
        <f>SUM(S42)</f>
        <v>0</v>
      </c>
      <c r="T43" s="112">
        <f>SUM(T42)</f>
        <v>0</v>
      </c>
      <c r="U43" s="112">
        <f>SUM(U42)</f>
        <v>0</v>
      </c>
      <c r="V43" s="112">
        <f>SUM(V42)</f>
        <v>0</v>
      </c>
    </row>
    <row r="44" spans="1:22" ht="19.5" customHeight="1">
      <c r="A44" s="41" t="s">
        <v>146</v>
      </c>
      <c r="B44" s="41"/>
      <c r="C44" s="43"/>
      <c r="D44" s="44"/>
      <c r="E44" s="36">
        <f>12109.24/1.2</f>
        <v>10091.033333333333</v>
      </c>
      <c r="F44" s="36">
        <f>-E44*$F$10</f>
        <v>0</v>
      </c>
      <c r="G44" s="36">
        <f>E44*$G$10</f>
        <v>0</v>
      </c>
      <c r="H44" s="36"/>
      <c r="I44" s="36">
        <f>+E44+F44-G44-H44</f>
        <v>10091.033333333333</v>
      </c>
      <c r="J44" s="36">
        <f>+I44+(I44*$I$4)</f>
        <v>12109.24</v>
      </c>
      <c r="K44" s="36">
        <v>12109.24</v>
      </c>
      <c r="L44" s="37"/>
      <c r="M44" s="37"/>
      <c r="N44" s="92">
        <f>-IF(L44=0,,IF(M44=0,($C$10-L44),M44-L44))</f>
        <v>0</v>
      </c>
      <c r="O44" s="36">
        <f>+J44-K44</f>
        <v>0</v>
      </c>
      <c r="P44" s="36" t="e">
        <f>+IF($C$10&lt;L44,0,O44)</f>
        <v>#REF!</v>
      </c>
      <c r="Q44" s="39"/>
      <c r="R44" s="40">
        <f>IF(N44&gt;=0,0,(IF(-N44&lt;=60,O44,0)))</f>
        <v>0</v>
      </c>
      <c r="S44" s="40">
        <f>IF(N44&gt;=0,0,(IF(N44&gt;=-60,0,IF(-60&gt;=N44,IF(N44&gt;=-120,O44,0)))))</f>
        <v>0</v>
      </c>
      <c r="T44" s="40">
        <f>IF(N44&gt;=0,0,(IF(N44&gt;-60,0,IF(-60&gt;=N44,IF(N44&gt;=-120,0,IF(N44&gt;=-180,O44,0))))))</f>
        <v>0</v>
      </c>
      <c r="U44" s="40">
        <f>IF(N44&gt;=0,0,(IF(N44&gt;-60,0,IF(-60&gt;=N44,IF(N44&gt;-120,0,IF(N44&gt;=-180,0,IF(N44&gt;=-365,O44,0)))))))</f>
        <v>0</v>
      </c>
      <c r="V44" s="40">
        <f>IF(N44&gt;=0,0,IF(365&lt;-N44,O44,0))</f>
        <v>0</v>
      </c>
    </row>
    <row r="45" spans="1:22" s="99" customFormat="1" ht="12.75" customHeight="1">
      <c r="A45" s="104"/>
      <c r="B45" s="104"/>
      <c r="C45" s="106"/>
      <c r="D45" s="107"/>
      <c r="E45" s="108">
        <f t="shared" ref="E45:K45" si="16">SUM(E44:E44)</f>
        <v>10091.033333333333</v>
      </c>
      <c r="F45" s="108">
        <f t="shared" si="16"/>
        <v>0</v>
      </c>
      <c r="G45" s="108">
        <f t="shared" si="16"/>
        <v>0</v>
      </c>
      <c r="H45" s="108">
        <f t="shared" si="16"/>
        <v>0</v>
      </c>
      <c r="I45" s="108">
        <f t="shared" si="16"/>
        <v>10091.033333333333</v>
      </c>
      <c r="J45" s="113">
        <f t="shared" si="16"/>
        <v>12109.24</v>
      </c>
      <c r="K45" s="113">
        <f t="shared" si="16"/>
        <v>12109.24</v>
      </c>
      <c r="L45" s="109"/>
      <c r="M45" s="109"/>
      <c r="N45" s="110"/>
      <c r="O45" s="108">
        <f>SUM(O44:O44)</f>
        <v>0</v>
      </c>
      <c r="P45" s="108" t="e">
        <f>SUM(P44:P44)</f>
        <v>#REF!</v>
      </c>
      <c r="Q45" s="111"/>
      <c r="R45" s="112">
        <f>SUM(R44:R44)</f>
        <v>0</v>
      </c>
      <c r="S45" s="112">
        <f>SUM(S44:S44)</f>
        <v>0</v>
      </c>
      <c r="T45" s="112">
        <f>SUM(T44:T44)</f>
        <v>0</v>
      </c>
      <c r="U45" s="112">
        <f>SUM(U44:U44)</f>
        <v>0</v>
      </c>
      <c r="V45" s="112">
        <f>SUM(V44:V44)</f>
        <v>0</v>
      </c>
    </row>
    <row r="46" spans="1:22" ht="19.5" customHeight="1">
      <c r="A46" s="41" t="s">
        <v>165</v>
      </c>
      <c r="B46" s="41"/>
      <c r="C46" s="43"/>
      <c r="D46" s="44"/>
      <c r="E46" s="36"/>
      <c r="F46" s="36">
        <f>-E46*$F$10</f>
        <v>0</v>
      </c>
      <c r="G46" s="36">
        <f>E46*$G$10</f>
        <v>0</v>
      </c>
      <c r="H46" s="36"/>
      <c r="I46" s="36">
        <f>+E46+F46-G46-H46</f>
        <v>0</v>
      </c>
      <c r="J46" s="36">
        <f>+I46+(I46*$I$4)</f>
        <v>0</v>
      </c>
      <c r="K46" s="36"/>
      <c r="L46" s="37"/>
      <c r="M46" s="37"/>
      <c r="N46" s="92">
        <f>-IF(L46=0,,IF(M46=0,($C$10-L46),M46-L46))</f>
        <v>0</v>
      </c>
      <c r="O46" s="36">
        <f>+J46-K46</f>
        <v>0</v>
      </c>
      <c r="P46" s="36" t="e">
        <f>+IF($C$10&lt;L46,0,O46)</f>
        <v>#REF!</v>
      </c>
      <c r="Q46" s="39"/>
      <c r="R46" s="40">
        <f>IF(N46&gt;=0,0,(IF(-N46&lt;=60,O46,0)))</f>
        <v>0</v>
      </c>
      <c r="S46" s="40">
        <f>IF(N46&gt;=0,0,(IF(N46&gt;=-60,0,IF(-60&gt;=N46,IF(N46&gt;=-120,O46,0)))))</f>
        <v>0</v>
      </c>
      <c r="T46" s="40">
        <f>IF(N46&gt;=0,0,(IF(N46&gt;-60,0,IF(-60&gt;=N46,IF(N46&gt;=-120,0,IF(N46&gt;=-180,O46,0))))))</f>
        <v>0</v>
      </c>
      <c r="U46" s="40">
        <f>IF(N46&gt;=0,0,(IF(N46&gt;-60,0,IF(-60&gt;=N46,IF(N46&gt;-120,0,IF(N46&gt;=-180,0,IF(N46&gt;=-365,O46,0)))))))</f>
        <v>0</v>
      </c>
      <c r="V46" s="40">
        <f>IF(N46&gt;=0,0,IF(365&lt;-N46,O46,0))</f>
        <v>0</v>
      </c>
    </row>
    <row r="47" spans="1:22" s="99" customFormat="1" ht="12.75" customHeight="1">
      <c r="A47" s="104"/>
      <c r="B47" s="104"/>
      <c r="C47" s="106"/>
      <c r="D47" s="107"/>
      <c r="E47" s="108">
        <f t="shared" ref="E47:K47" si="17">SUM(E46:E46)</f>
        <v>0</v>
      </c>
      <c r="F47" s="108">
        <f t="shared" si="17"/>
        <v>0</v>
      </c>
      <c r="G47" s="108">
        <f t="shared" si="17"/>
        <v>0</v>
      </c>
      <c r="H47" s="108">
        <f t="shared" si="17"/>
        <v>0</v>
      </c>
      <c r="I47" s="108">
        <f t="shared" si="17"/>
        <v>0</v>
      </c>
      <c r="J47" s="113">
        <f t="shared" si="17"/>
        <v>0</v>
      </c>
      <c r="K47" s="113">
        <f t="shared" si="17"/>
        <v>0</v>
      </c>
      <c r="L47" s="109"/>
      <c r="M47" s="109"/>
      <c r="N47" s="110"/>
      <c r="O47" s="108">
        <f>SUM(O46:O46)</f>
        <v>0</v>
      </c>
      <c r="P47" s="108" t="e">
        <f>SUM(P46:P46)</f>
        <v>#REF!</v>
      </c>
      <c r="Q47" s="111"/>
      <c r="R47" s="112">
        <f>SUM(R46:R46)</f>
        <v>0</v>
      </c>
      <c r="S47" s="112">
        <f>SUM(S46:S46)</f>
        <v>0</v>
      </c>
      <c r="T47" s="112">
        <f>SUM(T46:T46)</f>
        <v>0</v>
      </c>
      <c r="U47" s="112">
        <f>SUM(U46:U46)</f>
        <v>0</v>
      </c>
      <c r="V47" s="112">
        <f>SUM(V46:V46)</f>
        <v>0</v>
      </c>
    </row>
    <row r="48" spans="1:22" ht="19.5" customHeight="1" thickBot="1">
      <c r="A48" s="41"/>
      <c r="B48" s="42"/>
      <c r="C48" s="43"/>
      <c r="D48" s="44"/>
      <c r="E48" s="36"/>
      <c r="F48" s="36"/>
      <c r="G48" s="36"/>
      <c r="H48" s="36"/>
      <c r="I48" s="36"/>
      <c r="J48" s="36"/>
      <c r="K48" s="36"/>
      <c r="L48" s="37"/>
      <c r="M48" s="37"/>
      <c r="N48" s="38"/>
      <c r="O48" s="36"/>
      <c r="P48" s="42" t="e">
        <f>+IF($C$10&lt;L48,0,O48)</f>
        <v>#REF!</v>
      </c>
      <c r="Q48" s="39"/>
      <c r="R48" s="97"/>
      <c r="S48" s="97"/>
      <c r="T48" s="97"/>
      <c r="U48" s="97"/>
      <c r="V48" s="97"/>
    </row>
    <row r="49" spans="1:22" s="111" customFormat="1" ht="28.5" customHeight="1" thickBot="1">
      <c r="A49" s="120"/>
      <c r="B49" s="121" t="s">
        <v>43</v>
      </c>
      <c r="C49" s="121"/>
      <c r="D49" s="121"/>
      <c r="E49" s="122">
        <f t="shared" ref="E49:K49" si="18">SUM(E12:E48)/2</f>
        <v>22465420.354999989</v>
      </c>
      <c r="F49" s="122">
        <f t="shared" si="18"/>
        <v>0</v>
      </c>
      <c r="G49" s="122">
        <f t="shared" si="18"/>
        <v>0</v>
      </c>
      <c r="H49" s="122">
        <f t="shared" si="18"/>
        <v>0</v>
      </c>
      <c r="I49" s="122">
        <f t="shared" si="18"/>
        <v>22465420.354999989</v>
      </c>
      <c r="J49" s="122">
        <f t="shared" si="18"/>
        <v>26958504.426000014</v>
      </c>
      <c r="K49" s="122">
        <f t="shared" si="18"/>
        <v>26958504.426000014</v>
      </c>
      <c r="L49" s="123"/>
      <c r="M49" s="123"/>
      <c r="N49" s="123"/>
      <c r="O49" s="122">
        <f>SUM(O12:O48)/2</f>
        <v>0</v>
      </c>
      <c r="P49" s="122" t="e">
        <f>SUM(P12:P48)/2</f>
        <v>#REF!</v>
      </c>
      <c r="R49" s="124">
        <f>SUM(R12:R48)/2</f>
        <v>0</v>
      </c>
      <c r="S49" s="124">
        <f>SUM(S12:S48)/2</f>
        <v>0</v>
      </c>
      <c r="T49" s="124">
        <f>SUM(T12:T48)/2</f>
        <v>0</v>
      </c>
      <c r="U49" s="124">
        <f>SUM(U12:U48)/2</f>
        <v>0</v>
      </c>
      <c r="V49" s="124">
        <f>SUM(V12:V48)/2</f>
        <v>0</v>
      </c>
    </row>
    <row r="50" spans="1:22" ht="21" customHeight="1">
      <c r="A50" s="45"/>
      <c r="B50" s="46"/>
      <c r="C50" s="46"/>
      <c r="D50" s="47" t="s">
        <v>44</v>
      </c>
      <c r="E50" s="48">
        <f>+E49/$M$7</f>
        <v>0.99152595476672301</v>
      </c>
      <c r="F50" s="46"/>
      <c r="G50" s="46"/>
      <c r="H50" s="46"/>
      <c r="I50" s="46"/>
      <c r="J50" s="47" t="s">
        <v>45</v>
      </c>
      <c r="K50" s="48">
        <f>+K49/J49</f>
        <v>1</v>
      </c>
      <c r="L50" s="46"/>
      <c r="M50" s="46"/>
      <c r="N50" s="46"/>
      <c r="O50" s="46"/>
      <c r="P50" s="49"/>
      <c r="Q50" s="39"/>
      <c r="R50" s="39"/>
      <c r="S50" s="39"/>
      <c r="T50" s="39"/>
      <c r="U50" s="39"/>
      <c r="V50" s="39"/>
    </row>
    <row r="51" spans="1:22" ht="21" customHeight="1" thickBot="1">
      <c r="A51" s="50"/>
      <c r="B51" s="51"/>
      <c r="C51" s="51"/>
      <c r="D51" s="52" t="s">
        <v>46</v>
      </c>
      <c r="E51" s="53">
        <f>+$M$7-$E$49</f>
        <v>192000.00500001013</v>
      </c>
      <c r="F51" s="54">
        <f>+E51/M7</f>
        <v>8.4740452332769511E-3</v>
      </c>
      <c r="G51" s="51"/>
      <c r="H51" s="51"/>
      <c r="I51" s="51"/>
      <c r="J51" s="117"/>
      <c r="K51" s="51"/>
      <c r="L51" s="51"/>
      <c r="M51" s="51"/>
      <c r="N51" s="51"/>
      <c r="O51" s="51"/>
      <c r="P51" s="55"/>
      <c r="Q51" s="39"/>
      <c r="R51" s="39"/>
      <c r="S51" s="39"/>
      <c r="T51" s="39"/>
      <c r="U51" s="39"/>
      <c r="V51" s="39"/>
    </row>
    <row r="52" spans="1:22">
      <c r="A52" s="39"/>
      <c r="B52" s="45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9"/>
      <c r="O52" s="39"/>
      <c r="P52" s="39"/>
      <c r="Q52" s="39"/>
      <c r="R52" s="39"/>
      <c r="S52" s="39"/>
      <c r="T52" s="39"/>
      <c r="U52" s="39"/>
      <c r="V52" s="39"/>
    </row>
    <row r="53" spans="1:22" ht="21">
      <c r="A53" s="39"/>
      <c r="B53" s="56"/>
      <c r="C53" s="91" t="s">
        <v>47</v>
      </c>
      <c r="D53" s="91"/>
      <c r="E53" s="91"/>
      <c r="F53" s="91"/>
      <c r="G53" s="91"/>
      <c r="H53" s="91" t="s">
        <v>184</v>
      </c>
      <c r="I53" s="57"/>
      <c r="J53" s="57"/>
      <c r="K53" s="57"/>
      <c r="L53" s="57"/>
      <c r="M53" s="57"/>
      <c r="N53" s="58"/>
      <c r="O53" s="39"/>
      <c r="P53" s="39"/>
      <c r="Q53" s="39"/>
      <c r="R53" s="39"/>
      <c r="S53" s="39"/>
      <c r="T53" s="39"/>
      <c r="U53" s="39"/>
      <c r="V53" s="39"/>
    </row>
    <row r="54" spans="1:22" ht="17.25" thickBot="1">
      <c r="A54" s="39"/>
      <c r="B54" s="56"/>
      <c r="C54" s="57"/>
      <c r="D54" s="57"/>
      <c r="E54" s="57"/>
      <c r="F54" s="57"/>
      <c r="G54" s="59"/>
      <c r="H54" s="57"/>
      <c r="I54" s="57"/>
      <c r="J54" s="57"/>
      <c r="K54" s="57"/>
      <c r="L54" s="57"/>
      <c r="M54" s="57"/>
      <c r="N54" s="58"/>
      <c r="O54" s="39"/>
      <c r="P54" s="39"/>
      <c r="Q54" s="39"/>
      <c r="R54" s="39"/>
      <c r="S54" s="39"/>
      <c r="T54" s="39"/>
      <c r="U54" s="39"/>
      <c r="V54" s="39"/>
    </row>
    <row r="55" spans="1:22" ht="18" customHeight="1" thickBot="1">
      <c r="A55" s="39"/>
      <c r="B55" s="56"/>
      <c r="C55" s="158" t="s">
        <v>48</v>
      </c>
      <c r="D55" s="159"/>
      <c r="E55" s="160"/>
      <c r="F55" s="79" t="s">
        <v>57</v>
      </c>
      <c r="G55" s="61">
        <f>+M7</f>
        <v>22657420.359999999</v>
      </c>
      <c r="H55" s="60"/>
      <c r="I55" s="62"/>
      <c r="J55" s="60"/>
      <c r="K55" s="60"/>
      <c r="L55" s="60"/>
      <c r="M55" s="60"/>
      <c r="N55" s="63"/>
      <c r="O55" s="39"/>
      <c r="P55" s="39"/>
      <c r="Q55" s="39"/>
      <c r="R55" s="39"/>
      <c r="S55" s="39"/>
      <c r="T55" s="39"/>
      <c r="U55" s="39"/>
      <c r="V55" s="39"/>
    </row>
    <row r="56" spans="1:22" ht="17.25" thickBot="1">
      <c r="A56" s="39"/>
      <c r="B56" s="56"/>
      <c r="C56" s="79"/>
      <c r="D56" s="79"/>
      <c r="E56" s="79"/>
      <c r="F56" s="79"/>
      <c r="G56" s="60"/>
      <c r="H56" s="60"/>
      <c r="I56" s="60"/>
      <c r="J56" s="60"/>
      <c r="K56" s="60"/>
      <c r="L56" s="60"/>
      <c r="M56" s="60"/>
      <c r="N56" s="63"/>
      <c r="O56" s="39"/>
      <c r="P56" s="39"/>
      <c r="Q56" s="39"/>
      <c r="R56" s="39"/>
      <c r="S56" s="39"/>
      <c r="T56" s="39"/>
      <c r="U56" s="39"/>
      <c r="V56" s="39"/>
    </row>
    <row r="57" spans="1:22" ht="18" customHeight="1" thickBot="1">
      <c r="A57" s="39"/>
      <c r="B57" s="56"/>
      <c r="C57" s="149" t="s">
        <v>49</v>
      </c>
      <c r="D57" s="150"/>
      <c r="E57" s="151"/>
      <c r="F57" s="79" t="s">
        <v>57</v>
      </c>
      <c r="G57" s="64">
        <f>+E49</f>
        <v>22465420.354999989</v>
      </c>
      <c r="H57" s="60"/>
      <c r="I57" s="60"/>
      <c r="J57" s="65">
        <f>G57/G55</f>
        <v>0.99152595476672301</v>
      </c>
      <c r="K57" s="100" t="s">
        <v>50</v>
      </c>
      <c r="L57" s="66"/>
      <c r="M57" s="66"/>
      <c r="N57" s="63"/>
      <c r="O57" s="39"/>
      <c r="P57" s="39"/>
      <c r="Q57" s="39"/>
      <c r="R57" s="39"/>
      <c r="S57" s="39"/>
      <c r="T57" s="39"/>
      <c r="U57" s="39"/>
      <c r="V57" s="39"/>
    </row>
    <row r="58" spans="1:22" ht="17.25" thickBot="1">
      <c r="B58" s="67"/>
      <c r="C58" s="79"/>
      <c r="D58" s="79"/>
      <c r="E58" s="79"/>
      <c r="F58" s="79"/>
      <c r="G58" s="60"/>
      <c r="H58" s="60"/>
      <c r="I58" s="60"/>
      <c r="J58" s="60"/>
      <c r="K58" s="101"/>
      <c r="L58" s="60"/>
      <c r="M58" s="60"/>
      <c r="N58" s="63"/>
    </row>
    <row r="59" spans="1:22" ht="18" customHeight="1" thickBot="1">
      <c r="B59" s="67"/>
      <c r="C59" s="152" t="s">
        <v>58</v>
      </c>
      <c r="D59" s="153"/>
      <c r="E59" s="154"/>
      <c r="F59" s="79" t="s">
        <v>56</v>
      </c>
      <c r="G59" s="68">
        <f>+K49</f>
        <v>26958504.426000014</v>
      </c>
      <c r="H59" s="60"/>
      <c r="I59" s="60"/>
      <c r="J59" s="69">
        <f>+G59/J49</f>
        <v>1</v>
      </c>
      <c r="K59" s="102" t="s">
        <v>51</v>
      </c>
      <c r="L59" s="70"/>
      <c r="M59" s="70"/>
      <c r="N59" s="63"/>
    </row>
    <row r="60" spans="1:22" ht="17.25" thickBot="1">
      <c r="B60" s="67"/>
      <c r="C60" s="79"/>
      <c r="D60" s="79"/>
      <c r="E60" s="79"/>
      <c r="F60" s="79"/>
      <c r="G60" s="60"/>
      <c r="H60" s="60"/>
      <c r="I60" s="60"/>
      <c r="J60" s="60"/>
      <c r="K60" s="101"/>
      <c r="L60" s="60"/>
      <c r="M60" s="60"/>
      <c r="N60" s="63"/>
    </row>
    <row r="61" spans="1:22" ht="18" customHeight="1" thickBot="1">
      <c r="B61" s="67"/>
      <c r="C61" s="152" t="s">
        <v>52</v>
      </c>
      <c r="D61" s="153"/>
      <c r="E61" s="154"/>
      <c r="F61" s="79" t="s">
        <v>56</v>
      </c>
      <c r="G61" s="71">
        <f>+O49</f>
        <v>0</v>
      </c>
      <c r="H61" s="60"/>
      <c r="I61" s="60"/>
      <c r="J61" s="72">
        <f>+G61/J49</f>
        <v>0</v>
      </c>
      <c r="K61" s="102" t="s">
        <v>51</v>
      </c>
      <c r="L61" s="73"/>
      <c r="M61" s="73"/>
      <c r="N61" s="63"/>
    </row>
    <row r="62" spans="1:22" ht="17.25" thickBot="1">
      <c r="B62" s="67"/>
      <c r="C62" s="79"/>
      <c r="D62" s="79"/>
      <c r="E62" s="79"/>
      <c r="F62" s="79"/>
      <c r="G62" s="60"/>
      <c r="H62" s="60"/>
      <c r="I62" s="60"/>
      <c r="J62" s="60"/>
      <c r="K62" s="101"/>
      <c r="L62" s="60"/>
      <c r="M62" s="60"/>
      <c r="N62" s="63"/>
    </row>
    <row r="63" spans="1:22" ht="18" customHeight="1" thickBot="1">
      <c r="B63" s="67"/>
      <c r="C63" s="152" t="s">
        <v>54</v>
      </c>
      <c r="D63" s="153"/>
      <c r="E63" s="154"/>
      <c r="F63" s="79" t="s">
        <v>56</v>
      </c>
      <c r="G63" s="74" t="e">
        <f>+P49</f>
        <v>#REF!</v>
      </c>
      <c r="H63" s="60"/>
      <c r="I63" s="60"/>
      <c r="J63" s="75" t="e">
        <f>+G63/J49</f>
        <v>#REF!</v>
      </c>
      <c r="K63" s="102" t="s">
        <v>51</v>
      </c>
      <c r="L63" s="70"/>
      <c r="M63" s="70"/>
      <c r="N63" s="63"/>
    </row>
    <row r="64" spans="1:22" ht="5.25" customHeight="1" thickBot="1">
      <c r="B64" s="76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8"/>
    </row>
  </sheetData>
  <mergeCells count="18">
    <mergeCell ref="C57:E57"/>
    <mergeCell ref="C59:E59"/>
    <mergeCell ref="C61:E61"/>
    <mergeCell ref="C63:E63"/>
    <mergeCell ref="M5:N5"/>
    <mergeCell ref="M6:N6"/>
    <mergeCell ref="M7:N7"/>
    <mergeCell ref="M8:N8"/>
    <mergeCell ref="O10:P10"/>
    <mergeCell ref="C55:E55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53" fitToHeight="4" orientation="landscape" r:id="rId1"/>
  <rowBreaks count="1" manualBreakCount="1">
    <brk id="51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workbookViewId="0">
      <selection activeCell="F1" sqref="F1:F2"/>
    </sheetView>
  </sheetViews>
  <sheetFormatPr baseColWidth="10" defaultColWidth="11.42578125" defaultRowHeight="16.5"/>
  <cols>
    <col min="1" max="1" width="22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11.28515625" style="7" bestFit="1" customWidth="1"/>
    <col min="23" max="16384" width="11.42578125" style="7"/>
  </cols>
  <sheetData>
    <row r="1" spans="1:22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24098886.370000001</v>
      </c>
      <c r="N1" s="144"/>
      <c r="O1" s="5" t="s">
        <v>3</v>
      </c>
      <c r="P1" s="6"/>
    </row>
    <row r="2" spans="1:22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2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>
        <v>-1839870.12</v>
      </c>
      <c r="N3" s="137"/>
      <c r="O3" s="11"/>
      <c r="P3" s="12"/>
      <c r="R3" s="7" t="s">
        <v>210</v>
      </c>
    </row>
    <row r="4" spans="1:22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2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2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2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22259016.25</v>
      </c>
      <c r="N7" s="145"/>
      <c r="O7" s="11"/>
      <c r="P7" s="12"/>
    </row>
    <row r="8" spans="1:22">
      <c r="A8" s="23" t="s">
        <v>18</v>
      </c>
      <c r="B8" s="24"/>
      <c r="C8" s="24"/>
      <c r="D8" s="25" t="s">
        <v>211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26710819.5</v>
      </c>
      <c r="N8" s="146"/>
      <c r="O8" s="30"/>
      <c r="P8" s="31"/>
    </row>
    <row r="10" spans="1:22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O10" s="147" t="s">
        <v>22</v>
      </c>
      <c r="P10" s="148"/>
    </row>
    <row r="11" spans="1:22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2" ht="19.5" customHeight="1">
      <c r="A12" s="41" t="s">
        <v>206</v>
      </c>
      <c r="B12" s="42"/>
      <c r="C12" s="126">
        <v>39844</v>
      </c>
      <c r="D12" s="44"/>
      <c r="E12" s="36">
        <v>52227.183333333334</v>
      </c>
      <c r="F12" s="36">
        <v>0</v>
      </c>
      <c r="G12" s="36">
        <v>0</v>
      </c>
      <c r="H12" s="36"/>
      <c r="I12" s="36">
        <f t="shared" ref="I12:I24" si="0">+E12+F12-G12-H12</f>
        <v>52227.183333333334</v>
      </c>
      <c r="J12" s="36">
        <f t="shared" ref="J12:J24" si="1">+I12+(I12*$I$4)</f>
        <v>62672.62</v>
      </c>
      <c r="K12" s="36">
        <v>62672.62</v>
      </c>
      <c r="L12" s="37">
        <v>39943</v>
      </c>
      <c r="M12" s="37">
        <v>39948</v>
      </c>
      <c r="N12" s="92">
        <f t="shared" ref="N12:N24" si="2">-IF(L12=0,,IF(M12=0,($C$10-L12),M12-L12))</f>
        <v>-5</v>
      </c>
      <c r="O12" s="36">
        <f t="shared" ref="O12:O24" si="3">+J12-K12</f>
        <v>0</v>
      </c>
      <c r="P12" s="36" t="e">
        <f t="shared" ref="P12:P24" si="4">+IF($C$10&lt;L12,0,O12)</f>
        <v>#REF!</v>
      </c>
      <c r="Q12" s="39"/>
      <c r="R12" s="40">
        <f t="shared" ref="R12:R24" si="5">IF(N12&gt;=0,0,(IF(-N12&lt;=60,O12,0)))</f>
        <v>0</v>
      </c>
      <c r="S12" s="40">
        <f t="shared" ref="S12:S24" si="6">IF(N12&gt;=0,0,(IF(N12&gt;=-60,0,IF(-60&gt;=N12,IF(N12&gt;=-120,O12,0)))))</f>
        <v>0</v>
      </c>
      <c r="T12" s="40">
        <f t="shared" ref="T12:T24" si="7">IF(N12&gt;=0,0,(IF(N12&gt;-60,0,IF(-60&gt;=N12,IF(N12&gt;=-120,0,IF(N12&gt;=-180,O12,0))))))</f>
        <v>0</v>
      </c>
      <c r="U12" s="40">
        <f t="shared" ref="U12:U24" si="8">IF(N12&gt;=0,0,(IF(N12&gt;-60,0,IF(-60&gt;=N12,IF(N12&gt;-120,0,IF(N12&gt;=-180,0,IF(N12&gt;=-365,O12,0)))))))</f>
        <v>0</v>
      </c>
      <c r="V12" s="40">
        <f t="shared" ref="V12:V23" si="9">IF(N12&gt;=0,0,IF(365&lt;-N12,O12,0))</f>
        <v>0</v>
      </c>
    </row>
    <row r="13" spans="1:22" ht="19.5" customHeight="1">
      <c r="A13" s="41" t="s">
        <v>206</v>
      </c>
      <c r="B13" s="42"/>
      <c r="C13" s="126">
        <v>39872</v>
      </c>
      <c r="D13" s="44"/>
      <c r="E13" s="36">
        <v>436472.81666666671</v>
      </c>
      <c r="F13" s="36">
        <v>0</v>
      </c>
      <c r="G13" s="36">
        <v>0</v>
      </c>
      <c r="H13" s="36"/>
      <c r="I13" s="36">
        <f t="shared" si="0"/>
        <v>436472.81666666671</v>
      </c>
      <c r="J13" s="36">
        <f t="shared" si="1"/>
        <v>523767.38000000006</v>
      </c>
      <c r="K13" s="36">
        <v>523767.38</v>
      </c>
      <c r="L13" s="37">
        <v>39974</v>
      </c>
      <c r="M13" s="37">
        <v>39989</v>
      </c>
      <c r="N13" s="92">
        <f t="shared" si="2"/>
        <v>-15</v>
      </c>
      <c r="O13" s="36">
        <f t="shared" si="3"/>
        <v>0</v>
      </c>
      <c r="P13" s="36" t="e">
        <f t="shared" si="4"/>
        <v>#REF!</v>
      </c>
      <c r="Q13" s="39"/>
      <c r="R13" s="40">
        <f t="shared" si="5"/>
        <v>0</v>
      </c>
      <c r="S13" s="40">
        <f t="shared" si="6"/>
        <v>0</v>
      </c>
      <c r="T13" s="40">
        <f t="shared" si="7"/>
        <v>0</v>
      </c>
      <c r="U13" s="40">
        <f t="shared" si="8"/>
        <v>0</v>
      </c>
      <c r="V13" s="40">
        <f t="shared" si="9"/>
        <v>0</v>
      </c>
    </row>
    <row r="14" spans="1:22" ht="19.5" customHeight="1">
      <c r="A14" s="41" t="s">
        <v>206</v>
      </c>
      <c r="B14" s="42"/>
      <c r="C14" s="126">
        <v>39903</v>
      </c>
      <c r="D14" s="44"/>
      <c r="E14" s="36">
        <v>608372.90833333333</v>
      </c>
      <c r="F14" s="36">
        <v>0</v>
      </c>
      <c r="G14" s="36">
        <v>0</v>
      </c>
      <c r="H14" s="36"/>
      <c r="I14" s="36">
        <f t="shared" si="0"/>
        <v>608372.90833333333</v>
      </c>
      <c r="J14" s="36">
        <f t="shared" si="1"/>
        <v>730047.49</v>
      </c>
      <c r="K14" s="36">
        <v>730047.49</v>
      </c>
      <c r="L14" s="37">
        <v>40004</v>
      </c>
      <c r="M14" s="37">
        <v>40091</v>
      </c>
      <c r="N14" s="92">
        <f t="shared" si="2"/>
        <v>-87</v>
      </c>
      <c r="O14" s="36">
        <f t="shared" si="3"/>
        <v>0</v>
      </c>
      <c r="P14" s="36" t="e">
        <f t="shared" si="4"/>
        <v>#REF!</v>
      </c>
      <c r="Q14" s="39"/>
      <c r="R14" s="40">
        <f t="shared" si="5"/>
        <v>0</v>
      </c>
      <c r="S14" s="40">
        <f t="shared" si="6"/>
        <v>0</v>
      </c>
      <c r="T14" s="40">
        <f t="shared" si="7"/>
        <v>0</v>
      </c>
      <c r="U14" s="40">
        <f t="shared" si="8"/>
        <v>0</v>
      </c>
      <c r="V14" s="40">
        <f t="shared" si="9"/>
        <v>0</v>
      </c>
    </row>
    <row r="15" spans="1:22" ht="19.5" customHeight="1">
      <c r="A15" s="41" t="s">
        <v>206</v>
      </c>
      <c r="B15" s="42"/>
      <c r="C15" s="126">
        <v>39933</v>
      </c>
      <c r="D15" s="44"/>
      <c r="E15" s="36">
        <v>811763.3666666667</v>
      </c>
      <c r="F15" s="36">
        <v>0</v>
      </c>
      <c r="G15" s="36">
        <v>0</v>
      </c>
      <c r="H15" s="36"/>
      <c r="I15" s="36">
        <f t="shared" si="0"/>
        <v>811763.3666666667</v>
      </c>
      <c r="J15" s="36">
        <f t="shared" si="1"/>
        <v>974116.04</v>
      </c>
      <c r="K15" s="36">
        <v>974116.04</v>
      </c>
      <c r="L15" s="37">
        <v>40035</v>
      </c>
      <c r="M15" s="37">
        <v>40198</v>
      </c>
      <c r="N15" s="92">
        <f t="shared" si="2"/>
        <v>-163</v>
      </c>
      <c r="O15" s="36">
        <f t="shared" si="3"/>
        <v>0</v>
      </c>
      <c r="P15" s="36" t="e">
        <f t="shared" si="4"/>
        <v>#REF!</v>
      </c>
      <c r="Q15" s="39"/>
      <c r="R15" s="40">
        <f t="shared" si="5"/>
        <v>0</v>
      </c>
      <c r="S15" s="40">
        <f t="shared" si="6"/>
        <v>0</v>
      </c>
      <c r="T15" s="40">
        <f t="shared" si="7"/>
        <v>0</v>
      </c>
      <c r="U15" s="40">
        <f t="shared" si="8"/>
        <v>0</v>
      </c>
      <c r="V15" s="40">
        <f t="shared" si="9"/>
        <v>0</v>
      </c>
    </row>
    <row r="16" spans="1:22" ht="19.5" customHeight="1">
      <c r="A16" s="41" t="s">
        <v>206</v>
      </c>
      <c r="B16" s="42"/>
      <c r="C16" s="126">
        <v>39964</v>
      </c>
      <c r="D16" s="44"/>
      <c r="E16" s="36">
        <v>1147598.7416666667</v>
      </c>
      <c r="F16" s="36">
        <v>0</v>
      </c>
      <c r="G16" s="36">
        <v>0</v>
      </c>
      <c r="H16" s="36"/>
      <c r="I16" s="36">
        <f t="shared" si="0"/>
        <v>1147598.7416666667</v>
      </c>
      <c r="J16" s="36">
        <f t="shared" si="1"/>
        <v>1377118.49</v>
      </c>
      <c r="K16" s="36">
        <v>1377118.49</v>
      </c>
      <c r="L16" s="37">
        <v>40066</v>
      </c>
      <c r="M16" s="37">
        <v>40142</v>
      </c>
      <c r="N16" s="92">
        <f t="shared" si="2"/>
        <v>-76</v>
      </c>
      <c r="O16" s="36">
        <f t="shared" si="3"/>
        <v>0</v>
      </c>
      <c r="P16" s="36" t="e">
        <f t="shared" si="4"/>
        <v>#REF!</v>
      </c>
      <c r="Q16" s="39"/>
      <c r="R16" s="40">
        <f t="shared" si="5"/>
        <v>0</v>
      </c>
      <c r="S16" s="40">
        <f t="shared" si="6"/>
        <v>0</v>
      </c>
      <c r="T16" s="40">
        <f t="shared" si="7"/>
        <v>0</v>
      </c>
      <c r="U16" s="40">
        <f t="shared" si="8"/>
        <v>0</v>
      </c>
      <c r="V16" s="40">
        <f t="shared" si="9"/>
        <v>0</v>
      </c>
    </row>
    <row r="17" spans="1:24" ht="19.5" customHeight="1">
      <c r="A17" s="41" t="s">
        <v>206</v>
      </c>
      <c r="B17" s="42"/>
      <c r="C17" s="126">
        <v>39994</v>
      </c>
      <c r="D17" s="44"/>
      <c r="E17" s="36">
        <v>1254766.7166666668</v>
      </c>
      <c r="F17" s="36">
        <v>0</v>
      </c>
      <c r="G17" s="36">
        <v>0</v>
      </c>
      <c r="H17" s="36"/>
      <c r="I17" s="36">
        <f t="shared" si="0"/>
        <v>1254766.7166666668</v>
      </c>
      <c r="J17" s="36">
        <f t="shared" si="1"/>
        <v>1505720.06</v>
      </c>
      <c r="K17" s="36">
        <v>1505720.08</v>
      </c>
      <c r="L17" s="37">
        <v>40096</v>
      </c>
      <c r="M17" s="37">
        <v>42002</v>
      </c>
      <c r="N17" s="92">
        <f t="shared" si="2"/>
        <v>-1906</v>
      </c>
      <c r="O17" s="36">
        <f t="shared" si="3"/>
        <v>-2.0000000018626451E-2</v>
      </c>
      <c r="P17" s="36" t="e">
        <f t="shared" si="4"/>
        <v>#REF!</v>
      </c>
      <c r="Q17" s="39"/>
      <c r="R17" s="40">
        <f t="shared" si="5"/>
        <v>0</v>
      </c>
      <c r="S17" s="40">
        <f t="shared" si="6"/>
        <v>0</v>
      </c>
      <c r="T17" s="40">
        <f t="shared" si="7"/>
        <v>0</v>
      </c>
      <c r="U17" s="40">
        <f t="shared" si="8"/>
        <v>0</v>
      </c>
      <c r="V17" s="40">
        <f t="shared" si="9"/>
        <v>-2.0000000018626451E-2</v>
      </c>
    </row>
    <row r="18" spans="1:24" ht="19.5" customHeight="1">
      <c r="A18" s="41" t="s">
        <v>206</v>
      </c>
      <c r="B18" s="42"/>
      <c r="C18" s="126">
        <v>40025</v>
      </c>
      <c r="D18" s="44"/>
      <c r="E18" s="36">
        <v>878346.76080000005</v>
      </c>
      <c r="F18" s="36">
        <v>0</v>
      </c>
      <c r="G18" s="36">
        <v>0</v>
      </c>
      <c r="H18" s="36"/>
      <c r="I18" s="36">
        <f t="shared" si="0"/>
        <v>878346.76080000005</v>
      </c>
      <c r="J18" s="36">
        <f t="shared" si="1"/>
        <v>1054016.1129600001</v>
      </c>
      <c r="K18" s="36">
        <f>237139.96+165000.02+165000+165000</f>
        <v>732139.98</v>
      </c>
      <c r="L18" s="37">
        <v>40127</v>
      </c>
      <c r="M18" s="37">
        <v>42002</v>
      </c>
      <c r="N18" s="92">
        <f t="shared" si="2"/>
        <v>-1875</v>
      </c>
      <c r="O18" s="36">
        <f t="shared" si="3"/>
        <v>321876.13296000008</v>
      </c>
      <c r="P18" s="36" t="e">
        <f t="shared" si="4"/>
        <v>#REF!</v>
      </c>
      <c r="Q18" s="39"/>
      <c r="R18" s="40">
        <f t="shared" si="5"/>
        <v>0</v>
      </c>
      <c r="S18" s="40">
        <f t="shared" si="6"/>
        <v>0</v>
      </c>
      <c r="T18" s="40">
        <f t="shared" si="7"/>
        <v>0</v>
      </c>
      <c r="U18" s="40">
        <f t="shared" si="8"/>
        <v>0</v>
      </c>
      <c r="V18" s="40">
        <f t="shared" si="9"/>
        <v>321876.13296000008</v>
      </c>
    </row>
    <row r="19" spans="1:24" ht="19.5" customHeight="1">
      <c r="A19" s="41" t="s">
        <v>206</v>
      </c>
      <c r="B19" s="42"/>
      <c r="C19" s="126">
        <v>40056</v>
      </c>
      <c r="D19" s="44"/>
      <c r="E19" s="36">
        <v>105178.5</v>
      </c>
      <c r="F19" s="36">
        <v>0</v>
      </c>
      <c r="G19" s="36">
        <v>0</v>
      </c>
      <c r="H19" s="36"/>
      <c r="I19" s="36">
        <f t="shared" si="0"/>
        <v>105178.5</v>
      </c>
      <c r="J19" s="36">
        <f t="shared" si="1"/>
        <v>126214.2</v>
      </c>
      <c r="K19" s="36"/>
      <c r="L19" s="37">
        <v>40157</v>
      </c>
      <c r="M19" s="37"/>
      <c r="N19" s="92" t="e">
        <f t="shared" si="2"/>
        <v>#REF!</v>
      </c>
      <c r="O19" s="36">
        <f t="shared" si="3"/>
        <v>126214.2</v>
      </c>
      <c r="P19" s="36" t="e">
        <f t="shared" si="4"/>
        <v>#REF!</v>
      </c>
      <c r="Q19" s="39"/>
      <c r="R19" s="40" t="e">
        <f t="shared" si="5"/>
        <v>#REF!</v>
      </c>
      <c r="S19" s="40" t="e">
        <f t="shared" si="6"/>
        <v>#REF!</v>
      </c>
      <c r="T19" s="40" t="e">
        <f t="shared" si="7"/>
        <v>#REF!</v>
      </c>
      <c r="U19" s="40" t="e">
        <f t="shared" si="8"/>
        <v>#REF!</v>
      </c>
      <c r="V19" s="40" t="e">
        <f t="shared" si="9"/>
        <v>#REF!</v>
      </c>
    </row>
    <row r="20" spans="1:24" ht="19.5" customHeight="1">
      <c r="A20" s="41" t="s">
        <v>206</v>
      </c>
      <c r="B20" s="42"/>
      <c r="C20" s="126">
        <v>40086</v>
      </c>
      <c r="D20" s="44"/>
      <c r="E20" s="36">
        <v>145383.45833333334</v>
      </c>
      <c r="F20" s="36">
        <v>0</v>
      </c>
      <c r="G20" s="36">
        <v>0</v>
      </c>
      <c r="H20" s="36"/>
      <c r="I20" s="36">
        <f t="shared" si="0"/>
        <v>145383.45833333334</v>
      </c>
      <c r="J20" s="36">
        <f t="shared" si="1"/>
        <v>174460.15000000002</v>
      </c>
      <c r="K20" s="36"/>
      <c r="L20" s="37">
        <v>40188</v>
      </c>
      <c r="M20" s="37"/>
      <c r="N20" s="92" t="e">
        <f t="shared" si="2"/>
        <v>#REF!</v>
      </c>
      <c r="O20" s="36">
        <f t="shared" si="3"/>
        <v>174460.15000000002</v>
      </c>
      <c r="P20" s="36" t="e">
        <f t="shared" si="4"/>
        <v>#REF!</v>
      </c>
      <c r="Q20" s="39"/>
      <c r="R20" s="40" t="e">
        <f t="shared" si="5"/>
        <v>#REF!</v>
      </c>
      <c r="S20" s="40" t="e">
        <f t="shared" si="6"/>
        <v>#REF!</v>
      </c>
      <c r="T20" s="40" t="e">
        <f t="shared" si="7"/>
        <v>#REF!</v>
      </c>
      <c r="U20" s="40" t="e">
        <f t="shared" si="8"/>
        <v>#REF!</v>
      </c>
      <c r="V20" s="40" t="e">
        <f t="shared" si="9"/>
        <v>#REF!</v>
      </c>
    </row>
    <row r="21" spans="1:24" ht="19.5" customHeight="1">
      <c r="A21" s="41" t="s">
        <v>206</v>
      </c>
      <c r="B21" s="42"/>
      <c r="C21" s="126">
        <v>40117</v>
      </c>
      <c r="D21" s="44"/>
      <c r="E21" s="36">
        <v>827846.35</v>
      </c>
      <c r="F21" s="36">
        <v>0</v>
      </c>
      <c r="G21" s="36">
        <v>0</v>
      </c>
      <c r="H21" s="36"/>
      <c r="I21" s="36">
        <f t="shared" si="0"/>
        <v>827846.35</v>
      </c>
      <c r="J21" s="36">
        <f t="shared" si="1"/>
        <v>993415.62</v>
      </c>
      <c r="K21" s="36"/>
      <c r="L21" s="37">
        <v>40219</v>
      </c>
      <c r="M21" s="37"/>
      <c r="N21" s="92" t="e">
        <f t="shared" si="2"/>
        <v>#REF!</v>
      </c>
      <c r="O21" s="36">
        <f t="shared" si="3"/>
        <v>993415.62</v>
      </c>
      <c r="P21" s="36" t="e">
        <f t="shared" si="4"/>
        <v>#REF!</v>
      </c>
      <c r="Q21" s="39"/>
      <c r="R21" s="40" t="e">
        <f t="shared" si="5"/>
        <v>#REF!</v>
      </c>
      <c r="S21" s="40" t="e">
        <f t="shared" si="6"/>
        <v>#REF!</v>
      </c>
      <c r="T21" s="40" t="e">
        <f t="shared" si="7"/>
        <v>#REF!</v>
      </c>
      <c r="U21" s="40" t="e">
        <f t="shared" si="8"/>
        <v>#REF!</v>
      </c>
      <c r="V21" s="40" t="e">
        <f t="shared" si="9"/>
        <v>#REF!</v>
      </c>
    </row>
    <row r="22" spans="1:24" ht="19.5" customHeight="1">
      <c r="A22" s="41" t="s">
        <v>206</v>
      </c>
      <c r="B22" s="42"/>
      <c r="C22" s="126">
        <v>40147</v>
      </c>
      <c r="D22" s="44"/>
      <c r="E22" s="36">
        <v>694935.72</v>
      </c>
      <c r="F22" s="36">
        <v>0</v>
      </c>
      <c r="G22" s="36">
        <v>0</v>
      </c>
      <c r="H22" s="36"/>
      <c r="I22" s="36">
        <f t="shared" si="0"/>
        <v>694935.72</v>
      </c>
      <c r="J22" s="36">
        <f t="shared" si="1"/>
        <v>833922.86399999994</v>
      </c>
      <c r="K22" s="36"/>
      <c r="L22" s="37">
        <v>40247</v>
      </c>
      <c r="M22" s="37"/>
      <c r="N22" s="92" t="e">
        <f t="shared" si="2"/>
        <v>#REF!</v>
      </c>
      <c r="O22" s="36">
        <f t="shared" si="3"/>
        <v>833922.86399999994</v>
      </c>
      <c r="P22" s="36" t="e">
        <f t="shared" si="4"/>
        <v>#REF!</v>
      </c>
      <c r="Q22" s="39"/>
      <c r="R22" s="40" t="e">
        <f t="shared" si="5"/>
        <v>#REF!</v>
      </c>
      <c r="S22" s="40" t="e">
        <f t="shared" si="6"/>
        <v>#REF!</v>
      </c>
      <c r="T22" s="40" t="e">
        <f t="shared" si="7"/>
        <v>#REF!</v>
      </c>
      <c r="U22" s="40" t="e">
        <f t="shared" si="8"/>
        <v>#REF!</v>
      </c>
      <c r="V22" s="40" t="e">
        <f t="shared" si="9"/>
        <v>#REF!</v>
      </c>
    </row>
    <row r="23" spans="1:24" ht="19.5" customHeight="1">
      <c r="A23" s="41" t="s">
        <v>206</v>
      </c>
      <c r="B23" s="42"/>
      <c r="C23" s="126">
        <v>40178</v>
      </c>
      <c r="D23" s="44"/>
      <c r="E23" s="36">
        <v>850239.71666666667</v>
      </c>
      <c r="F23" s="36">
        <v>0</v>
      </c>
      <c r="G23" s="36">
        <v>0</v>
      </c>
      <c r="H23" s="36"/>
      <c r="I23" s="36">
        <f t="shared" si="0"/>
        <v>850239.71666666667</v>
      </c>
      <c r="J23" s="36">
        <f t="shared" si="1"/>
        <v>1020287.66</v>
      </c>
      <c r="K23" s="36"/>
      <c r="L23" s="37">
        <v>40278</v>
      </c>
      <c r="M23" s="37"/>
      <c r="N23" s="92" t="e">
        <f t="shared" si="2"/>
        <v>#REF!</v>
      </c>
      <c r="O23" s="36">
        <f t="shared" si="3"/>
        <v>1020287.66</v>
      </c>
      <c r="P23" s="36" t="e">
        <f t="shared" si="4"/>
        <v>#REF!</v>
      </c>
      <c r="Q23" s="39"/>
      <c r="R23" s="40" t="e">
        <f t="shared" si="5"/>
        <v>#REF!</v>
      </c>
      <c r="S23" s="40" t="e">
        <f t="shared" si="6"/>
        <v>#REF!</v>
      </c>
      <c r="T23" s="40" t="e">
        <f t="shared" si="7"/>
        <v>#REF!</v>
      </c>
      <c r="U23" s="40" t="e">
        <f t="shared" si="8"/>
        <v>#REF!</v>
      </c>
      <c r="V23" s="40" t="e">
        <f t="shared" si="9"/>
        <v>#REF!</v>
      </c>
    </row>
    <row r="24" spans="1:24" ht="19.5" customHeight="1">
      <c r="A24" s="41" t="s">
        <v>206</v>
      </c>
      <c r="B24" s="42"/>
      <c r="C24" s="126">
        <v>42002</v>
      </c>
      <c r="D24" s="44"/>
      <c r="E24" s="103">
        <f>-2207844.14/1.2</f>
        <v>-1839870.1166666669</v>
      </c>
      <c r="F24" s="36">
        <v>0</v>
      </c>
      <c r="G24" s="36">
        <v>0</v>
      </c>
      <c r="H24" s="36"/>
      <c r="I24" s="36">
        <f t="shared" si="0"/>
        <v>-1839870.1166666669</v>
      </c>
      <c r="J24" s="103">
        <f t="shared" si="1"/>
        <v>-2207844.1400000006</v>
      </c>
      <c r="K24" s="36"/>
      <c r="L24" s="37">
        <v>42002</v>
      </c>
      <c r="M24" s="37">
        <v>42002</v>
      </c>
      <c r="N24" s="92">
        <f t="shared" si="2"/>
        <v>0</v>
      </c>
      <c r="O24" s="36">
        <f t="shared" si="3"/>
        <v>-2207844.1400000006</v>
      </c>
      <c r="P24" s="36" t="e">
        <f t="shared" si="4"/>
        <v>#REF!</v>
      </c>
      <c r="Q24" s="39"/>
      <c r="R24" s="40">
        <f t="shared" si="5"/>
        <v>0</v>
      </c>
      <c r="S24" s="40">
        <f t="shared" si="6"/>
        <v>0</v>
      </c>
      <c r="T24" s="40">
        <f t="shared" si="7"/>
        <v>0</v>
      </c>
      <c r="U24" s="40">
        <f t="shared" si="8"/>
        <v>0</v>
      </c>
      <c r="V24" s="40">
        <v>-2207844.1400000006</v>
      </c>
      <c r="X24" s="7" t="s">
        <v>187</v>
      </c>
    </row>
    <row r="25" spans="1:24" s="99" customFormat="1" ht="19.5" customHeight="1">
      <c r="A25" s="104"/>
      <c r="B25" s="105"/>
      <c r="C25" s="106"/>
      <c r="D25" s="107"/>
      <c r="E25" s="108">
        <f>SUM(E12:E24)</f>
        <v>5973262.1224666657</v>
      </c>
      <c r="F25" s="108">
        <f t="shared" ref="F25:K25" si="10">SUM(F12:F24)</f>
        <v>0</v>
      </c>
      <c r="G25" s="108">
        <f t="shared" si="10"/>
        <v>0</v>
      </c>
      <c r="H25" s="108">
        <f t="shared" si="10"/>
        <v>0</v>
      </c>
      <c r="I25" s="108">
        <f t="shared" si="10"/>
        <v>5973262.1224666657</v>
      </c>
      <c r="J25" s="108">
        <f t="shared" si="10"/>
        <v>7167914.5469599999</v>
      </c>
      <c r="K25" s="108">
        <f t="shared" si="10"/>
        <v>5905582.0800000001</v>
      </c>
      <c r="L25" s="109"/>
      <c r="M25" s="109"/>
      <c r="N25" s="110"/>
      <c r="O25" s="108">
        <f>SUM(O12:O24)</f>
        <v>1262332.4669599999</v>
      </c>
      <c r="P25" s="108" t="e">
        <f>SUM(P12:P24)</f>
        <v>#REF!</v>
      </c>
      <c r="Q25" s="114"/>
      <c r="R25" s="115" t="e">
        <f>SUM(R12:R24)</f>
        <v>#REF!</v>
      </c>
      <c r="S25" s="115" t="e">
        <f>SUM(S12:S24)</f>
        <v>#REF!</v>
      </c>
      <c r="T25" s="115" t="e">
        <f>SUM(T12:T24)</f>
        <v>#REF!</v>
      </c>
      <c r="U25" s="115" t="e">
        <f>SUM(U12:U24)</f>
        <v>#REF!</v>
      </c>
      <c r="V25" s="115" t="e">
        <f>SUM(V12:V24)</f>
        <v>#REF!</v>
      </c>
    </row>
    <row r="26" spans="1:24" ht="19.5" customHeight="1">
      <c r="A26" s="41" t="s">
        <v>212</v>
      </c>
      <c r="B26" s="42"/>
      <c r="C26" s="125"/>
      <c r="D26" s="44"/>
      <c r="E26" s="36">
        <f>110210.59/1.2</f>
        <v>91842.15833333334</v>
      </c>
      <c r="F26" s="36">
        <f>-E26*$F$10</f>
        <v>0</v>
      </c>
      <c r="G26" s="36">
        <f>E26*$G$10</f>
        <v>0</v>
      </c>
      <c r="H26" s="36"/>
      <c r="I26" s="36">
        <f>+E26+F26-G26-H26</f>
        <v>91842.15833333334</v>
      </c>
      <c r="J26" s="36">
        <f>+I26+(I26*$I$4)</f>
        <v>110210.59000000001</v>
      </c>
      <c r="K26" s="36">
        <v>110210.59000000001</v>
      </c>
      <c r="L26" s="37"/>
      <c r="M26" s="37"/>
      <c r="N26" s="92">
        <f>-IF(L26=0,,IF(M26=0,($C$10-L26),M26-L26))</f>
        <v>0</v>
      </c>
      <c r="O26" s="36">
        <f>+J26-K26</f>
        <v>0</v>
      </c>
      <c r="P26" s="36" t="e">
        <f>+IF($C$10&lt;L26,0,O26)</f>
        <v>#REF!</v>
      </c>
      <c r="Q26" s="39"/>
      <c r="R26" s="40">
        <f>IF(N26&gt;=0,0,(IF(-N26&lt;=60,O26,0)))</f>
        <v>0</v>
      </c>
      <c r="S26" s="40">
        <f>IF(N26&gt;=0,0,(IF(N26&gt;=-60,0,IF(-60&gt;=N26,IF(N26&gt;=-120,O26,0)))))</f>
        <v>0</v>
      </c>
      <c r="T26" s="40">
        <f>IF(N26&gt;=0,0,(IF(N26&gt;-60,0,IF(-60&gt;=N26,IF(N26&gt;=-120,0,IF(N26&gt;=-180,O26,0))))))</f>
        <v>0</v>
      </c>
      <c r="U26" s="40">
        <f>IF(N26&gt;=0,0,(IF(N26&gt;-60,0,IF(-60&gt;=N26,IF(N26&gt;-120,0,IF(N26&gt;=-180,0,IF(N26&gt;=-365,O26,0)))))))</f>
        <v>0</v>
      </c>
      <c r="V26" s="40">
        <f>IF(N26&gt;=0,0,IF(365&lt;-N26,O26,0))</f>
        <v>0</v>
      </c>
    </row>
    <row r="27" spans="1:24" s="99" customFormat="1" ht="19.5" customHeight="1">
      <c r="A27" s="104"/>
      <c r="B27" s="105"/>
      <c r="C27" s="106"/>
      <c r="D27" s="107"/>
      <c r="E27" s="108">
        <f t="shared" ref="E27:K27" si="11">SUM(E26:E26)</f>
        <v>91842.15833333334</v>
      </c>
      <c r="F27" s="108">
        <f t="shared" si="11"/>
        <v>0</v>
      </c>
      <c r="G27" s="108">
        <f t="shared" si="11"/>
        <v>0</v>
      </c>
      <c r="H27" s="108">
        <f t="shared" si="11"/>
        <v>0</v>
      </c>
      <c r="I27" s="108">
        <f t="shared" si="11"/>
        <v>91842.15833333334</v>
      </c>
      <c r="J27" s="113">
        <f t="shared" si="11"/>
        <v>110210.59000000001</v>
      </c>
      <c r="K27" s="113">
        <f t="shared" si="11"/>
        <v>110210.59000000001</v>
      </c>
      <c r="L27" s="109"/>
      <c r="M27" s="109"/>
      <c r="N27" s="110"/>
      <c r="O27" s="108">
        <f>SUM(O26:O26)</f>
        <v>0</v>
      </c>
      <c r="P27" s="108" t="e">
        <f>SUM(P26:P26)</f>
        <v>#REF!</v>
      </c>
      <c r="Q27" s="114"/>
      <c r="R27" s="115">
        <f>SUM(R26:R26)</f>
        <v>0</v>
      </c>
      <c r="S27" s="115">
        <f>SUM(S26:S26)</f>
        <v>0</v>
      </c>
      <c r="T27" s="115">
        <f>SUM(T26:T26)</f>
        <v>0</v>
      </c>
      <c r="U27" s="115">
        <f>SUM(U26:U26)</f>
        <v>0</v>
      </c>
      <c r="V27" s="115">
        <f>SUM(V26:V26)</f>
        <v>0</v>
      </c>
    </row>
    <row r="28" spans="1:24" ht="19.5" customHeight="1">
      <c r="A28" s="41" t="s">
        <v>62</v>
      </c>
      <c r="B28" s="42"/>
      <c r="C28" s="125"/>
      <c r="D28" s="44"/>
      <c r="E28" s="36">
        <f>1661172.85/1.2</f>
        <v>1384310.7083333335</v>
      </c>
      <c r="F28" s="36">
        <f>-E28*$F$10</f>
        <v>0</v>
      </c>
      <c r="G28" s="36">
        <f>E28*$G$10</f>
        <v>0</v>
      </c>
      <c r="H28" s="36"/>
      <c r="I28" s="36">
        <f>+E28+F28-G28-H28</f>
        <v>1384310.7083333335</v>
      </c>
      <c r="J28" s="36">
        <f>+I28+(I28*$I$4)</f>
        <v>1661172.85</v>
      </c>
      <c r="K28" s="36">
        <v>1661172.85</v>
      </c>
      <c r="L28" s="37"/>
      <c r="M28" s="37"/>
      <c r="N28" s="92">
        <f>-IF(L28=0,,IF(M28=0,($C$10-L28),M28-L28))</f>
        <v>0</v>
      </c>
      <c r="O28" s="36">
        <f>+J28-K28</f>
        <v>0</v>
      </c>
      <c r="P28" s="36" t="e">
        <f>+IF($C$10&lt;L28,0,O28)</f>
        <v>#REF!</v>
      </c>
      <c r="Q28" s="39"/>
      <c r="R28" s="40">
        <f>IF(N28&gt;=0,0,(IF(-N28&lt;=60,O28,0)))</f>
        <v>0</v>
      </c>
      <c r="S28" s="40">
        <f>IF(N28&gt;=0,0,(IF(N28&gt;=-60,0,IF(-60&gt;=N28,IF(N28&gt;=-120,O28,0)))))</f>
        <v>0</v>
      </c>
      <c r="T28" s="40">
        <f>IF(N28&gt;=0,0,(IF(N28&gt;-60,0,IF(-60&gt;=N28,IF(N28&gt;=-120,0,IF(N28&gt;=-180,O28,0))))))</f>
        <v>0</v>
      </c>
      <c r="U28" s="40">
        <f>IF(N28&gt;=0,0,(IF(N28&gt;-60,0,IF(-60&gt;=N28,IF(N28&gt;-120,0,IF(N28&gt;=-180,0,IF(N28&gt;=-365,O28,0)))))))</f>
        <v>0</v>
      </c>
      <c r="V28" s="40">
        <f>IF(N28&gt;=0,0,IF(365&lt;-N28,O28,0))</f>
        <v>0</v>
      </c>
    </row>
    <row r="29" spans="1:24" s="99" customFormat="1" ht="19.5" customHeight="1">
      <c r="A29" s="104"/>
      <c r="B29" s="105"/>
      <c r="C29" s="106"/>
      <c r="D29" s="107"/>
      <c r="E29" s="108">
        <f t="shared" ref="E29:K29" si="12">SUM(E28:E28)</f>
        <v>1384310.7083333335</v>
      </c>
      <c r="F29" s="108">
        <f t="shared" si="12"/>
        <v>0</v>
      </c>
      <c r="G29" s="108">
        <f t="shared" si="12"/>
        <v>0</v>
      </c>
      <c r="H29" s="108">
        <f t="shared" si="12"/>
        <v>0</v>
      </c>
      <c r="I29" s="108">
        <f t="shared" si="12"/>
        <v>1384310.7083333335</v>
      </c>
      <c r="J29" s="113">
        <f t="shared" si="12"/>
        <v>1661172.85</v>
      </c>
      <c r="K29" s="113">
        <f t="shared" si="12"/>
        <v>1661172.85</v>
      </c>
      <c r="L29" s="109"/>
      <c r="M29" s="109"/>
      <c r="N29" s="110"/>
      <c r="O29" s="108">
        <f>SUM(O28:O28)</f>
        <v>0</v>
      </c>
      <c r="P29" s="108" t="e">
        <f>SUM(P28:P28)</f>
        <v>#REF!</v>
      </c>
      <c r="Q29" s="114"/>
      <c r="R29" s="115">
        <f>SUM(R28:R28)</f>
        <v>0</v>
      </c>
      <c r="S29" s="115">
        <f>SUM(S28:S28)</f>
        <v>0</v>
      </c>
      <c r="T29" s="115">
        <f>SUM(T28:T28)</f>
        <v>0</v>
      </c>
      <c r="U29" s="115">
        <f>SUM(U28:U28)</f>
        <v>0</v>
      </c>
      <c r="V29" s="115">
        <f>SUM(V28:V28)</f>
        <v>0</v>
      </c>
    </row>
    <row r="30" spans="1:24" ht="19.5" customHeight="1">
      <c r="A30" s="41" t="s">
        <v>63</v>
      </c>
      <c r="B30" s="42"/>
      <c r="C30" s="43"/>
      <c r="D30" s="44"/>
      <c r="E30" s="36">
        <f>2422185.42/1.2</f>
        <v>2018487.85</v>
      </c>
      <c r="F30" s="36">
        <f>-E30*$F$10</f>
        <v>0</v>
      </c>
      <c r="G30" s="36">
        <f>E30*$G$10</f>
        <v>0</v>
      </c>
      <c r="H30" s="36"/>
      <c r="I30" s="36">
        <f>+E30+F30-G30-H30</f>
        <v>2018487.85</v>
      </c>
      <c r="J30" s="36">
        <f>+I30+(I30*$I$4)</f>
        <v>2422185.42</v>
      </c>
      <c r="K30" s="36">
        <v>2422185.42</v>
      </c>
      <c r="L30" s="37"/>
      <c r="M30" s="37"/>
      <c r="N30" s="92">
        <f>-IF(L30=0,,IF(M30=0,($C$10-L30),M30-L30))</f>
        <v>0</v>
      </c>
      <c r="O30" s="36">
        <f>+J30-K30</f>
        <v>0</v>
      </c>
      <c r="P30" s="36" t="e">
        <f>+IF($C$10&lt;L30,0,O30)</f>
        <v>#REF!</v>
      </c>
      <c r="Q30" s="39"/>
      <c r="R30" s="40">
        <f>IF(N30&gt;=0,0,(IF(-N30&lt;=60,O30,0)))</f>
        <v>0</v>
      </c>
      <c r="S30" s="40">
        <f>IF(N30&gt;=0,0,(IF(N30&gt;=-60,0,IF(-60&gt;=N30,IF(N30&gt;=-120,O30,0)))))</f>
        <v>0</v>
      </c>
      <c r="T30" s="40">
        <f>IF(N30&gt;=0,0,(IF(N30&gt;-60,0,IF(-60&gt;=N30,IF(N30&gt;=-120,0,IF(N30&gt;=-180,O30,0))))))</f>
        <v>0</v>
      </c>
      <c r="U30" s="40">
        <f>IF(N30&gt;=0,0,(IF(N30&gt;-60,0,IF(-60&gt;=N30,IF(N30&gt;-120,0,IF(N30&gt;=-180,0,IF(N30&gt;=-365,O30,0)))))))</f>
        <v>0</v>
      </c>
      <c r="V30" s="40">
        <f>IF(N30&gt;=0,0,IF(365&lt;-N30,O30,0))</f>
        <v>0</v>
      </c>
    </row>
    <row r="31" spans="1:24" s="99" customFormat="1" ht="19.5" customHeight="1">
      <c r="A31" s="104"/>
      <c r="B31" s="104"/>
      <c r="C31" s="106"/>
      <c r="D31" s="107"/>
      <c r="E31" s="108">
        <f t="shared" ref="E31:K31" si="13">SUM(E30:E30)</f>
        <v>2018487.85</v>
      </c>
      <c r="F31" s="108">
        <f t="shared" si="13"/>
        <v>0</v>
      </c>
      <c r="G31" s="108">
        <f t="shared" si="13"/>
        <v>0</v>
      </c>
      <c r="H31" s="108">
        <f t="shared" si="13"/>
        <v>0</v>
      </c>
      <c r="I31" s="108">
        <f t="shared" si="13"/>
        <v>2018487.85</v>
      </c>
      <c r="J31" s="113">
        <f t="shared" si="13"/>
        <v>2422185.42</v>
      </c>
      <c r="K31" s="113">
        <f t="shared" si="13"/>
        <v>2422185.42</v>
      </c>
      <c r="L31" s="109"/>
      <c r="M31" s="109"/>
      <c r="N31" s="110"/>
      <c r="O31" s="108">
        <f>SUM(O30:O30)</f>
        <v>0</v>
      </c>
      <c r="P31" s="108" t="e">
        <f>SUM(P30:P30)</f>
        <v>#REF!</v>
      </c>
      <c r="Q31" s="111"/>
      <c r="R31" s="112">
        <f>SUM(R30:R30)</f>
        <v>0</v>
      </c>
      <c r="S31" s="112">
        <f>SUM(S30:S30)</f>
        <v>0</v>
      </c>
      <c r="T31" s="112">
        <f>SUM(T30:T30)</f>
        <v>0</v>
      </c>
      <c r="U31" s="112">
        <f>SUM(U30:U30)</f>
        <v>0</v>
      </c>
      <c r="V31" s="112">
        <f>SUM(V30:V30)</f>
        <v>0</v>
      </c>
    </row>
    <row r="32" spans="1:24" ht="19.5" customHeight="1">
      <c r="A32" s="41" t="s">
        <v>73</v>
      </c>
      <c r="B32" s="41"/>
      <c r="C32" s="43"/>
      <c r="D32" s="44"/>
      <c r="E32" s="36">
        <f>7142886.56/1.2</f>
        <v>5952405.4666666668</v>
      </c>
      <c r="F32" s="36">
        <f>-E32*$F$10</f>
        <v>0</v>
      </c>
      <c r="G32" s="36">
        <f>E32*$G$10</f>
        <v>0</v>
      </c>
      <c r="H32" s="36"/>
      <c r="I32" s="36">
        <f>+E32+F32-G32-H32</f>
        <v>5952405.4666666668</v>
      </c>
      <c r="J32" s="36">
        <f>+I32+(I32*$I$4)</f>
        <v>7142886.5600000005</v>
      </c>
      <c r="K32" s="36">
        <v>7142886.5600000005</v>
      </c>
      <c r="L32" s="37"/>
      <c r="M32" s="37"/>
      <c r="N32" s="92">
        <f>-IF(L32=0,,IF(M32=0,($C$10-L32),M32-L32))</f>
        <v>0</v>
      </c>
      <c r="O32" s="36">
        <f>+J32-K32</f>
        <v>0</v>
      </c>
      <c r="P32" s="36" t="e">
        <f>+IF($C$10&lt;L32,0,O32)</f>
        <v>#REF!</v>
      </c>
      <c r="Q32" s="39"/>
      <c r="R32" s="40">
        <f>IF(N32&gt;=0,0,(IF(-N32&lt;=60,O32,0)))</f>
        <v>0</v>
      </c>
      <c r="S32" s="40">
        <f>IF(N32&gt;=0,0,(IF(N32&gt;=-60,0,IF(-60&gt;=N32,IF(N32&gt;=-120,O32,0)))))</f>
        <v>0</v>
      </c>
      <c r="T32" s="40">
        <f>IF(N32&gt;=0,0,(IF(N32&gt;-60,0,IF(-60&gt;=N32,IF(N32&gt;=-120,0,IF(N32&gt;=-180,O32,0))))))</f>
        <v>0</v>
      </c>
      <c r="U32" s="40">
        <f>IF(N32&gt;=0,0,(IF(N32&gt;-60,0,IF(-60&gt;=N32,IF(N32&gt;-120,0,IF(N32&gt;=-180,0,IF(N32&gt;=-365,O32,0)))))))</f>
        <v>0</v>
      </c>
      <c r="V32" s="40">
        <f>IF(N32&gt;=0,0,IF(365&lt;-N32,O32,0))</f>
        <v>0</v>
      </c>
    </row>
    <row r="33" spans="1:22" s="99" customFormat="1" ht="19.5" customHeight="1">
      <c r="A33" s="104"/>
      <c r="B33" s="104"/>
      <c r="C33" s="106"/>
      <c r="D33" s="107"/>
      <c r="E33" s="108">
        <f t="shared" ref="E33:K33" si="14">SUM(E32:E32)</f>
        <v>5952405.4666666668</v>
      </c>
      <c r="F33" s="108">
        <f t="shared" si="14"/>
        <v>0</v>
      </c>
      <c r="G33" s="108">
        <f t="shared" si="14"/>
        <v>0</v>
      </c>
      <c r="H33" s="108">
        <f t="shared" si="14"/>
        <v>0</v>
      </c>
      <c r="I33" s="108">
        <f t="shared" si="14"/>
        <v>5952405.4666666668</v>
      </c>
      <c r="J33" s="113">
        <f t="shared" si="14"/>
        <v>7142886.5600000005</v>
      </c>
      <c r="K33" s="113">
        <f t="shared" si="14"/>
        <v>7142886.5600000005</v>
      </c>
      <c r="L33" s="109"/>
      <c r="M33" s="109"/>
      <c r="N33" s="110"/>
      <c r="O33" s="108">
        <f>SUM(O32:O32)</f>
        <v>0</v>
      </c>
      <c r="P33" s="108" t="e">
        <f>SUM(P32:P32)</f>
        <v>#REF!</v>
      </c>
      <c r="Q33" s="111"/>
      <c r="R33" s="112">
        <f>SUM(R32:R32)</f>
        <v>0</v>
      </c>
      <c r="S33" s="112">
        <f>SUM(S32:S32)</f>
        <v>0</v>
      </c>
      <c r="T33" s="112">
        <f>SUM(T32:T32)</f>
        <v>0</v>
      </c>
      <c r="U33" s="112">
        <f>SUM(U32:U32)</f>
        <v>0</v>
      </c>
      <c r="V33" s="112">
        <f>SUM(V32:V32)</f>
        <v>0</v>
      </c>
    </row>
    <row r="34" spans="1:22" ht="19.5" customHeight="1">
      <c r="A34" s="41" t="s">
        <v>207</v>
      </c>
      <c r="B34" s="41"/>
      <c r="C34" s="43"/>
      <c r="D34" s="44"/>
      <c r="E34" s="36">
        <f>314815.77/1.2</f>
        <v>262346.47500000003</v>
      </c>
      <c r="F34" s="36">
        <f>-E34*$F$10</f>
        <v>0</v>
      </c>
      <c r="G34" s="36">
        <f>E34*$G$10</f>
        <v>0</v>
      </c>
      <c r="H34" s="36"/>
      <c r="I34" s="36">
        <f>+E34+F34-G34-H34</f>
        <v>262346.47500000003</v>
      </c>
      <c r="J34" s="36">
        <f>+I34+(I34*$I$4)</f>
        <v>314815.77</v>
      </c>
      <c r="K34" s="36">
        <v>314815.77</v>
      </c>
      <c r="L34" s="37"/>
      <c r="M34" s="37"/>
      <c r="N34" s="92">
        <f>-IF(L34=0,,IF(M34=0,($C$10-L34),M34-L34))</f>
        <v>0</v>
      </c>
      <c r="O34" s="36">
        <f>+J34-K34</f>
        <v>0</v>
      </c>
      <c r="P34" s="36" t="e">
        <f>+IF($C$10&lt;L34,0,O34)</f>
        <v>#REF!</v>
      </c>
      <c r="Q34" s="39"/>
      <c r="R34" s="40">
        <f>IF(N34&gt;=0,0,(IF(-N34&lt;=60,O34,0)))</f>
        <v>0</v>
      </c>
      <c r="S34" s="40">
        <f>IF(N34&gt;=0,0,(IF(N34&gt;=-60,0,IF(-60&gt;=N34,IF(N34&gt;=-120,O34,0)))))</f>
        <v>0</v>
      </c>
      <c r="T34" s="40">
        <f>IF(N34&gt;=0,0,(IF(N34&gt;-60,0,IF(-60&gt;=N34,IF(N34&gt;=-120,0,IF(N34&gt;=-180,O34,0))))))</f>
        <v>0</v>
      </c>
      <c r="U34" s="40">
        <f>IF(N34&gt;=0,0,(IF(N34&gt;-60,0,IF(-60&gt;=N34,IF(N34&gt;-120,0,IF(N34&gt;=-180,0,IF(N34&gt;=-365,O34,0)))))))</f>
        <v>0</v>
      </c>
      <c r="V34" s="40">
        <f>IF(N34&gt;=0,0,IF(365&lt;-N34,O34,0))</f>
        <v>0</v>
      </c>
    </row>
    <row r="35" spans="1:22" s="99" customFormat="1" ht="19.5" customHeight="1">
      <c r="A35" s="104"/>
      <c r="B35" s="105"/>
      <c r="C35" s="106"/>
      <c r="D35" s="107"/>
      <c r="E35" s="108">
        <f t="shared" ref="E35:K35" si="15">SUM(E34:E34)</f>
        <v>262346.47500000003</v>
      </c>
      <c r="F35" s="108">
        <f t="shared" si="15"/>
        <v>0</v>
      </c>
      <c r="G35" s="108">
        <f t="shared" si="15"/>
        <v>0</v>
      </c>
      <c r="H35" s="108">
        <f t="shared" si="15"/>
        <v>0</v>
      </c>
      <c r="I35" s="108">
        <f t="shared" si="15"/>
        <v>262346.47500000003</v>
      </c>
      <c r="J35" s="113">
        <f t="shared" si="15"/>
        <v>314815.77</v>
      </c>
      <c r="K35" s="113">
        <f t="shared" si="15"/>
        <v>314815.77</v>
      </c>
      <c r="L35" s="109"/>
      <c r="M35" s="109"/>
      <c r="N35" s="110"/>
      <c r="O35" s="108">
        <f>SUM(O34)</f>
        <v>0</v>
      </c>
      <c r="P35" s="108" t="e">
        <f>SUM(P34)</f>
        <v>#REF!</v>
      </c>
      <c r="Q35" s="111"/>
      <c r="R35" s="112">
        <f>SUM(R34)</f>
        <v>0</v>
      </c>
      <c r="S35" s="112">
        <f>SUM(S34)</f>
        <v>0</v>
      </c>
      <c r="T35" s="112">
        <f>SUM(T34)</f>
        <v>0</v>
      </c>
      <c r="U35" s="112">
        <f>SUM(U34)</f>
        <v>0</v>
      </c>
      <c r="V35" s="112">
        <f>SUM(V34)</f>
        <v>0</v>
      </c>
    </row>
    <row r="36" spans="1:22" ht="19.5" customHeight="1">
      <c r="A36" s="41" t="s">
        <v>99</v>
      </c>
      <c r="B36" s="41"/>
      <c r="C36" s="43"/>
      <c r="D36" s="44"/>
      <c r="E36" s="36">
        <f>667238.25/1.2</f>
        <v>556031.875</v>
      </c>
      <c r="F36" s="36">
        <f>-E36*$F$10</f>
        <v>0</v>
      </c>
      <c r="G36" s="36">
        <f>E36*$G$10</f>
        <v>0</v>
      </c>
      <c r="H36" s="36"/>
      <c r="I36" s="36">
        <f>+E36+F36-G36-H36</f>
        <v>556031.875</v>
      </c>
      <c r="J36" s="36">
        <f>+I36+(I36*$I$4)</f>
        <v>667238.25</v>
      </c>
      <c r="K36" s="36">
        <v>667238.25</v>
      </c>
      <c r="L36" s="37"/>
      <c r="M36" s="37"/>
      <c r="N36" s="92">
        <f>-IF(L36=0,,IF(M36=0,($C$10-L36),M36-L36))</f>
        <v>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s="99" customFormat="1" ht="19.5" customHeight="1">
      <c r="A37" s="104"/>
      <c r="B37" s="105"/>
      <c r="C37" s="106"/>
      <c r="D37" s="107"/>
      <c r="E37" s="108">
        <f t="shared" ref="E37:K37" si="16">SUM(E36:E36)</f>
        <v>556031.875</v>
      </c>
      <c r="F37" s="108">
        <f t="shared" si="16"/>
        <v>0</v>
      </c>
      <c r="G37" s="108">
        <f t="shared" si="16"/>
        <v>0</v>
      </c>
      <c r="H37" s="108">
        <f t="shared" si="16"/>
        <v>0</v>
      </c>
      <c r="I37" s="108">
        <f t="shared" si="16"/>
        <v>556031.875</v>
      </c>
      <c r="J37" s="113">
        <f t="shared" si="16"/>
        <v>667238.25</v>
      </c>
      <c r="K37" s="113">
        <f t="shared" si="16"/>
        <v>667238.25</v>
      </c>
      <c r="L37" s="109"/>
      <c r="M37" s="109"/>
      <c r="N37" s="110"/>
      <c r="O37" s="108">
        <f>SUM(O36:O36)</f>
        <v>0</v>
      </c>
      <c r="P37" s="108" t="e">
        <f>SUM(P36:P36)</f>
        <v>#REF!</v>
      </c>
      <c r="Q37" s="111"/>
      <c r="R37" s="112">
        <f>SUM(R36:R36)</f>
        <v>0</v>
      </c>
      <c r="S37" s="112">
        <f>SUM(S36:S36)</f>
        <v>0</v>
      </c>
      <c r="T37" s="112">
        <f>SUM(T36:T36)</f>
        <v>0</v>
      </c>
      <c r="U37" s="112">
        <f>SUM(U36:U36)</f>
        <v>0</v>
      </c>
      <c r="V37" s="112">
        <f>SUM(V36:V36)</f>
        <v>0</v>
      </c>
    </row>
    <row r="38" spans="1:22" ht="19.5" customHeight="1">
      <c r="A38" s="41" t="s">
        <v>69</v>
      </c>
      <c r="B38" s="41"/>
      <c r="C38" s="43"/>
      <c r="D38" s="44"/>
      <c r="E38" s="36">
        <f>1092870.28/1.2</f>
        <v>910725.2333333334</v>
      </c>
      <c r="F38" s="36">
        <f>-E38*$F$10</f>
        <v>0</v>
      </c>
      <c r="G38" s="36">
        <f>E38*$G$10</f>
        <v>0</v>
      </c>
      <c r="H38" s="36"/>
      <c r="I38" s="36">
        <f>+E38+F38-G38-H38</f>
        <v>910725.2333333334</v>
      </c>
      <c r="J38" s="36">
        <f>+I38+(I38*$I$4)</f>
        <v>1092870.28</v>
      </c>
      <c r="K38" s="36">
        <v>1092870.28</v>
      </c>
      <c r="L38" s="37"/>
      <c r="M38" s="116"/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9.5" customHeight="1">
      <c r="A39" s="104"/>
      <c r="B39" s="104"/>
      <c r="C39" s="106"/>
      <c r="D39" s="107"/>
      <c r="E39" s="108">
        <f t="shared" ref="E39:K39" si="17">SUM(E38:E38)</f>
        <v>910725.2333333334</v>
      </c>
      <c r="F39" s="108">
        <f t="shared" si="17"/>
        <v>0</v>
      </c>
      <c r="G39" s="108">
        <f t="shared" si="17"/>
        <v>0</v>
      </c>
      <c r="H39" s="108">
        <f t="shared" si="17"/>
        <v>0</v>
      </c>
      <c r="I39" s="108">
        <f t="shared" si="17"/>
        <v>910725.2333333334</v>
      </c>
      <c r="J39" s="113">
        <f t="shared" si="17"/>
        <v>1092870.28</v>
      </c>
      <c r="K39" s="113">
        <f t="shared" si="17"/>
        <v>1092870.28</v>
      </c>
      <c r="L39" s="109"/>
      <c r="M39" s="11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75</v>
      </c>
      <c r="B40" s="41"/>
      <c r="C40" s="43"/>
      <c r="D40" s="44"/>
      <c r="E40" s="36">
        <f>2530473.1/1.2</f>
        <v>2108727.5833333335</v>
      </c>
      <c r="F40" s="36">
        <f>-E40*$F$10</f>
        <v>0</v>
      </c>
      <c r="G40" s="36">
        <f>E40*$G$10</f>
        <v>0</v>
      </c>
      <c r="H40" s="36"/>
      <c r="I40" s="36">
        <f>+E40+F40-G40-H40</f>
        <v>2108727.5833333335</v>
      </c>
      <c r="J40" s="36">
        <f>+I40+(I40*$I$4)</f>
        <v>2530473.1</v>
      </c>
      <c r="K40" s="36">
        <v>2530473.1</v>
      </c>
      <c r="L40" s="37"/>
      <c r="M40" s="37"/>
      <c r="N40" s="92">
        <f>-IF(L40=0,,IF(M40=0,($C$10-L40),M40-L40))</f>
        <v>0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9.5" customHeight="1">
      <c r="A41" s="104"/>
      <c r="B41" s="105"/>
      <c r="C41" s="106"/>
      <c r="D41" s="107"/>
      <c r="E41" s="108">
        <f t="shared" ref="E41:K41" si="18">SUM(E40:E40)</f>
        <v>2108727.5833333335</v>
      </c>
      <c r="F41" s="108">
        <f t="shared" si="18"/>
        <v>0</v>
      </c>
      <c r="G41" s="108">
        <f t="shared" si="18"/>
        <v>0</v>
      </c>
      <c r="H41" s="108">
        <f t="shared" si="18"/>
        <v>0</v>
      </c>
      <c r="I41" s="108">
        <f t="shared" si="18"/>
        <v>2108727.5833333335</v>
      </c>
      <c r="J41" s="113">
        <f t="shared" si="18"/>
        <v>2530473.1</v>
      </c>
      <c r="K41" s="113">
        <f t="shared" si="18"/>
        <v>2530473.1</v>
      </c>
      <c r="L41" s="109"/>
      <c r="M41" s="10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176</v>
      </c>
      <c r="B42" s="41"/>
      <c r="C42" s="43"/>
      <c r="D42" s="44"/>
      <c r="E42" s="36">
        <f>129804.21/1.2</f>
        <v>108170.175</v>
      </c>
      <c r="F42" s="36">
        <f>-E42*$F$10</f>
        <v>0</v>
      </c>
      <c r="G42" s="36">
        <f>E42*$G$10</f>
        <v>0</v>
      </c>
      <c r="H42" s="36"/>
      <c r="I42" s="36">
        <f>+E42+F42-G42-H42</f>
        <v>108170.175</v>
      </c>
      <c r="J42" s="36">
        <f>+I42+(I42*$I$4)</f>
        <v>129804.21</v>
      </c>
      <c r="K42" s="36">
        <v>129804.21</v>
      </c>
      <c r="L42" s="37"/>
      <c r="M42" s="37"/>
      <c r="N42" s="92">
        <f>-IF(L42=0,,IF(M42=0,($C$10-L42),M42-L42))</f>
        <v>0</v>
      </c>
      <c r="O42" s="36">
        <f>+J42-K42</f>
        <v>0</v>
      </c>
      <c r="P42" s="36" t="e">
        <f>+IF($C$10&lt;L42,0,O42)</f>
        <v>#REF!</v>
      </c>
      <c r="Q42" s="39"/>
      <c r="R42" s="40">
        <f>IF(N42&gt;=0,0,(IF(-N42&lt;=60,O42,0)))</f>
        <v>0</v>
      </c>
      <c r="S42" s="40">
        <f>IF(N42&gt;=0,0,(IF(N42&gt;=-60,0,IF(-60&gt;=N42,IF(N42&gt;=-120,O42,0)))))</f>
        <v>0</v>
      </c>
      <c r="T42" s="40">
        <f>IF(N42&gt;=0,0,(IF(N42&gt;-60,0,IF(-60&gt;=N42,IF(N42&gt;=-120,0,IF(N42&gt;=-180,O42,0))))))</f>
        <v>0</v>
      </c>
      <c r="U42" s="40">
        <f>IF(N42&gt;=0,0,(IF(N42&gt;-60,0,IF(-60&gt;=N42,IF(N42&gt;-120,0,IF(N42&gt;=-180,0,IF(N42&gt;=-365,O42,0)))))))</f>
        <v>0</v>
      </c>
      <c r="V42" s="40">
        <f>IF(N42&gt;=0,0,IF(365&lt;-N42,O42,0))</f>
        <v>0</v>
      </c>
    </row>
    <row r="43" spans="1:22" s="99" customFormat="1" ht="19.5" customHeight="1">
      <c r="A43" s="104"/>
      <c r="B43" s="104"/>
      <c r="C43" s="106"/>
      <c r="D43" s="107"/>
      <c r="E43" s="108">
        <f t="shared" ref="E43:K43" si="19">SUM(E42:E42)</f>
        <v>108170.175</v>
      </c>
      <c r="F43" s="108">
        <f t="shared" si="19"/>
        <v>0</v>
      </c>
      <c r="G43" s="108">
        <f t="shared" si="19"/>
        <v>0</v>
      </c>
      <c r="H43" s="108">
        <f t="shared" si="19"/>
        <v>0</v>
      </c>
      <c r="I43" s="108">
        <f t="shared" si="19"/>
        <v>108170.175</v>
      </c>
      <c r="J43" s="113">
        <f t="shared" si="19"/>
        <v>129804.21</v>
      </c>
      <c r="K43" s="113">
        <f t="shared" si="19"/>
        <v>129804.21</v>
      </c>
      <c r="L43" s="109"/>
      <c r="M43" s="109"/>
      <c r="N43" s="110"/>
      <c r="O43" s="108">
        <f>SUM(O42:O42)</f>
        <v>0</v>
      </c>
      <c r="P43" s="108" t="e">
        <f>SUM(P42:P42)</f>
        <v>#REF!</v>
      </c>
      <c r="Q43" s="111"/>
      <c r="R43" s="112">
        <f>SUM(R42:R42)</f>
        <v>0</v>
      </c>
      <c r="S43" s="112">
        <f>SUM(S42:S42)</f>
        <v>0</v>
      </c>
      <c r="T43" s="112">
        <f>SUM(T42:T42)</f>
        <v>0</v>
      </c>
      <c r="U43" s="112">
        <f>SUM(U42:U42)</f>
        <v>0</v>
      </c>
      <c r="V43" s="112">
        <f>SUM(V42:V42)</f>
        <v>0</v>
      </c>
    </row>
    <row r="44" spans="1:22" ht="19.5" customHeight="1">
      <c r="A44" s="41" t="s">
        <v>213</v>
      </c>
      <c r="B44" s="41"/>
      <c r="C44" s="43"/>
      <c r="D44" s="44"/>
      <c r="E44" s="36">
        <f>119014.8/1.2</f>
        <v>99179</v>
      </c>
      <c r="F44" s="36">
        <f>-E44*$F$10</f>
        <v>0</v>
      </c>
      <c r="G44" s="36">
        <f>E44*$G$10</f>
        <v>0</v>
      </c>
      <c r="H44" s="36"/>
      <c r="I44" s="36">
        <f>+E44+F44-G44-H44</f>
        <v>99179</v>
      </c>
      <c r="J44" s="36">
        <f>+I44+(I44*$I$4)</f>
        <v>119014.8</v>
      </c>
      <c r="K44" s="36">
        <v>119014.8</v>
      </c>
      <c r="L44" s="37"/>
      <c r="M44" s="116"/>
      <c r="N44" s="92">
        <f>-IF(L44=0,,IF(M44=0,($C$10-L44),M44-L44))</f>
        <v>0</v>
      </c>
      <c r="O44" s="36">
        <f>+J44-K44</f>
        <v>0</v>
      </c>
      <c r="P44" s="36" t="e">
        <f>+IF($C$10&lt;L44,0,O44)</f>
        <v>#REF!</v>
      </c>
      <c r="Q44" s="39"/>
      <c r="R44" s="40">
        <f>IF(N44&gt;=0,0,(IF(-N44&lt;=60,O44,0)))</f>
        <v>0</v>
      </c>
      <c r="S44" s="40">
        <f>IF(N44&gt;=0,0,(IF(N44&gt;=-60,0,IF(-60&gt;=N44,IF(N44&gt;=-120,O44,0)))))</f>
        <v>0</v>
      </c>
      <c r="T44" s="40">
        <f>IF(N44&gt;=0,0,(IF(N44&gt;-60,0,IF(-60&gt;=N44,IF(N44&gt;=-120,0,IF(N44&gt;=-180,O44,0))))))</f>
        <v>0</v>
      </c>
      <c r="U44" s="40">
        <f>IF(N44&gt;=0,0,(IF(N44&gt;-60,0,IF(-60&gt;=N44,IF(N44&gt;-120,0,IF(N44&gt;=-180,0,IF(N44&gt;=-365,O44,0)))))))</f>
        <v>0</v>
      </c>
      <c r="V44" s="40">
        <f>IF(N44&gt;=0,0,IF(365&lt;-N44,O44,0))</f>
        <v>0</v>
      </c>
    </row>
    <row r="45" spans="1:22" s="99" customFormat="1" ht="19.5" customHeight="1">
      <c r="A45" s="104"/>
      <c r="B45" s="104"/>
      <c r="C45" s="106"/>
      <c r="D45" s="107"/>
      <c r="E45" s="108">
        <f t="shared" ref="E45:K45" si="20">SUM(E44:E44)</f>
        <v>99179</v>
      </c>
      <c r="F45" s="108">
        <f t="shared" si="20"/>
        <v>0</v>
      </c>
      <c r="G45" s="108">
        <f t="shared" si="20"/>
        <v>0</v>
      </c>
      <c r="H45" s="108">
        <f t="shared" si="20"/>
        <v>0</v>
      </c>
      <c r="I45" s="108">
        <f t="shared" si="20"/>
        <v>99179</v>
      </c>
      <c r="J45" s="113">
        <f t="shared" si="20"/>
        <v>119014.8</v>
      </c>
      <c r="K45" s="113">
        <f t="shared" si="20"/>
        <v>119014.8</v>
      </c>
      <c r="L45" s="109"/>
      <c r="M45" s="109"/>
      <c r="N45" s="110"/>
      <c r="O45" s="108">
        <f>SUM(O44:O44)</f>
        <v>0</v>
      </c>
      <c r="P45" s="108" t="e">
        <f>SUM(P44:P44)</f>
        <v>#REF!</v>
      </c>
      <c r="Q45" s="111"/>
      <c r="R45" s="112">
        <f>SUM(R44:R44)</f>
        <v>0</v>
      </c>
      <c r="S45" s="112">
        <f>SUM(S44:S44)</f>
        <v>0</v>
      </c>
      <c r="T45" s="112">
        <f>SUM(T44:T44)</f>
        <v>0</v>
      </c>
      <c r="U45" s="112">
        <f>SUM(U44:U44)</f>
        <v>0</v>
      </c>
      <c r="V45" s="112">
        <f>SUM(V44:V44)</f>
        <v>0</v>
      </c>
    </row>
    <row r="46" spans="1:22" ht="19.5" customHeight="1">
      <c r="A46" s="41" t="s">
        <v>79</v>
      </c>
      <c r="B46" s="41"/>
      <c r="C46" s="43"/>
      <c r="D46" s="44"/>
      <c r="E46" s="36">
        <f>5763.07/1.2</f>
        <v>4802.5583333333334</v>
      </c>
      <c r="F46" s="36">
        <f>-E46*$F$10</f>
        <v>0</v>
      </c>
      <c r="G46" s="36">
        <f>E46*$G$10</f>
        <v>0</v>
      </c>
      <c r="H46" s="36"/>
      <c r="I46" s="36">
        <f>+E46+F46-G46-H46</f>
        <v>4802.5583333333334</v>
      </c>
      <c r="J46" s="36">
        <f>+I46+(I46*$I$4)</f>
        <v>5763.07</v>
      </c>
      <c r="K46" s="36">
        <v>5763.07</v>
      </c>
      <c r="L46" s="37"/>
      <c r="M46" s="37"/>
      <c r="N46" s="92">
        <f>-IF(L46=0,,IF(M46=0,($C$10-L46),M46-L46))</f>
        <v>0</v>
      </c>
      <c r="O46" s="36">
        <f>+J46-K46</f>
        <v>0</v>
      </c>
      <c r="P46" s="36" t="e">
        <f>+IF($C$10&lt;L46,0,O46)</f>
        <v>#REF!</v>
      </c>
      <c r="Q46" s="39"/>
      <c r="R46" s="40">
        <f>IF(N46&gt;=0,0,(IF(-N46&lt;=60,O46,0)))</f>
        <v>0</v>
      </c>
      <c r="S46" s="40">
        <f>IF(N46&gt;=0,0,(IF(N46&gt;=-60,0,IF(-60&gt;=N46,IF(N46&gt;=-120,O46,0)))))</f>
        <v>0</v>
      </c>
      <c r="T46" s="40">
        <f>IF(N46&gt;=0,0,(IF(N46&gt;-60,0,IF(-60&gt;=N46,IF(N46&gt;=-120,0,IF(N46&gt;=-180,O46,0))))))</f>
        <v>0</v>
      </c>
      <c r="U46" s="40">
        <f>IF(N46&gt;=0,0,(IF(N46&gt;-60,0,IF(-60&gt;=N46,IF(N46&gt;-120,0,IF(N46&gt;=-180,0,IF(N46&gt;=-365,O46,0)))))))</f>
        <v>0</v>
      </c>
      <c r="V46" s="40">
        <f>IF(N46&gt;=0,0,IF(365&lt;-N46,O46,0))</f>
        <v>0</v>
      </c>
    </row>
    <row r="47" spans="1:22" s="99" customFormat="1" ht="19.5" customHeight="1">
      <c r="A47" s="104"/>
      <c r="B47" s="104"/>
      <c r="C47" s="106"/>
      <c r="D47" s="107"/>
      <c r="E47" s="108">
        <f t="shared" ref="E47:K47" si="21">SUM(E46:E46)</f>
        <v>4802.5583333333334</v>
      </c>
      <c r="F47" s="108">
        <f t="shared" si="21"/>
        <v>0</v>
      </c>
      <c r="G47" s="108">
        <f t="shared" si="21"/>
        <v>0</v>
      </c>
      <c r="H47" s="108">
        <f t="shared" si="21"/>
        <v>0</v>
      </c>
      <c r="I47" s="108">
        <f t="shared" si="21"/>
        <v>4802.5583333333334</v>
      </c>
      <c r="J47" s="113">
        <f t="shared" si="21"/>
        <v>5763.07</v>
      </c>
      <c r="K47" s="113">
        <f t="shared" si="21"/>
        <v>5763.07</v>
      </c>
      <c r="L47" s="109"/>
      <c r="M47" s="109"/>
      <c r="N47" s="110"/>
      <c r="O47" s="108">
        <f>SUM(O46:O46)</f>
        <v>0</v>
      </c>
      <c r="P47" s="108" t="e">
        <f>SUM(P46:P46)</f>
        <v>#REF!</v>
      </c>
      <c r="Q47" s="111"/>
      <c r="R47" s="112">
        <f>SUM(R46:R46)</f>
        <v>0</v>
      </c>
      <c r="S47" s="112">
        <f>SUM(S46:S46)</f>
        <v>0</v>
      </c>
      <c r="T47" s="112">
        <f>SUM(T46:T46)</f>
        <v>0</v>
      </c>
      <c r="U47" s="112">
        <f>SUM(U46:U46)</f>
        <v>0</v>
      </c>
      <c r="V47" s="112">
        <f>SUM(V46:V46)</f>
        <v>0</v>
      </c>
    </row>
    <row r="48" spans="1:22" ht="19.5" customHeight="1">
      <c r="A48" s="41" t="s">
        <v>177</v>
      </c>
      <c r="B48" s="41"/>
      <c r="C48" s="43"/>
      <c r="D48" s="44"/>
      <c r="E48" s="36">
        <f>1320514.5/1.2</f>
        <v>1100428.75</v>
      </c>
      <c r="F48" s="36">
        <f>-E48*$F$10</f>
        <v>0</v>
      </c>
      <c r="G48" s="36">
        <f>E48*$G$10</f>
        <v>0</v>
      </c>
      <c r="H48" s="36"/>
      <c r="I48" s="36">
        <f>+E48+F48-G48-H48</f>
        <v>1100428.75</v>
      </c>
      <c r="J48" s="36">
        <f>+I48+(I48*$I$4)</f>
        <v>1320514.5</v>
      </c>
      <c r="K48" s="36">
        <v>1320514.5</v>
      </c>
      <c r="L48" s="37"/>
      <c r="M48" s="37"/>
      <c r="N48" s="92">
        <f>-IF(L48=0,,IF(M48=0,($C$10-L48),M48-L48))</f>
        <v>0</v>
      </c>
      <c r="O48" s="36">
        <f>+J48-K48</f>
        <v>0</v>
      </c>
      <c r="P48" s="36" t="e">
        <f>+IF($C$10&lt;L48,0,O48)</f>
        <v>#REF!</v>
      </c>
      <c r="Q48" s="39"/>
      <c r="R48" s="40">
        <f>IF(N48&gt;=0,0,(IF(-N48&lt;=60,O48,0)))</f>
        <v>0</v>
      </c>
      <c r="S48" s="40">
        <f>IF(N48&gt;=0,0,(IF(N48&gt;=-60,0,IF(-60&gt;=N48,IF(N48&gt;=-120,O48,0)))))</f>
        <v>0</v>
      </c>
      <c r="T48" s="40">
        <f>IF(N48&gt;=0,0,(IF(N48&gt;-60,0,IF(-60&gt;=N48,IF(N48&gt;=-120,0,IF(N48&gt;=-180,O48,0))))))</f>
        <v>0</v>
      </c>
      <c r="U48" s="40">
        <f>IF(N48&gt;=0,0,(IF(N48&gt;-60,0,IF(-60&gt;=N48,IF(N48&gt;-120,0,IF(N48&gt;=-180,0,IF(N48&gt;=-365,O48,0)))))))</f>
        <v>0</v>
      </c>
      <c r="V48" s="40">
        <f>IF(N48&gt;=0,0,IF(365&lt;-N48,O48,0))</f>
        <v>0</v>
      </c>
    </row>
    <row r="49" spans="1:22" s="99" customFormat="1" ht="19.5" customHeight="1">
      <c r="A49" s="104"/>
      <c r="B49" s="104"/>
      <c r="C49" s="106"/>
      <c r="D49" s="107"/>
      <c r="E49" s="108">
        <f t="shared" ref="E49:K49" si="22">SUM(E48:E48)</f>
        <v>1100428.75</v>
      </c>
      <c r="F49" s="108">
        <f t="shared" si="22"/>
        <v>0</v>
      </c>
      <c r="G49" s="108">
        <f t="shared" si="22"/>
        <v>0</v>
      </c>
      <c r="H49" s="108">
        <f t="shared" si="22"/>
        <v>0</v>
      </c>
      <c r="I49" s="108">
        <f t="shared" si="22"/>
        <v>1100428.75</v>
      </c>
      <c r="J49" s="113">
        <f t="shared" si="22"/>
        <v>1320514.5</v>
      </c>
      <c r="K49" s="113">
        <f t="shared" si="22"/>
        <v>1320514.5</v>
      </c>
      <c r="L49" s="109"/>
      <c r="M49" s="109"/>
      <c r="N49" s="110"/>
      <c r="O49" s="108">
        <f>SUM(O48:O48)</f>
        <v>0</v>
      </c>
      <c r="P49" s="108" t="e">
        <f>SUM(P48:P48)</f>
        <v>#REF!</v>
      </c>
      <c r="Q49" s="111"/>
      <c r="R49" s="112">
        <f>SUM(R48:R48)</f>
        <v>0</v>
      </c>
      <c r="S49" s="112">
        <f>SUM(S48:S48)</f>
        <v>0</v>
      </c>
      <c r="T49" s="112">
        <f>SUM(T48:T48)</f>
        <v>0</v>
      </c>
      <c r="U49" s="112">
        <f>SUM(U48:U48)</f>
        <v>0</v>
      </c>
      <c r="V49" s="112">
        <f>SUM(V48:V48)</f>
        <v>0</v>
      </c>
    </row>
    <row r="50" spans="1:22" ht="19.5" customHeight="1">
      <c r="A50" s="41" t="s">
        <v>178</v>
      </c>
      <c r="B50" s="41"/>
      <c r="C50" s="43"/>
      <c r="D50" s="44"/>
      <c r="E50" s="36">
        <f>1416356.81/1.2</f>
        <v>1180297.3416666668</v>
      </c>
      <c r="F50" s="36">
        <f>-E50*$F$10</f>
        <v>0</v>
      </c>
      <c r="G50" s="36">
        <f>E50*$G$10</f>
        <v>0</v>
      </c>
      <c r="H50" s="36"/>
      <c r="I50" s="36">
        <f>+E50+F50-G50-H50</f>
        <v>1180297.3416666668</v>
      </c>
      <c r="J50" s="36">
        <f>+I50+(I50*$I$4)</f>
        <v>1416356.81</v>
      </c>
      <c r="K50" s="36">
        <v>1416356.81</v>
      </c>
      <c r="L50" s="37"/>
      <c r="M50" s="37"/>
      <c r="N50" s="92">
        <f>-IF(L50=0,,IF(M50=0,($C$10-L50),M50-L50))</f>
        <v>0</v>
      </c>
      <c r="O50" s="36">
        <f>+J50-K50</f>
        <v>0</v>
      </c>
      <c r="P50" s="36" t="e">
        <f>+IF($C$10&lt;L50,0,O50)</f>
        <v>#REF!</v>
      </c>
      <c r="Q50" s="39"/>
      <c r="R50" s="40">
        <f>IF(N50&gt;=0,0,(IF(-N50&lt;=60,O50,0)))</f>
        <v>0</v>
      </c>
      <c r="S50" s="40">
        <f>IF(N50&gt;=0,0,(IF(N50&gt;=-60,0,IF(-60&gt;=N50,IF(N50&gt;=-120,O50,0)))))</f>
        <v>0</v>
      </c>
      <c r="T50" s="40">
        <f>IF(N50&gt;=0,0,(IF(N50&gt;-60,0,IF(-60&gt;=N50,IF(N50&gt;=-120,0,IF(N50&gt;=-180,O50,0))))))</f>
        <v>0</v>
      </c>
      <c r="U50" s="40">
        <f>IF(N50&gt;=0,0,(IF(N50&gt;-60,0,IF(-60&gt;=N50,IF(N50&gt;-120,0,IF(N50&gt;=-180,0,IF(N50&gt;=-365,O50,0)))))))</f>
        <v>0</v>
      </c>
      <c r="V50" s="40">
        <f>IF(N50&gt;=0,0,IF(365&lt;-N50,O50,0))</f>
        <v>0</v>
      </c>
    </row>
    <row r="51" spans="1:22" s="99" customFormat="1" ht="19.5" customHeight="1">
      <c r="A51" s="104"/>
      <c r="B51" s="104"/>
      <c r="C51" s="106"/>
      <c r="D51" s="107"/>
      <c r="E51" s="108">
        <f t="shared" ref="E51:K51" si="23">SUM(E50:E50)</f>
        <v>1180297.3416666668</v>
      </c>
      <c r="F51" s="108">
        <f t="shared" si="23"/>
        <v>0</v>
      </c>
      <c r="G51" s="108">
        <f t="shared" si="23"/>
        <v>0</v>
      </c>
      <c r="H51" s="108">
        <f t="shared" si="23"/>
        <v>0</v>
      </c>
      <c r="I51" s="108">
        <f t="shared" si="23"/>
        <v>1180297.3416666668</v>
      </c>
      <c r="J51" s="113">
        <f t="shared" si="23"/>
        <v>1416356.81</v>
      </c>
      <c r="K51" s="113">
        <f t="shared" si="23"/>
        <v>1416356.81</v>
      </c>
      <c r="L51" s="109"/>
      <c r="M51" s="109"/>
      <c r="N51" s="110"/>
      <c r="O51" s="108">
        <f>SUM(O50:O50)</f>
        <v>0</v>
      </c>
      <c r="P51" s="108" t="e">
        <f>SUM(P50:P50)</f>
        <v>#REF!</v>
      </c>
      <c r="Q51" s="111"/>
      <c r="R51" s="112">
        <f>SUM(R50:R50)</f>
        <v>0</v>
      </c>
      <c r="S51" s="112">
        <f>SUM(S50:S50)</f>
        <v>0</v>
      </c>
      <c r="T51" s="112">
        <f>SUM(T50:T50)</f>
        <v>0</v>
      </c>
      <c r="U51" s="112">
        <f>SUM(U50:U50)</f>
        <v>0</v>
      </c>
      <c r="V51" s="112">
        <f>SUM(V50:V50)</f>
        <v>0</v>
      </c>
    </row>
    <row r="52" spans="1:22" ht="19.5" customHeight="1">
      <c r="A52" s="41" t="s">
        <v>180</v>
      </c>
      <c r="B52" s="41"/>
      <c r="C52" s="43"/>
      <c r="D52" s="44"/>
      <c r="E52" s="36">
        <f>421424.33/1.2</f>
        <v>351186.94166666671</v>
      </c>
      <c r="F52" s="36">
        <f>-E52*$F$10</f>
        <v>0</v>
      </c>
      <c r="G52" s="36">
        <f>E52*$G$10</f>
        <v>0</v>
      </c>
      <c r="H52" s="36"/>
      <c r="I52" s="36">
        <f>+E52+F52-G52-H52</f>
        <v>351186.94166666671</v>
      </c>
      <c r="J52" s="36">
        <f>+I52+(I52*$I$4)</f>
        <v>421424.33000000007</v>
      </c>
      <c r="K52" s="36">
        <v>421424.33000000007</v>
      </c>
      <c r="L52" s="37"/>
      <c r="M52" s="37"/>
      <c r="N52" s="92">
        <f>-IF(L52=0,,IF(M52=0,($C$10-L52),M52-L52))</f>
        <v>0</v>
      </c>
      <c r="O52" s="36">
        <f>+J52-K52</f>
        <v>0</v>
      </c>
      <c r="P52" s="36" t="e">
        <f>+IF($C$10&lt;L52,0,O52)</f>
        <v>#REF!</v>
      </c>
      <c r="Q52" s="39"/>
      <c r="R52" s="40">
        <f>IF(N52&gt;=0,0,(IF(-N52&lt;=60,O52,0)))</f>
        <v>0</v>
      </c>
      <c r="S52" s="40">
        <f>IF(N52&gt;=0,0,(IF(N52&gt;=-60,0,IF(-60&gt;=N52,IF(N52&gt;=-120,O52,0)))))</f>
        <v>0</v>
      </c>
      <c r="T52" s="40">
        <f>IF(N52&gt;=0,0,(IF(N52&gt;-60,0,IF(-60&gt;=N52,IF(N52&gt;=-120,0,IF(N52&gt;=-180,O52,0))))))</f>
        <v>0</v>
      </c>
      <c r="U52" s="40">
        <f>IF(N52&gt;=0,0,(IF(N52&gt;-60,0,IF(-60&gt;=N52,IF(N52&gt;-120,0,IF(N52&gt;=-180,0,IF(N52&gt;=-365,O52,0)))))))</f>
        <v>0</v>
      </c>
      <c r="V52" s="40">
        <f>IF(N52&gt;=0,0,IF(365&lt;-N52,O52,0))</f>
        <v>0</v>
      </c>
    </row>
    <row r="53" spans="1:22" s="99" customFormat="1" ht="13.5" customHeight="1">
      <c r="A53" s="104"/>
      <c r="B53" s="105"/>
      <c r="C53" s="106"/>
      <c r="D53" s="107"/>
      <c r="E53" s="108">
        <f t="shared" ref="E53:K53" si="24">SUM(E52:E52)</f>
        <v>351186.94166666671</v>
      </c>
      <c r="F53" s="108">
        <f t="shared" si="24"/>
        <v>0</v>
      </c>
      <c r="G53" s="108">
        <f t="shared" si="24"/>
        <v>0</v>
      </c>
      <c r="H53" s="108">
        <f t="shared" si="24"/>
        <v>0</v>
      </c>
      <c r="I53" s="108">
        <f t="shared" si="24"/>
        <v>351186.94166666671</v>
      </c>
      <c r="J53" s="113">
        <f t="shared" si="24"/>
        <v>421424.33000000007</v>
      </c>
      <c r="K53" s="113">
        <f t="shared" si="24"/>
        <v>421424.33000000007</v>
      </c>
      <c r="L53" s="109"/>
      <c r="M53" s="109"/>
      <c r="N53" s="110"/>
      <c r="O53" s="108">
        <f>SUM(O52:O52)</f>
        <v>0</v>
      </c>
      <c r="P53" s="108" t="e">
        <f>SUM(P52:P52)</f>
        <v>#REF!</v>
      </c>
      <c r="Q53" s="111"/>
      <c r="R53" s="112">
        <f>SUM(R52:R52)</f>
        <v>0</v>
      </c>
      <c r="S53" s="112">
        <f>SUM(S52:S52)</f>
        <v>0</v>
      </c>
      <c r="T53" s="112">
        <f>SUM(T52:T52)</f>
        <v>0</v>
      </c>
      <c r="U53" s="112">
        <f>SUM(U52:U52)</f>
        <v>0</v>
      </c>
      <c r="V53" s="112">
        <f>SUM(V52:V52)</f>
        <v>0</v>
      </c>
    </row>
    <row r="54" spans="1:22" ht="19.5" customHeight="1">
      <c r="A54" s="41" t="s">
        <v>70</v>
      </c>
      <c r="B54" s="41"/>
      <c r="C54" s="43"/>
      <c r="D54" s="44"/>
      <c r="E54" s="36">
        <f>141700.2/1.2</f>
        <v>118083.50000000001</v>
      </c>
      <c r="F54" s="36">
        <f>-E54*$F$10</f>
        <v>0</v>
      </c>
      <c r="G54" s="36">
        <f>E54*$G$10</f>
        <v>0</v>
      </c>
      <c r="H54" s="36"/>
      <c r="I54" s="36">
        <f>+E54+F54-G54-H54</f>
        <v>118083.50000000001</v>
      </c>
      <c r="J54" s="36">
        <f>+I54+(I54*$I$4)</f>
        <v>141700.20000000001</v>
      </c>
      <c r="K54" s="36">
        <v>141700.20000000001</v>
      </c>
      <c r="L54" s="37"/>
      <c r="M54" s="37"/>
      <c r="N54" s="92">
        <f>-IF(L54=0,,IF(M54=0,($C$10-L54),M54-L54))</f>
        <v>0</v>
      </c>
      <c r="O54" s="36">
        <f>+J54-K54</f>
        <v>0</v>
      </c>
      <c r="P54" s="36" t="e">
        <f>+IF($C$10&lt;L54,0,O54)</f>
        <v>#REF!</v>
      </c>
      <c r="Q54" s="39"/>
      <c r="R54" s="40">
        <f>IF(N54&gt;=0,0,(IF(-N54&lt;=60,O54,0)))</f>
        <v>0</v>
      </c>
      <c r="S54" s="40">
        <f>IF(N54&gt;=0,0,(IF(N54&gt;=-60,0,IF(-60&gt;=N54,IF(N54&gt;=-120,O54,0)))))</f>
        <v>0</v>
      </c>
      <c r="T54" s="40">
        <f>IF(N54&gt;=0,0,(IF(N54&gt;-60,0,IF(-60&gt;=N54,IF(N54&gt;=-120,0,IF(N54&gt;=-180,O54,0))))))</f>
        <v>0</v>
      </c>
      <c r="U54" s="40">
        <f>IF(N54&gt;=0,0,(IF(N54&gt;-60,0,IF(-60&gt;=N54,IF(N54&gt;-120,0,IF(N54&gt;=-180,0,IF(N54&gt;=-365,O54,0)))))))</f>
        <v>0</v>
      </c>
      <c r="V54" s="40">
        <f>IF(N54&gt;=0,0,IF(365&lt;-N54,O54,0))</f>
        <v>0</v>
      </c>
    </row>
    <row r="55" spans="1:22" s="99" customFormat="1" ht="13.5" customHeight="1">
      <c r="A55" s="104"/>
      <c r="B55" s="105"/>
      <c r="C55" s="106"/>
      <c r="D55" s="107"/>
      <c r="E55" s="108">
        <f t="shared" ref="E55:K55" si="25">SUM(E54:E54)</f>
        <v>118083.50000000001</v>
      </c>
      <c r="F55" s="108">
        <f t="shared" si="25"/>
        <v>0</v>
      </c>
      <c r="G55" s="108">
        <f t="shared" si="25"/>
        <v>0</v>
      </c>
      <c r="H55" s="108">
        <f t="shared" si="25"/>
        <v>0</v>
      </c>
      <c r="I55" s="108">
        <f t="shared" si="25"/>
        <v>118083.50000000001</v>
      </c>
      <c r="J55" s="113">
        <f t="shared" si="25"/>
        <v>141700.20000000001</v>
      </c>
      <c r="K55" s="113">
        <f t="shared" si="25"/>
        <v>141700.20000000001</v>
      </c>
      <c r="L55" s="109"/>
      <c r="M55" s="109"/>
      <c r="N55" s="110"/>
      <c r="O55" s="108">
        <f>SUM(O54:O54)</f>
        <v>0</v>
      </c>
      <c r="P55" s="108" t="e">
        <f>SUM(P54:P54)</f>
        <v>#REF!</v>
      </c>
      <c r="Q55" s="111"/>
      <c r="R55" s="112">
        <f>SUM(R54:R54)</f>
        <v>0</v>
      </c>
      <c r="S55" s="112">
        <f>SUM(S54:S54)</f>
        <v>0</v>
      </c>
      <c r="T55" s="112">
        <f>SUM(T54:T54)</f>
        <v>0</v>
      </c>
      <c r="U55" s="112">
        <f>SUM(U54:U54)</f>
        <v>0</v>
      </c>
      <c r="V55" s="112">
        <f>SUM(V54:V54)</f>
        <v>0</v>
      </c>
    </row>
    <row r="56" spans="1:22" ht="19.5" customHeight="1">
      <c r="A56" s="41" t="s">
        <v>181</v>
      </c>
      <c r="B56" s="41"/>
      <c r="C56" s="43"/>
      <c r="D56" s="44"/>
      <c r="E56" s="36">
        <f>260583.75/1.2</f>
        <v>217153.125</v>
      </c>
      <c r="F56" s="36">
        <f>-E56*$F$10</f>
        <v>0</v>
      </c>
      <c r="G56" s="36">
        <f>E56*$G$10</f>
        <v>0</v>
      </c>
      <c r="H56" s="36"/>
      <c r="I56" s="36">
        <f>+E56+F56-G56-H56</f>
        <v>217153.125</v>
      </c>
      <c r="J56" s="36">
        <f>+I56+(I56*$I$4)</f>
        <v>260583.75</v>
      </c>
      <c r="K56" s="36">
        <v>260583.75</v>
      </c>
      <c r="L56" s="37"/>
      <c r="M56" s="37"/>
      <c r="N56" s="92">
        <f>-IF(L56=0,,IF(M56=0,($C$10-L56),M56-L56))</f>
        <v>0</v>
      </c>
      <c r="O56" s="36">
        <f>+J56-K56</f>
        <v>0</v>
      </c>
      <c r="P56" s="36" t="e">
        <f>+IF($C$10&lt;L56,0,O56)</f>
        <v>#REF!</v>
      </c>
      <c r="Q56" s="39"/>
      <c r="R56" s="40">
        <f>IF(N56&gt;=0,0,(IF(-N56&lt;=60,O56,0)))</f>
        <v>0</v>
      </c>
      <c r="S56" s="40">
        <f>IF(N56&gt;=0,0,(IF(N56&gt;=-60,0,IF(-60&gt;=N56,IF(N56&gt;=-120,O56,0)))))</f>
        <v>0</v>
      </c>
      <c r="T56" s="40">
        <f>IF(N56&gt;=0,0,(IF(N56&gt;-60,0,IF(-60&gt;=N56,IF(N56&gt;=-120,0,IF(N56&gt;=-180,O56,0))))))</f>
        <v>0</v>
      </c>
      <c r="U56" s="40">
        <f>IF(N56&gt;=0,0,(IF(N56&gt;-60,0,IF(-60&gt;=N56,IF(N56&gt;-120,0,IF(N56&gt;=-180,0,IF(N56&gt;=-365,O56,0)))))))</f>
        <v>0</v>
      </c>
      <c r="V56" s="40">
        <f>IF(N56&gt;=0,0,IF(365&lt;-N56,O56,0))</f>
        <v>0</v>
      </c>
    </row>
    <row r="57" spans="1:22" s="99" customFormat="1" ht="12.75" customHeight="1">
      <c r="A57" s="104"/>
      <c r="B57" s="104"/>
      <c r="C57" s="106"/>
      <c r="D57" s="107"/>
      <c r="E57" s="108">
        <f t="shared" ref="E57:K57" si="26">SUM(E56:E56)</f>
        <v>217153.125</v>
      </c>
      <c r="F57" s="108">
        <f t="shared" si="26"/>
        <v>0</v>
      </c>
      <c r="G57" s="108">
        <f t="shared" si="26"/>
        <v>0</v>
      </c>
      <c r="H57" s="108">
        <f t="shared" si="26"/>
        <v>0</v>
      </c>
      <c r="I57" s="108">
        <f t="shared" si="26"/>
        <v>217153.125</v>
      </c>
      <c r="J57" s="113">
        <f t="shared" si="26"/>
        <v>260583.75</v>
      </c>
      <c r="K57" s="113">
        <f t="shared" si="26"/>
        <v>260583.75</v>
      </c>
      <c r="L57" s="109"/>
      <c r="M57" s="109"/>
      <c r="N57" s="110"/>
      <c r="O57" s="108">
        <f>SUM(O56:O56)</f>
        <v>0</v>
      </c>
      <c r="P57" s="108" t="e">
        <f>SUM(P56:P56)</f>
        <v>#REF!</v>
      </c>
      <c r="Q57" s="111"/>
      <c r="R57" s="112">
        <f>SUM(R56:R56)</f>
        <v>0</v>
      </c>
      <c r="S57" s="112">
        <f>SUM(S56:S56)</f>
        <v>0</v>
      </c>
      <c r="T57" s="112">
        <f>SUM(T56:T56)</f>
        <v>0</v>
      </c>
      <c r="U57" s="112">
        <f>SUM(U56:U56)</f>
        <v>0</v>
      </c>
      <c r="V57" s="112">
        <f>SUM(V56:V56)</f>
        <v>0</v>
      </c>
    </row>
    <row r="58" spans="1:22" ht="19.5" customHeight="1">
      <c r="A58" s="41" t="s">
        <v>183</v>
      </c>
      <c r="B58" s="41"/>
      <c r="C58" s="43"/>
      <c r="D58" s="44"/>
      <c r="E58" s="36">
        <f>35979.57/1.2</f>
        <v>29982.975000000002</v>
      </c>
      <c r="F58" s="36">
        <f>-E58*$F$10</f>
        <v>0</v>
      </c>
      <c r="G58" s="36">
        <f>E58*$G$10</f>
        <v>0</v>
      </c>
      <c r="H58" s="36"/>
      <c r="I58" s="36">
        <f>+E58+F58-G58-H58</f>
        <v>29982.975000000002</v>
      </c>
      <c r="J58" s="36">
        <f>+I58+(I58*$I$4)</f>
        <v>35979.570000000007</v>
      </c>
      <c r="K58" s="36">
        <v>35979.570000000007</v>
      </c>
      <c r="L58" s="37"/>
      <c r="M58" s="37"/>
      <c r="N58" s="92">
        <f>-IF(L58=0,,IF(M58=0,($C$10-L58),M58-L58))</f>
        <v>0</v>
      </c>
      <c r="O58" s="36">
        <f>+J58-K58</f>
        <v>0</v>
      </c>
      <c r="P58" s="36" t="e">
        <f>+IF($C$10&lt;L58,0,O58)</f>
        <v>#REF!</v>
      </c>
      <c r="Q58" s="39"/>
      <c r="R58" s="40">
        <f>IF(N58&gt;=0,0,(IF(-N58&lt;=60,O58,0)))</f>
        <v>0</v>
      </c>
      <c r="S58" s="40">
        <f>IF(N58&gt;=0,0,(IF(N58&gt;=-60,0,IF(-60&gt;=N58,IF(N58&gt;=-120,O58,0)))))</f>
        <v>0</v>
      </c>
      <c r="T58" s="40">
        <f>IF(N58&gt;=0,0,(IF(N58&gt;-60,0,IF(-60&gt;=N58,IF(N58&gt;=-120,0,IF(N58&gt;=-180,O58,0))))))</f>
        <v>0</v>
      </c>
      <c r="U58" s="40">
        <f>IF(N58&gt;=0,0,(IF(N58&gt;-60,0,IF(-60&gt;=N58,IF(N58&gt;-120,0,IF(N58&gt;=-180,0,IF(N58&gt;=-365,O58,0)))))))</f>
        <v>0</v>
      </c>
      <c r="V58" s="40">
        <f>IF(N58&gt;=0,0,IF(365&lt;-N58,O58,0))</f>
        <v>0</v>
      </c>
    </row>
    <row r="59" spans="1:22" s="99" customFormat="1" ht="19.5" customHeight="1">
      <c r="A59" s="104"/>
      <c r="B59" s="104"/>
      <c r="C59" s="106"/>
      <c r="D59" s="107"/>
      <c r="E59" s="108">
        <f t="shared" ref="E59:K59" si="27">SUM(E58:E58)</f>
        <v>29982.975000000002</v>
      </c>
      <c r="F59" s="108">
        <f t="shared" si="27"/>
        <v>0</v>
      </c>
      <c r="G59" s="108">
        <f t="shared" si="27"/>
        <v>0</v>
      </c>
      <c r="H59" s="108">
        <f t="shared" si="27"/>
        <v>0</v>
      </c>
      <c r="I59" s="108">
        <f t="shared" si="27"/>
        <v>29982.975000000002</v>
      </c>
      <c r="J59" s="113">
        <f t="shared" si="27"/>
        <v>35979.570000000007</v>
      </c>
      <c r="K59" s="113">
        <f t="shared" si="27"/>
        <v>35979.570000000007</v>
      </c>
      <c r="L59" s="109"/>
      <c r="M59" s="109"/>
      <c r="N59" s="110"/>
      <c r="O59" s="108">
        <f>SUM(O58)</f>
        <v>0</v>
      </c>
      <c r="P59" s="108" t="e">
        <f>SUM(P58)</f>
        <v>#REF!</v>
      </c>
      <c r="Q59" s="111"/>
      <c r="R59" s="112">
        <f>SUM(R58)</f>
        <v>0</v>
      </c>
      <c r="S59" s="112">
        <f>SUM(S58)</f>
        <v>0</v>
      </c>
      <c r="T59" s="112">
        <f>SUM(T58)</f>
        <v>0</v>
      </c>
      <c r="U59" s="112">
        <f>SUM(U58)</f>
        <v>0</v>
      </c>
      <c r="V59" s="112">
        <f>SUM(V58)</f>
        <v>0</v>
      </c>
    </row>
    <row r="60" spans="1:22" ht="19.5" customHeight="1">
      <c r="A60" s="41" t="s">
        <v>80</v>
      </c>
      <c r="B60" s="41"/>
      <c r="C60" s="43"/>
      <c r="D60" s="44"/>
      <c r="E60" s="36">
        <f>10311.07/1.2</f>
        <v>8592.5583333333343</v>
      </c>
      <c r="F60" s="36">
        <f>-E60*$F$10</f>
        <v>0</v>
      </c>
      <c r="G60" s="36">
        <f>E60*$G$10</f>
        <v>0</v>
      </c>
      <c r="H60" s="36"/>
      <c r="I60" s="36">
        <f>+E60+F60-G60-H60</f>
        <v>8592.5583333333343</v>
      </c>
      <c r="J60" s="36">
        <f>+I60+(I60*$I$4)</f>
        <v>10311.070000000002</v>
      </c>
      <c r="K60" s="36">
        <v>10311.070000000002</v>
      </c>
      <c r="L60" s="37"/>
      <c r="M60" s="37"/>
      <c r="N60" s="92">
        <f>-IF(L60=0,,IF(M60=0,($C$10-L60),M60-L60))</f>
        <v>0</v>
      </c>
      <c r="O60" s="36">
        <f>+J60-K60</f>
        <v>0</v>
      </c>
      <c r="P60" s="36" t="e">
        <f>+IF($C$10&lt;L60,0,O60)</f>
        <v>#REF!</v>
      </c>
      <c r="Q60" s="39"/>
      <c r="R60" s="40">
        <f>IF(N60&gt;=0,0,(IF(-N60&lt;=60,O60,0)))</f>
        <v>0</v>
      </c>
      <c r="S60" s="40">
        <f>IF(N60&gt;=0,0,(IF(N60&gt;=-60,0,IF(-60&gt;=N60,IF(N60&gt;=-120,O60,0)))))</f>
        <v>0</v>
      </c>
      <c r="T60" s="40">
        <f>IF(N60&gt;=0,0,(IF(N60&gt;-60,0,IF(-60&gt;=N60,IF(N60&gt;=-120,0,IF(N60&gt;=-180,O60,0))))))</f>
        <v>0</v>
      </c>
      <c r="U60" s="40">
        <f>IF(N60&gt;=0,0,(IF(N60&gt;-60,0,IF(-60&gt;=N60,IF(N60&gt;-120,0,IF(N60&gt;=-180,0,IF(N60&gt;=-365,O60,0)))))))</f>
        <v>0</v>
      </c>
      <c r="V60" s="40">
        <f>IF(N60&gt;=0,0,IF(365&lt;-N60,O60,0))</f>
        <v>0</v>
      </c>
    </row>
    <row r="61" spans="1:22" s="99" customFormat="1" ht="12.75" customHeight="1">
      <c r="A61" s="104"/>
      <c r="B61" s="104"/>
      <c r="C61" s="106"/>
      <c r="D61" s="107"/>
      <c r="E61" s="108">
        <f t="shared" ref="E61:K61" si="28">SUM(E60:E60)</f>
        <v>8592.5583333333343</v>
      </c>
      <c r="F61" s="108">
        <f t="shared" si="28"/>
        <v>0</v>
      </c>
      <c r="G61" s="108">
        <f t="shared" si="28"/>
        <v>0</v>
      </c>
      <c r="H61" s="108">
        <f t="shared" si="28"/>
        <v>0</v>
      </c>
      <c r="I61" s="108">
        <f t="shared" si="28"/>
        <v>8592.5583333333343</v>
      </c>
      <c r="J61" s="113">
        <f t="shared" si="28"/>
        <v>10311.070000000002</v>
      </c>
      <c r="K61" s="113">
        <f t="shared" si="28"/>
        <v>10311.070000000002</v>
      </c>
      <c r="L61" s="109"/>
      <c r="M61" s="109"/>
      <c r="N61" s="110"/>
      <c r="O61" s="108">
        <f>SUM(O60:O60)</f>
        <v>0</v>
      </c>
      <c r="P61" s="108" t="e">
        <f>SUM(P60:P60)</f>
        <v>#REF!</v>
      </c>
      <c r="Q61" s="111"/>
      <c r="R61" s="112">
        <f>SUM(R60:R60)</f>
        <v>0</v>
      </c>
      <c r="S61" s="112">
        <f>SUM(S60:S60)</f>
        <v>0</v>
      </c>
      <c r="T61" s="112">
        <f>SUM(T60:T60)</f>
        <v>0</v>
      </c>
      <c r="U61" s="112">
        <f>SUM(U60:U60)</f>
        <v>0</v>
      </c>
      <c r="V61" s="112">
        <f>SUM(V60:V60)</f>
        <v>0</v>
      </c>
    </row>
    <row r="62" spans="1:22" ht="19.5" customHeight="1">
      <c r="A62" s="41" t="s">
        <v>165</v>
      </c>
      <c r="B62" s="41"/>
      <c r="C62" s="43"/>
      <c r="D62" s="44"/>
      <c r="E62" s="36"/>
      <c r="F62" s="36">
        <f>-E62*$F$10</f>
        <v>0</v>
      </c>
      <c r="G62" s="36">
        <f>E62*$G$10</f>
        <v>0</v>
      </c>
      <c r="H62" s="36"/>
      <c r="I62" s="36"/>
      <c r="J62" s="36">
        <f>+I62+(I62*$I$4)</f>
        <v>0</v>
      </c>
      <c r="K62" s="36"/>
      <c r="L62" s="37"/>
      <c r="M62" s="37"/>
      <c r="N62" s="92">
        <f>-IF(L62=0,,IF(M62=0,($C$10-L62),M62-L62))</f>
        <v>0</v>
      </c>
      <c r="O62" s="36">
        <f>+J62-K62</f>
        <v>0</v>
      </c>
      <c r="P62" s="36" t="e">
        <f>+IF($C$10&lt;L62,0,O62)</f>
        <v>#REF!</v>
      </c>
      <c r="Q62" s="39"/>
      <c r="R62" s="40">
        <f>IF(N62&gt;=0,0,(IF(-N62&lt;=60,O62,0)))</f>
        <v>0</v>
      </c>
      <c r="S62" s="40">
        <f>IF(N62&gt;=0,0,(IF(N62&gt;=-60,0,IF(-60&gt;=N62,IF(N62&gt;=-120,O62,0)))))</f>
        <v>0</v>
      </c>
      <c r="T62" s="40">
        <f>IF(N62&gt;=0,0,(IF(N62&gt;-60,0,IF(-60&gt;=N62,IF(N62&gt;=-120,0,IF(N62&gt;=-180,O62,0))))))</f>
        <v>0</v>
      </c>
      <c r="U62" s="40">
        <f>IF(N62&gt;=0,0,(IF(N62&gt;-60,0,IF(-60&gt;=N62,IF(N62&gt;-120,0,IF(N62&gt;=-180,0,IF(N62&gt;=-365,O62,0)))))))</f>
        <v>0</v>
      </c>
      <c r="V62" s="40">
        <f>IF(N62&gt;=0,0,IF(365&lt;-N62,O62,0))</f>
        <v>0</v>
      </c>
    </row>
    <row r="63" spans="1:22" s="99" customFormat="1" ht="12.75" customHeight="1">
      <c r="A63" s="104"/>
      <c r="B63" s="104"/>
      <c r="C63" s="106"/>
      <c r="D63" s="107"/>
      <c r="E63" s="108">
        <f t="shared" ref="E63:K63" si="29">SUM(E62:E62)</f>
        <v>0</v>
      </c>
      <c r="F63" s="108">
        <f t="shared" si="29"/>
        <v>0</v>
      </c>
      <c r="G63" s="108">
        <f t="shared" si="29"/>
        <v>0</v>
      </c>
      <c r="H63" s="108">
        <f t="shared" si="29"/>
        <v>0</v>
      </c>
      <c r="I63" s="108">
        <f t="shared" si="29"/>
        <v>0</v>
      </c>
      <c r="J63" s="113">
        <f t="shared" si="29"/>
        <v>0</v>
      </c>
      <c r="K63" s="113">
        <f t="shared" si="29"/>
        <v>0</v>
      </c>
      <c r="L63" s="109"/>
      <c r="M63" s="109"/>
      <c r="N63" s="110"/>
      <c r="O63" s="108">
        <f>SUM(O62:O62)</f>
        <v>0</v>
      </c>
      <c r="P63" s="108" t="e">
        <f>SUM(P62:P62)</f>
        <v>#REF!</v>
      </c>
      <c r="Q63" s="111"/>
      <c r="R63" s="112">
        <f>SUM(R62:R62)</f>
        <v>0</v>
      </c>
      <c r="S63" s="112">
        <f>SUM(S62:S62)</f>
        <v>0</v>
      </c>
      <c r="T63" s="112">
        <f>SUM(T62:T62)</f>
        <v>0</v>
      </c>
      <c r="U63" s="112">
        <f>SUM(U62:U62)</f>
        <v>0</v>
      </c>
      <c r="V63" s="112">
        <f>SUM(V62:V62)</f>
        <v>0</v>
      </c>
    </row>
    <row r="64" spans="1:22" ht="19.5" customHeight="1" thickBot="1">
      <c r="A64" s="41"/>
      <c r="B64" s="42"/>
      <c r="C64" s="43"/>
      <c r="D64" s="44"/>
      <c r="E64" s="36"/>
      <c r="F64" s="36"/>
      <c r="G64" s="36"/>
      <c r="H64" s="36"/>
      <c r="I64" s="36"/>
      <c r="J64" s="36"/>
      <c r="K64" s="36"/>
      <c r="L64" s="37"/>
      <c r="M64" s="37"/>
      <c r="N64" s="38"/>
      <c r="O64" s="36"/>
      <c r="P64" s="42" t="e">
        <f>+IF($C$10&lt;L64,0,O64)</f>
        <v>#REF!</v>
      </c>
      <c r="Q64" s="39"/>
      <c r="R64" s="97"/>
      <c r="S64" s="97"/>
      <c r="T64" s="97"/>
      <c r="U64" s="97"/>
      <c r="V64" s="97"/>
    </row>
    <row r="65" spans="1:22" s="111" customFormat="1" ht="28.5" customHeight="1" thickBot="1">
      <c r="A65" s="120"/>
      <c r="B65" s="121" t="s">
        <v>43</v>
      </c>
      <c r="C65" s="121"/>
      <c r="D65" s="121"/>
      <c r="E65" s="122">
        <f>SUM(E12:E64)/2</f>
        <v>22476016.397466671</v>
      </c>
      <c r="F65" s="122">
        <f t="shared" ref="F65:K65" si="30">SUM(F12:F64)/2</f>
        <v>0</v>
      </c>
      <c r="G65" s="122">
        <f t="shared" si="30"/>
        <v>0</v>
      </c>
      <c r="H65" s="122">
        <f t="shared" si="30"/>
        <v>0</v>
      </c>
      <c r="I65" s="122">
        <f t="shared" si="30"/>
        <v>22476016.397466671</v>
      </c>
      <c r="J65" s="122">
        <f t="shared" si="30"/>
        <v>26971219.67696001</v>
      </c>
      <c r="K65" s="122">
        <f t="shared" si="30"/>
        <v>25708887.210000012</v>
      </c>
      <c r="L65" s="123"/>
      <c r="M65" s="123"/>
      <c r="N65" s="123"/>
      <c r="O65" s="122">
        <f>SUM(O12:O64)/2</f>
        <v>1262332.4669599999</v>
      </c>
      <c r="P65" s="122" t="e">
        <f>SUM(P12:P64)/2</f>
        <v>#REF!</v>
      </c>
      <c r="R65" s="124" t="e">
        <f>SUM(R12:R64)/2</f>
        <v>#REF!</v>
      </c>
      <c r="S65" s="124" t="e">
        <f>SUM(S12:S64)/2</f>
        <v>#REF!</v>
      </c>
      <c r="T65" s="124" t="e">
        <f>SUM(T12:T64)/2</f>
        <v>#REF!</v>
      </c>
      <c r="U65" s="124" t="e">
        <f>SUM(U12:U64)/2</f>
        <v>#REF!</v>
      </c>
      <c r="V65" s="124" t="e">
        <f>SUM(V12:V64)/2</f>
        <v>#REF!</v>
      </c>
    </row>
    <row r="66" spans="1:22" ht="21" customHeight="1">
      <c r="A66" s="45"/>
      <c r="B66" s="46"/>
      <c r="C66" s="46"/>
      <c r="D66" s="47" t="s">
        <v>44</v>
      </c>
      <c r="E66" s="48">
        <f>+E65/$M$7</f>
        <v>1.0097488651353435</v>
      </c>
      <c r="F66" s="46"/>
      <c r="G66" s="46"/>
      <c r="H66" s="46"/>
      <c r="I66" s="46"/>
      <c r="J66" s="47" t="s">
        <v>45</v>
      </c>
      <c r="K66" s="48">
        <f>+K65/J65</f>
        <v>0.95319705663743726</v>
      </c>
      <c r="L66" s="46"/>
      <c r="M66" s="46"/>
      <c r="N66" s="46"/>
      <c r="O66" s="46"/>
      <c r="P66" s="49"/>
      <c r="Q66" s="39"/>
      <c r="R66" s="39"/>
      <c r="S66" s="39"/>
      <c r="T66" s="39"/>
      <c r="U66" s="39"/>
      <c r="V66" s="39"/>
    </row>
    <row r="67" spans="1:22" ht="21" customHeight="1" thickBot="1">
      <c r="A67" s="50"/>
      <c r="B67" s="51"/>
      <c r="C67" s="51"/>
      <c r="D67" s="52" t="s">
        <v>46</v>
      </c>
      <c r="E67" s="53">
        <f>+$M$7-$E$65</f>
        <v>-217000.14746667072</v>
      </c>
      <c r="F67" s="54">
        <f>+E67/M7</f>
        <v>-9.7488651353435582E-3</v>
      </c>
      <c r="G67" s="51"/>
      <c r="H67" s="51"/>
      <c r="I67" s="51"/>
      <c r="J67" s="117"/>
      <c r="K67" s="51"/>
      <c r="L67" s="51"/>
      <c r="M67" s="51"/>
      <c r="N67" s="51"/>
      <c r="O67" s="51"/>
      <c r="P67" s="55"/>
      <c r="Q67" s="39"/>
      <c r="R67" s="39"/>
      <c r="S67" s="39"/>
      <c r="T67" s="39"/>
      <c r="U67" s="39"/>
      <c r="V67" s="39"/>
    </row>
    <row r="68" spans="1:22">
      <c r="A68" s="39"/>
      <c r="B68" s="45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9"/>
      <c r="O68" s="39"/>
      <c r="P68" s="39"/>
      <c r="Q68" s="39"/>
      <c r="R68" s="39"/>
      <c r="S68" s="39"/>
      <c r="T68" s="39"/>
      <c r="U68" s="39"/>
      <c r="V68" s="39"/>
    </row>
    <row r="69" spans="1:22" ht="21">
      <c r="A69" s="39"/>
      <c r="B69" s="56"/>
      <c r="C69" s="91" t="s">
        <v>47</v>
      </c>
      <c r="D69" s="91"/>
      <c r="E69" s="91"/>
      <c r="F69" s="91"/>
      <c r="G69" s="91"/>
      <c r="H69" s="91" t="s">
        <v>214</v>
      </c>
      <c r="I69" s="57"/>
      <c r="J69" s="57"/>
      <c r="K69" s="57"/>
      <c r="L69" s="57"/>
      <c r="M69" s="57"/>
      <c r="N69" s="58"/>
      <c r="O69" s="39"/>
      <c r="P69" s="39"/>
      <c r="Q69" s="39"/>
      <c r="R69" s="39"/>
      <c r="S69" s="39"/>
      <c r="T69" s="39"/>
      <c r="U69" s="39"/>
      <c r="V69" s="39"/>
    </row>
    <row r="70" spans="1:22" ht="17.25" thickBot="1">
      <c r="A70" s="39"/>
      <c r="B70" s="56"/>
      <c r="C70" s="57"/>
      <c r="D70" s="57"/>
      <c r="E70" s="57"/>
      <c r="F70" s="57"/>
      <c r="G70" s="59"/>
      <c r="H70" s="57"/>
      <c r="I70" s="57"/>
      <c r="J70" s="57"/>
      <c r="K70" s="57"/>
      <c r="L70" s="57"/>
      <c r="M70" s="57"/>
      <c r="N70" s="58"/>
      <c r="O70" s="39"/>
      <c r="P70" s="39"/>
      <c r="Q70" s="39"/>
      <c r="R70" s="39"/>
      <c r="S70" s="39"/>
      <c r="T70" s="39"/>
      <c r="U70" s="39"/>
      <c r="V70" s="39"/>
    </row>
    <row r="71" spans="1:22" ht="18" customHeight="1" thickBot="1">
      <c r="A71" s="39"/>
      <c r="B71" s="56"/>
      <c r="C71" s="158" t="s">
        <v>48</v>
      </c>
      <c r="D71" s="159"/>
      <c r="E71" s="160"/>
      <c r="F71" s="79" t="s">
        <v>57</v>
      </c>
      <c r="G71" s="61">
        <f>+M7</f>
        <v>22259016.25</v>
      </c>
      <c r="H71" s="60"/>
      <c r="I71" s="62"/>
      <c r="J71" s="60"/>
      <c r="K71" s="60"/>
      <c r="L71" s="60"/>
      <c r="M71" s="60"/>
      <c r="N71" s="63"/>
      <c r="O71" s="39"/>
      <c r="P71" s="39"/>
      <c r="Q71" s="39"/>
      <c r="R71" s="39"/>
      <c r="S71" s="39"/>
      <c r="T71" s="39"/>
      <c r="U71" s="39"/>
      <c r="V71" s="39"/>
    </row>
    <row r="72" spans="1:22" ht="17.25" thickBot="1">
      <c r="A72" s="39"/>
      <c r="B72" s="56"/>
      <c r="C72" s="79"/>
      <c r="D72" s="79"/>
      <c r="E72" s="79"/>
      <c r="F72" s="79"/>
      <c r="G72" s="60"/>
      <c r="H72" s="60"/>
      <c r="I72" s="60"/>
      <c r="J72" s="60"/>
      <c r="K72" s="60"/>
      <c r="L72" s="60"/>
      <c r="M72" s="60"/>
      <c r="N72" s="63"/>
      <c r="O72" s="39"/>
      <c r="P72" s="39"/>
      <c r="Q72" s="39"/>
      <c r="R72" s="39"/>
      <c r="S72" s="39"/>
      <c r="T72" s="39"/>
      <c r="U72" s="39"/>
      <c r="V72" s="39"/>
    </row>
    <row r="73" spans="1:22" ht="18" customHeight="1" thickBot="1">
      <c r="A73" s="39"/>
      <c r="B73" s="56"/>
      <c r="C73" s="149" t="s">
        <v>49</v>
      </c>
      <c r="D73" s="150"/>
      <c r="E73" s="151"/>
      <c r="F73" s="79" t="s">
        <v>57</v>
      </c>
      <c r="G73" s="64">
        <f>+E65</f>
        <v>22476016.397466671</v>
      </c>
      <c r="H73" s="60"/>
      <c r="I73" s="60"/>
      <c r="J73" s="65">
        <f>G73/G71</f>
        <v>1.0097488651353435</v>
      </c>
      <c r="K73" s="100" t="s">
        <v>50</v>
      </c>
      <c r="L73" s="66"/>
      <c r="M73" s="66"/>
      <c r="N73" s="63"/>
      <c r="O73" s="39"/>
      <c r="P73" s="39"/>
      <c r="Q73" s="39"/>
      <c r="R73" s="39"/>
      <c r="S73" s="39"/>
      <c r="T73" s="39"/>
      <c r="U73" s="39"/>
      <c r="V73" s="39"/>
    </row>
    <row r="74" spans="1:22" ht="17.25" thickBot="1">
      <c r="B74" s="67"/>
      <c r="C74" s="79"/>
      <c r="D74" s="79"/>
      <c r="E74" s="79"/>
      <c r="F74" s="79"/>
      <c r="G74" s="60"/>
      <c r="H74" s="60"/>
      <c r="I74" s="60"/>
      <c r="J74" s="60"/>
      <c r="K74" s="101"/>
      <c r="L74" s="60"/>
      <c r="M74" s="60"/>
      <c r="N74" s="63"/>
    </row>
    <row r="75" spans="1:22" ht="18" customHeight="1" thickBot="1">
      <c r="B75" s="67"/>
      <c r="C75" s="152" t="s">
        <v>58</v>
      </c>
      <c r="D75" s="153"/>
      <c r="E75" s="154"/>
      <c r="F75" s="79" t="s">
        <v>56</v>
      </c>
      <c r="G75" s="68">
        <f>+K65</f>
        <v>25708887.210000012</v>
      </c>
      <c r="H75" s="60"/>
      <c r="I75" s="60"/>
      <c r="J75" s="69">
        <f>+G75/J65</f>
        <v>0.95319705663743726</v>
      </c>
      <c r="K75" s="102" t="s">
        <v>51</v>
      </c>
      <c r="L75" s="70"/>
      <c r="M75" s="70"/>
      <c r="N75" s="63"/>
    </row>
    <row r="76" spans="1:22" ht="17.25" thickBot="1">
      <c r="B76" s="67"/>
      <c r="C76" s="79"/>
      <c r="D76" s="79"/>
      <c r="E76" s="79"/>
      <c r="F76" s="79"/>
      <c r="G76" s="60"/>
      <c r="H76" s="60"/>
      <c r="I76" s="60"/>
      <c r="J76" s="60"/>
      <c r="K76" s="101"/>
      <c r="L76" s="60"/>
      <c r="M76" s="60"/>
      <c r="N76" s="63"/>
    </row>
    <row r="77" spans="1:22" ht="18" customHeight="1" thickBot="1">
      <c r="B77" s="67"/>
      <c r="C77" s="152" t="s">
        <v>52</v>
      </c>
      <c r="D77" s="153"/>
      <c r="E77" s="154"/>
      <c r="F77" s="79" t="s">
        <v>56</v>
      </c>
      <c r="G77" s="71">
        <f>+O65</f>
        <v>1262332.4669599999</v>
      </c>
      <c r="H77" s="60"/>
      <c r="I77" s="60"/>
      <c r="J77" s="72">
        <f>+G77/J65</f>
        <v>4.680294336256284E-2</v>
      </c>
      <c r="K77" s="102" t="s">
        <v>51</v>
      </c>
      <c r="L77" s="73"/>
      <c r="M77" s="73"/>
      <c r="N77" s="63"/>
    </row>
    <row r="78" spans="1:22" ht="17.25" thickBot="1">
      <c r="B78" s="67"/>
      <c r="C78" s="79"/>
      <c r="D78" s="79"/>
      <c r="E78" s="79"/>
      <c r="F78" s="79"/>
      <c r="G78" s="60"/>
      <c r="H78" s="60"/>
      <c r="I78" s="60"/>
      <c r="J78" s="60"/>
      <c r="K78" s="101"/>
      <c r="L78" s="60"/>
      <c r="M78" s="60"/>
      <c r="N78" s="63"/>
    </row>
    <row r="79" spans="1:22" ht="18" customHeight="1" thickBot="1">
      <c r="B79" s="67"/>
      <c r="C79" s="152" t="s">
        <v>54</v>
      </c>
      <c r="D79" s="153"/>
      <c r="E79" s="154"/>
      <c r="F79" s="79" t="s">
        <v>56</v>
      </c>
      <c r="G79" s="74" t="e">
        <f>+P65</f>
        <v>#REF!</v>
      </c>
      <c r="H79" s="60"/>
      <c r="I79" s="60"/>
      <c r="J79" s="75" t="e">
        <f>+G79/J65</f>
        <v>#REF!</v>
      </c>
      <c r="K79" s="102" t="s">
        <v>51</v>
      </c>
      <c r="L79" s="70"/>
      <c r="M79" s="70"/>
      <c r="N79" s="63"/>
    </row>
    <row r="80" spans="1:22" ht="5.25" customHeight="1" thickBot="1">
      <c r="B80" s="76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8"/>
    </row>
  </sheetData>
  <mergeCells count="18">
    <mergeCell ref="C73:E73"/>
    <mergeCell ref="C75:E75"/>
    <mergeCell ref="C77:E77"/>
    <mergeCell ref="C79:E79"/>
    <mergeCell ref="M5:N5"/>
    <mergeCell ref="M6:N6"/>
    <mergeCell ref="M7:N7"/>
    <mergeCell ref="M8:N8"/>
    <mergeCell ref="O10:P10"/>
    <mergeCell ref="C71:E71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47" fitToHeight="4" orientation="landscape" r:id="rId1"/>
  <rowBreaks count="1" manualBreakCount="1">
    <brk id="67" max="15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80"/>
  <sheetViews>
    <sheetView workbookViewId="0">
      <selection activeCell="F1" sqref="F1:F2"/>
    </sheetView>
  </sheetViews>
  <sheetFormatPr baseColWidth="10" defaultColWidth="11.42578125" defaultRowHeight="16.5"/>
  <cols>
    <col min="1" max="1" width="22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9.85546875" style="7" bestFit="1" customWidth="1"/>
    <col min="23" max="16384" width="11.42578125" style="7"/>
  </cols>
  <sheetData>
    <row r="1" spans="1:22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18102058.260000002</v>
      </c>
      <c r="N1" s="144"/>
      <c r="O1" s="5" t="s">
        <v>3</v>
      </c>
      <c r="P1" s="6"/>
    </row>
    <row r="2" spans="1:22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2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/>
      <c r="N3" s="137"/>
      <c r="O3" s="11"/>
      <c r="P3" s="12"/>
    </row>
    <row r="4" spans="1:22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2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2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2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18102058.260000002</v>
      </c>
      <c r="N7" s="145"/>
      <c r="O7" s="11"/>
      <c r="P7" s="12"/>
    </row>
    <row r="8" spans="1:22">
      <c r="A8" s="23" t="s">
        <v>18</v>
      </c>
      <c r="B8" s="24"/>
      <c r="C8" s="24"/>
      <c r="D8" s="25" t="s">
        <v>205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21722469.912</v>
      </c>
      <c r="N8" s="146"/>
      <c r="O8" s="30"/>
      <c r="P8" s="31"/>
    </row>
    <row r="10" spans="1:22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O10" s="147" t="s">
        <v>22</v>
      </c>
      <c r="P10" s="148"/>
    </row>
    <row r="11" spans="1:22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2" ht="19.5" customHeight="1">
      <c r="A12" s="41" t="s">
        <v>206</v>
      </c>
      <c r="B12" s="42"/>
      <c r="C12" s="126">
        <v>40209</v>
      </c>
      <c r="D12" s="44"/>
      <c r="E12" s="36">
        <v>250712.81666666668</v>
      </c>
      <c r="F12" s="36">
        <v>0</v>
      </c>
      <c r="G12" s="36">
        <v>0</v>
      </c>
      <c r="H12" s="36"/>
      <c r="I12" s="36">
        <f>+E12+F12-G12-H12</f>
        <v>250712.81666666668</v>
      </c>
      <c r="J12" s="36">
        <f>+I12+(I12*$I$4)</f>
        <v>300855.38</v>
      </c>
      <c r="K12" s="36"/>
      <c r="L12" s="37">
        <v>40308</v>
      </c>
      <c r="M12" s="37"/>
      <c r="N12" s="92" t="e">
        <f>-IF(L12=0,,IF(M12=0,($C$10-L12),M12-L12))</f>
        <v>#REF!</v>
      </c>
      <c r="O12" s="36">
        <f>+J12-K12</f>
        <v>300855.38</v>
      </c>
      <c r="P12" s="36" t="e">
        <f>+IF($C$10&lt;L12,0,O12)</f>
        <v>#REF!</v>
      </c>
      <c r="Q12" s="39"/>
      <c r="R12" s="40" t="e">
        <f>IF(N12&gt;=0,0,(IF(-N12&lt;=60,O12,0)))</f>
        <v>#REF!</v>
      </c>
      <c r="S12" s="40" t="e">
        <f>IF(N12&gt;=0,0,(IF(N12&gt;=-60,0,IF(-60&gt;=N12,IF(N12&gt;=-120,O12,0)))))</f>
        <v>#REF!</v>
      </c>
      <c r="T12" s="40" t="e">
        <f>IF(N12&gt;=0,0,(IF(N12&gt;-60,0,IF(-60&gt;=N12,IF(N12&gt;=-120,0,IF(N12&gt;=-180,O12,0))))))</f>
        <v>#REF!</v>
      </c>
      <c r="U12" s="40" t="e">
        <f>IF(N12&gt;=0,0,(IF(N12&gt;-60,0,IF(-60&gt;=N12,IF(N12&gt;-120,0,IF(N12&gt;=-180,0,IF(N12&gt;=-365,O12,0)))))))</f>
        <v>#REF!</v>
      </c>
      <c r="V12" s="40" t="e">
        <f>IF(N12&gt;=0,0,IF(365&lt;-N12,O12,0))</f>
        <v>#REF!</v>
      </c>
    </row>
    <row r="13" spans="1:22" ht="19.5" customHeight="1">
      <c r="A13" s="41" t="s">
        <v>206</v>
      </c>
      <c r="B13" s="42"/>
      <c r="C13" s="126">
        <v>40237</v>
      </c>
      <c r="D13" s="44"/>
      <c r="E13" s="36">
        <v>200641.31666666665</v>
      </c>
      <c r="F13" s="36">
        <v>0</v>
      </c>
      <c r="G13" s="36">
        <v>0</v>
      </c>
      <c r="H13" s="36"/>
      <c r="I13" s="36">
        <f>+E13+F13-G13-H13</f>
        <v>200641.31666666665</v>
      </c>
      <c r="J13" s="36">
        <f>+I13+(I13*$I$4)</f>
        <v>240769.58</v>
      </c>
      <c r="K13" s="36"/>
      <c r="L13" s="37">
        <v>40339</v>
      </c>
      <c r="M13" s="37"/>
      <c r="N13" s="92" t="e">
        <f>-IF(L13=0,,IF(M13=0,($C$10-L13),M13-L13))</f>
        <v>#REF!</v>
      </c>
      <c r="O13" s="36">
        <f>+J13-K13</f>
        <v>240769.58</v>
      </c>
      <c r="P13" s="36" t="e">
        <f>+IF($C$10&lt;L13,0,O13)</f>
        <v>#REF!</v>
      </c>
      <c r="Q13" s="39"/>
      <c r="R13" s="40" t="e">
        <f>IF(N13&gt;=0,0,(IF(-N13&lt;=60,O13,0)))</f>
        <v>#REF!</v>
      </c>
      <c r="S13" s="40" t="e">
        <f>IF(N13&gt;=0,0,(IF(N13&gt;=-60,0,IF(-60&gt;=N13,IF(N13&gt;=-120,O13,0)))))</f>
        <v>#REF!</v>
      </c>
      <c r="T13" s="40" t="e">
        <f>IF(N13&gt;=0,0,(IF(N13&gt;-60,0,IF(-60&gt;=N13,IF(N13&gt;=-120,0,IF(N13&gt;=-180,O13,0))))))</f>
        <v>#REF!</v>
      </c>
      <c r="U13" s="40" t="e">
        <f>IF(N13&gt;=0,0,(IF(N13&gt;-60,0,IF(-60&gt;=N13,IF(N13&gt;-120,0,IF(N13&gt;=-180,0,IF(N13&gt;=-365,O13,0)))))))</f>
        <v>#REF!</v>
      </c>
      <c r="V13" s="40" t="e">
        <f>IF(N13&gt;=0,0,IF(365&lt;-N13,O13,0))</f>
        <v>#REF!</v>
      </c>
    </row>
    <row r="14" spans="1:22" ht="19.5" customHeight="1">
      <c r="A14" s="41" t="s">
        <v>206</v>
      </c>
      <c r="B14" s="42"/>
      <c r="C14" s="126">
        <v>40268</v>
      </c>
      <c r="D14" s="44"/>
      <c r="E14" s="36">
        <v>9202.1416666666664</v>
      </c>
      <c r="F14" s="36">
        <v>0</v>
      </c>
      <c r="G14" s="36">
        <v>0</v>
      </c>
      <c r="H14" s="36"/>
      <c r="I14" s="36">
        <f>+E14+F14-G14-H14</f>
        <v>9202.1416666666664</v>
      </c>
      <c r="J14" s="36">
        <f>+I14+(I14*$I$4)</f>
        <v>11042.57</v>
      </c>
      <c r="K14" s="36"/>
      <c r="L14" s="37">
        <v>40369</v>
      </c>
      <c r="M14" s="37"/>
      <c r="N14" s="92" t="e">
        <f>-IF(L14=0,,IF(M14=0,($C$10-L14),M14-L14))</f>
        <v>#REF!</v>
      </c>
      <c r="O14" s="36">
        <f>+J14-K14</f>
        <v>11042.57</v>
      </c>
      <c r="P14" s="36" t="e">
        <f>+IF($C$10&lt;L14,0,O14)</f>
        <v>#REF!</v>
      </c>
      <c r="Q14" s="39"/>
      <c r="R14" s="40" t="e">
        <f>IF(N14&gt;=0,0,(IF(-N14&lt;=60,O14,0)))</f>
        <v>#REF!</v>
      </c>
      <c r="S14" s="40" t="e">
        <f>IF(N14&gt;=0,0,(IF(N14&gt;=-60,0,IF(-60&gt;=N14,IF(N14&gt;=-120,O14,0)))))</f>
        <v>#REF!</v>
      </c>
      <c r="T14" s="40" t="e">
        <f>IF(N14&gt;=0,0,(IF(N14&gt;-60,0,IF(-60&gt;=N14,IF(N14&gt;=-120,0,IF(N14&gt;=-180,O14,0))))))</f>
        <v>#REF!</v>
      </c>
      <c r="U14" s="40" t="e">
        <f>IF(N14&gt;=0,0,(IF(N14&gt;-60,0,IF(-60&gt;=N14,IF(N14&gt;-120,0,IF(N14&gt;=-180,0,IF(N14&gt;=-365,O14,0)))))))</f>
        <v>#REF!</v>
      </c>
      <c r="V14" s="40" t="e">
        <f>IF(N14&gt;=0,0,IF(365&lt;-N14,O14,0))</f>
        <v>#REF!</v>
      </c>
    </row>
    <row r="15" spans="1:22" s="99" customFormat="1" ht="19.5" customHeight="1">
      <c r="A15" s="104"/>
      <c r="B15" s="105"/>
      <c r="C15" s="106"/>
      <c r="D15" s="107"/>
      <c r="E15" s="108">
        <f>SUM(E12:E14)</f>
        <v>460556.27499999997</v>
      </c>
      <c r="F15" s="108">
        <f t="shared" ref="F15:K15" si="0">SUM(F12:F14)</f>
        <v>0</v>
      </c>
      <c r="G15" s="108">
        <f t="shared" si="0"/>
        <v>0</v>
      </c>
      <c r="H15" s="108">
        <f t="shared" si="0"/>
        <v>0</v>
      </c>
      <c r="I15" s="108">
        <f t="shared" si="0"/>
        <v>460556.27499999997</v>
      </c>
      <c r="J15" s="118">
        <f t="shared" si="0"/>
        <v>552667.52999999991</v>
      </c>
      <c r="K15" s="118">
        <f t="shared" si="0"/>
        <v>0</v>
      </c>
      <c r="L15" s="109"/>
      <c r="M15" s="109"/>
      <c r="N15" s="110"/>
      <c r="O15" s="108">
        <f>SUM(O12:O14)</f>
        <v>552667.52999999991</v>
      </c>
      <c r="P15" s="108" t="e">
        <f>SUM(P12:P14)</f>
        <v>#REF!</v>
      </c>
      <c r="Q15" s="114"/>
      <c r="R15" s="115" t="e">
        <f>SUM(R12:R14)</f>
        <v>#REF!</v>
      </c>
      <c r="S15" s="115" t="e">
        <f>SUM(S12:S14)</f>
        <v>#REF!</v>
      </c>
      <c r="T15" s="115" t="e">
        <f>SUM(T12:T14)</f>
        <v>#REF!</v>
      </c>
      <c r="U15" s="115" t="e">
        <f>SUM(U12:U14)</f>
        <v>#REF!</v>
      </c>
      <c r="V15" s="115" t="e">
        <f>SUM(V12:V14)</f>
        <v>#REF!</v>
      </c>
    </row>
    <row r="16" spans="1:22" ht="19.5" customHeight="1">
      <c r="A16" s="41" t="s">
        <v>97</v>
      </c>
      <c r="B16" s="42"/>
      <c r="C16" s="125"/>
      <c r="D16" s="44"/>
      <c r="E16" s="36">
        <v>307955.55833333341</v>
      </c>
      <c r="F16" s="36">
        <f>-E16*$F$10</f>
        <v>0</v>
      </c>
      <c r="G16" s="36">
        <f>E16*$G$10</f>
        <v>0</v>
      </c>
      <c r="H16" s="36"/>
      <c r="I16" s="36">
        <f>+E16+F16-G16-H16</f>
        <v>307955.55833333341</v>
      </c>
      <c r="J16" s="36">
        <f>+I16+(I16*$I$4)</f>
        <v>369546.6700000001</v>
      </c>
      <c r="K16" s="36">
        <v>369546.6700000001</v>
      </c>
      <c r="L16" s="37"/>
      <c r="M16" s="37"/>
      <c r="N16" s="92">
        <f>-IF(L16=0,,IF(M16=0,($C$10-L16),M16-L16))</f>
        <v>0</v>
      </c>
      <c r="O16" s="36">
        <f>+J16-K16</f>
        <v>0</v>
      </c>
      <c r="P16" s="36" t="e">
        <f>+IF($C$10&lt;L16,0,O16)</f>
        <v>#REF!</v>
      </c>
      <c r="Q16" s="39"/>
      <c r="R16" s="40">
        <f>IF(N16&gt;=0,0,(IF(-N16&lt;=60,O16,0)))</f>
        <v>0</v>
      </c>
      <c r="S16" s="40">
        <f>IF(N16&gt;=0,0,(IF(N16&gt;=-60,0,IF(-60&gt;=N16,IF(N16&gt;=-120,O16,0)))))</f>
        <v>0</v>
      </c>
      <c r="T16" s="40">
        <f>IF(N16&gt;=0,0,(IF(N16&gt;-60,0,IF(-60&gt;=N16,IF(N16&gt;=-120,0,IF(N16&gt;=-180,O16,0))))))</f>
        <v>0</v>
      </c>
      <c r="U16" s="40">
        <f>IF(N16&gt;=0,0,(IF(N16&gt;-60,0,IF(-60&gt;=N16,IF(N16&gt;-120,0,IF(N16&gt;=-180,0,IF(N16&gt;=-365,O16,0)))))))</f>
        <v>0</v>
      </c>
      <c r="V16" s="40">
        <f>IF(N16&gt;=0,0,IF(365&lt;-N16,O16,0))</f>
        <v>0</v>
      </c>
    </row>
    <row r="17" spans="1:22" s="99" customFormat="1" ht="19.5" customHeight="1">
      <c r="A17" s="104"/>
      <c r="B17" s="105"/>
      <c r="C17" s="106"/>
      <c r="D17" s="107"/>
      <c r="E17" s="108">
        <f t="shared" ref="E17:K17" si="1">SUM(E16:E16)</f>
        <v>307955.55833333341</v>
      </c>
      <c r="F17" s="108">
        <f t="shared" si="1"/>
        <v>0</v>
      </c>
      <c r="G17" s="108">
        <f t="shared" si="1"/>
        <v>0</v>
      </c>
      <c r="H17" s="108">
        <f t="shared" si="1"/>
        <v>0</v>
      </c>
      <c r="I17" s="108">
        <f t="shared" si="1"/>
        <v>307955.55833333341</v>
      </c>
      <c r="J17" s="113">
        <f t="shared" si="1"/>
        <v>369546.6700000001</v>
      </c>
      <c r="K17" s="113">
        <f t="shared" si="1"/>
        <v>369546.6700000001</v>
      </c>
      <c r="L17" s="109"/>
      <c r="M17" s="109"/>
      <c r="N17" s="110"/>
      <c r="O17" s="108">
        <f>SUM(O16:O16)</f>
        <v>0</v>
      </c>
      <c r="P17" s="108" t="e">
        <f>SUM(P16:P16)</f>
        <v>#REF!</v>
      </c>
      <c r="Q17" s="114"/>
      <c r="R17" s="115">
        <f>SUM(R16:R16)</f>
        <v>0</v>
      </c>
      <c r="S17" s="115">
        <f>SUM(S16:S16)</f>
        <v>0</v>
      </c>
      <c r="T17" s="115">
        <f>SUM(T16:T16)</f>
        <v>0</v>
      </c>
      <c r="U17" s="115">
        <f>SUM(U16:U16)</f>
        <v>0</v>
      </c>
      <c r="V17" s="115">
        <f>SUM(V16:V16)</f>
        <v>0</v>
      </c>
    </row>
    <row r="18" spans="1:22" ht="19.5" customHeight="1">
      <c r="A18" s="41" t="s">
        <v>62</v>
      </c>
      <c r="B18" s="42"/>
      <c r="C18" s="125"/>
      <c r="D18" s="44"/>
      <c r="E18" s="36">
        <v>545569.41666666674</v>
      </c>
      <c r="F18" s="36">
        <f>-E18*$F$10</f>
        <v>0</v>
      </c>
      <c r="G18" s="36">
        <f>E18*$G$10</f>
        <v>0</v>
      </c>
      <c r="H18" s="36"/>
      <c r="I18" s="36">
        <f>+E18+F18-G18-H18</f>
        <v>545569.41666666674</v>
      </c>
      <c r="J18" s="36">
        <f>+I18+(I18*$I$4)</f>
        <v>654683.30000000005</v>
      </c>
      <c r="K18" s="36">
        <v>654683.30000000005</v>
      </c>
      <c r="L18" s="37"/>
      <c r="M18" s="37"/>
      <c r="N18" s="92">
        <f>-IF(L18=0,,IF(M18=0,($C$10-L18),M18-L18))</f>
        <v>0</v>
      </c>
      <c r="O18" s="36">
        <f>+J18-K18</f>
        <v>0</v>
      </c>
      <c r="P18" s="36" t="e">
        <f>+IF($C$10&lt;L18,0,O18)</f>
        <v>#REF!</v>
      </c>
      <c r="Q18" s="39"/>
      <c r="R18" s="40">
        <f>IF(N18&gt;=0,0,(IF(-N18&lt;=60,O18,0)))</f>
        <v>0</v>
      </c>
      <c r="S18" s="40">
        <f>IF(N18&gt;=0,0,(IF(N18&gt;=-60,0,IF(-60&gt;=N18,IF(N18&gt;=-120,O18,0)))))</f>
        <v>0</v>
      </c>
      <c r="T18" s="40">
        <f>IF(N18&gt;=0,0,(IF(N18&gt;-60,0,IF(-60&gt;=N18,IF(N18&gt;=-120,0,IF(N18&gt;=-180,O18,0))))))</f>
        <v>0</v>
      </c>
      <c r="U18" s="40">
        <f>IF(N18&gt;=0,0,(IF(N18&gt;-60,0,IF(-60&gt;=N18,IF(N18&gt;-120,0,IF(N18&gt;=-180,0,IF(N18&gt;=-365,O18,0)))))))</f>
        <v>0</v>
      </c>
      <c r="V18" s="40">
        <f>IF(N18&gt;=0,0,IF(365&lt;-N18,O18,0))</f>
        <v>0</v>
      </c>
    </row>
    <row r="19" spans="1:22" s="99" customFormat="1" ht="19.5" customHeight="1">
      <c r="A19" s="104"/>
      <c r="B19" s="105"/>
      <c r="C19" s="106"/>
      <c r="D19" s="107"/>
      <c r="E19" s="108">
        <f t="shared" ref="E19:K19" si="2">SUM(E18:E18)</f>
        <v>545569.41666666674</v>
      </c>
      <c r="F19" s="108">
        <f t="shared" si="2"/>
        <v>0</v>
      </c>
      <c r="G19" s="108">
        <f t="shared" si="2"/>
        <v>0</v>
      </c>
      <c r="H19" s="108">
        <f t="shared" si="2"/>
        <v>0</v>
      </c>
      <c r="I19" s="108">
        <f t="shared" si="2"/>
        <v>545569.41666666674</v>
      </c>
      <c r="J19" s="113">
        <f t="shared" si="2"/>
        <v>654683.30000000005</v>
      </c>
      <c r="K19" s="113">
        <f t="shared" si="2"/>
        <v>654683.30000000005</v>
      </c>
      <c r="L19" s="109"/>
      <c r="M19" s="109"/>
      <c r="N19" s="110"/>
      <c r="O19" s="108">
        <f>SUM(O18:O18)</f>
        <v>0</v>
      </c>
      <c r="P19" s="108" t="e">
        <f>SUM(P18:P18)</f>
        <v>#REF!</v>
      </c>
      <c r="Q19" s="114"/>
      <c r="R19" s="115">
        <f>SUM(R18:R18)</f>
        <v>0</v>
      </c>
      <c r="S19" s="115">
        <f>SUM(S18:S18)</f>
        <v>0</v>
      </c>
      <c r="T19" s="115">
        <f>SUM(T18:T18)</f>
        <v>0</v>
      </c>
      <c r="U19" s="115">
        <f>SUM(U18:U18)</f>
        <v>0</v>
      </c>
      <c r="V19" s="115">
        <f>SUM(V18:V18)</f>
        <v>0</v>
      </c>
    </row>
    <row r="20" spans="1:22" ht="19.5" customHeight="1">
      <c r="A20" s="41" t="s">
        <v>63</v>
      </c>
      <c r="B20" s="42"/>
      <c r="C20" s="43"/>
      <c r="D20" s="44"/>
      <c r="E20" s="36">
        <f>672156.52/1.2</f>
        <v>560130.43333333335</v>
      </c>
      <c r="F20" s="36">
        <f>-E20*$F$10</f>
        <v>0</v>
      </c>
      <c r="G20" s="36">
        <f>E20*$G$10</f>
        <v>0</v>
      </c>
      <c r="H20" s="36"/>
      <c r="I20" s="36">
        <f>+E20+F20-G20-H20</f>
        <v>560130.43333333335</v>
      </c>
      <c r="J20" s="36">
        <f>+I20+(I20*$I$4)</f>
        <v>672156.52</v>
      </c>
      <c r="K20" s="36">
        <v>672156.52</v>
      </c>
      <c r="L20" s="37"/>
      <c r="M20" s="37"/>
      <c r="N20" s="92">
        <f>-IF(L20=0,,IF(M20=0,($C$10-L20),M20-L20))</f>
        <v>0</v>
      </c>
      <c r="O20" s="36">
        <f>+J20-K20</f>
        <v>0</v>
      </c>
      <c r="P20" s="36" t="e">
        <f>+IF($C$10&lt;L20,0,O20)</f>
        <v>#REF!</v>
      </c>
      <c r="Q20" s="39"/>
      <c r="R20" s="40">
        <f>IF(N20&gt;=0,0,(IF(-N20&lt;=60,O20,0)))</f>
        <v>0</v>
      </c>
      <c r="S20" s="40">
        <f>IF(N20&gt;=0,0,(IF(N20&gt;=-60,0,IF(-60&gt;=N20,IF(N20&gt;=-120,O20,0)))))</f>
        <v>0</v>
      </c>
      <c r="T20" s="40">
        <f>IF(N20&gt;=0,0,(IF(N20&gt;-60,0,IF(-60&gt;=N20,IF(N20&gt;=-120,0,IF(N20&gt;=-180,O20,0))))))</f>
        <v>0</v>
      </c>
      <c r="U20" s="40">
        <f>IF(N20&gt;=0,0,(IF(N20&gt;-60,0,IF(-60&gt;=N20,IF(N20&gt;-120,0,IF(N20&gt;=-180,0,IF(N20&gt;=-365,O20,0)))))))</f>
        <v>0</v>
      </c>
      <c r="V20" s="40">
        <f>IF(N20&gt;=0,0,IF(365&lt;-N20,O20,0))</f>
        <v>0</v>
      </c>
    </row>
    <row r="21" spans="1:22" s="99" customFormat="1" ht="19.5" customHeight="1">
      <c r="A21" s="104"/>
      <c r="B21" s="104"/>
      <c r="C21" s="106"/>
      <c r="D21" s="107"/>
      <c r="E21" s="108">
        <f t="shared" ref="E21:K21" si="3">SUM(E20:E20)</f>
        <v>560130.43333333335</v>
      </c>
      <c r="F21" s="108">
        <f t="shared" si="3"/>
        <v>0</v>
      </c>
      <c r="G21" s="108">
        <f t="shared" si="3"/>
        <v>0</v>
      </c>
      <c r="H21" s="108">
        <f t="shared" si="3"/>
        <v>0</v>
      </c>
      <c r="I21" s="108">
        <f t="shared" si="3"/>
        <v>560130.43333333335</v>
      </c>
      <c r="J21" s="113">
        <f t="shared" si="3"/>
        <v>672156.52</v>
      </c>
      <c r="K21" s="113">
        <f t="shared" si="3"/>
        <v>672156.52</v>
      </c>
      <c r="L21" s="109"/>
      <c r="M21" s="109"/>
      <c r="N21" s="110"/>
      <c r="O21" s="108">
        <f>SUM(O20:O20)</f>
        <v>0</v>
      </c>
      <c r="P21" s="108" t="e">
        <f>SUM(P20:P20)</f>
        <v>#REF!</v>
      </c>
      <c r="Q21" s="111"/>
      <c r="R21" s="112">
        <f>SUM(R20:R20)</f>
        <v>0</v>
      </c>
      <c r="S21" s="112">
        <f>SUM(S20:S20)</f>
        <v>0</v>
      </c>
      <c r="T21" s="112">
        <f>SUM(T20:T20)</f>
        <v>0</v>
      </c>
      <c r="U21" s="112">
        <f>SUM(U20:U20)</f>
        <v>0</v>
      </c>
      <c r="V21" s="112">
        <f>SUM(V20:V20)</f>
        <v>0</v>
      </c>
    </row>
    <row r="22" spans="1:22" ht="19.5" customHeight="1">
      <c r="A22" s="41" t="s">
        <v>73</v>
      </c>
      <c r="B22" s="41"/>
      <c r="C22" s="43"/>
      <c r="D22" s="44"/>
      <c r="E22" s="36">
        <v>5775713.834999999</v>
      </c>
      <c r="F22" s="36">
        <f>-E22*$F$10</f>
        <v>0</v>
      </c>
      <c r="G22" s="36">
        <f>E22*$G$10</f>
        <v>0</v>
      </c>
      <c r="H22" s="36"/>
      <c r="I22" s="36">
        <f>+E22+F22-G22-H22</f>
        <v>5775713.834999999</v>
      </c>
      <c r="J22" s="36">
        <f>+I22+(I22*$I$4)</f>
        <v>6930856.601999999</v>
      </c>
      <c r="K22" s="36">
        <v>6930856.601999999</v>
      </c>
      <c r="L22" s="37"/>
      <c r="M22" s="37"/>
      <c r="N22" s="92">
        <f>-IF(L22=0,,IF(M22=0,($C$10-L22),M22-L22))</f>
        <v>0</v>
      </c>
      <c r="O22" s="36">
        <f>+J22-K22</f>
        <v>0</v>
      </c>
      <c r="P22" s="36" t="e">
        <f>+IF($C$10&lt;L22,0,O22)</f>
        <v>#REF!</v>
      </c>
      <c r="Q22" s="39"/>
      <c r="R22" s="40">
        <f>IF(N22&gt;=0,0,(IF(-N22&lt;=60,O22,0)))</f>
        <v>0</v>
      </c>
      <c r="S22" s="40">
        <f>IF(N22&gt;=0,0,(IF(N22&gt;=-60,0,IF(-60&gt;=N22,IF(N22&gt;=-120,O22,0)))))</f>
        <v>0</v>
      </c>
      <c r="T22" s="40">
        <f>IF(N22&gt;=0,0,(IF(N22&gt;-60,0,IF(-60&gt;=N22,IF(N22&gt;=-120,0,IF(N22&gt;=-180,O22,0))))))</f>
        <v>0</v>
      </c>
      <c r="U22" s="40">
        <f>IF(N22&gt;=0,0,(IF(N22&gt;-60,0,IF(-60&gt;=N22,IF(N22&gt;-120,0,IF(N22&gt;=-180,0,IF(N22&gt;=-365,O22,0)))))))</f>
        <v>0</v>
      </c>
      <c r="V22" s="40">
        <f>IF(N22&gt;=0,0,IF(365&lt;-N22,O22,0))</f>
        <v>0</v>
      </c>
    </row>
    <row r="23" spans="1:22" s="99" customFormat="1" ht="19.5" customHeight="1">
      <c r="A23" s="104"/>
      <c r="B23" s="104"/>
      <c r="C23" s="106"/>
      <c r="D23" s="107"/>
      <c r="E23" s="108">
        <f t="shared" ref="E23:K23" si="4">SUM(E22:E22)</f>
        <v>5775713.834999999</v>
      </c>
      <c r="F23" s="108">
        <f t="shared" si="4"/>
        <v>0</v>
      </c>
      <c r="G23" s="108">
        <f t="shared" si="4"/>
        <v>0</v>
      </c>
      <c r="H23" s="108">
        <f t="shared" si="4"/>
        <v>0</v>
      </c>
      <c r="I23" s="108">
        <f t="shared" si="4"/>
        <v>5775713.834999999</v>
      </c>
      <c r="J23" s="113">
        <f t="shared" si="4"/>
        <v>6930856.601999999</v>
      </c>
      <c r="K23" s="113">
        <f t="shared" si="4"/>
        <v>6930856.601999999</v>
      </c>
      <c r="L23" s="109"/>
      <c r="M23" s="109"/>
      <c r="N23" s="110"/>
      <c r="O23" s="108">
        <f>SUM(O22:O22)</f>
        <v>0</v>
      </c>
      <c r="P23" s="108" t="e">
        <f>SUM(P22:P22)</f>
        <v>#REF!</v>
      </c>
      <c r="Q23" s="111"/>
      <c r="R23" s="112">
        <f>SUM(R22:R22)</f>
        <v>0</v>
      </c>
      <c r="S23" s="112">
        <f>SUM(S22:S22)</f>
        <v>0</v>
      </c>
      <c r="T23" s="112">
        <f>SUM(T22:T22)</f>
        <v>0</v>
      </c>
      <c r="U23" s="112">
        <f>SUM(U22:U22)</f>
        <v>0</v>
      </c>
      <c r="V23" s="112">
        <f>SUM(V22:V22)</f>
        <v>0</v>
      </c>
    </row>
    <row r="24" spans="1:22" ht="19.5" customHeight="1">
      <c r="A24" s="41" t="s">
        <v>207</v>
      </c>
      <c r="B24" s="41"/>
      <c r="C24" s="43"/>
      <c r="D24" s="44"/>
      <c r="E24" s="36">
        <f>271765.73/1.2</f>
        <v>226471.44166666665</v>
      </c>
      <c r="F24" s="36">
        <f>-E24*$F$10</f>
        <v>0</v>
      </c>
      <c r="G24" s="36">
        <f>E24*$G$10</f>
        <v>0</v>
      </c>
      <c r="H24" s="36"/>
      <c r="I24" s="36">
        <f>+E24+F24-G24-H24</f>
        <v>226471.44166666665</v>
      </c>
      <c r="J24" s="36">
        <f>+I24+(I24*$I$4)</f>
        <v>271765.73</v>
      </c>
      <c r="K24" s="36">
        <v>271765.73</v>
      </c>
      <c r="L24" s="37"/>
      <c r="M24" s="37"/>
      <c r="N24" s="92">
        <f>-IF(L24=0,,IF(M24=0,($C$10-L24),M24-L24))</f>
        <v>0</v>
      </c>
      <c r="O24" s="36">
        <f>+J24-K24</f>
        <v>0</v>
      </c>
      <c r="P24" s="36" t="e">
        <f>+IF($C$10&lt;L24,0,O24)</f>
        <v>#REF!</v>
      </c>
      <c r="Q24" s="39"/>
      <c r="R24" s="40">
        <f>IF(N24&gt;=0,0,(IF(-N24&lt;=60,O24,0)))</f>
        <v>0</v>
      </c>
      <c r="S24" s="40">
        <f>IF(N24&gt;=0,0,(IF(N24&gt;=-60,0,IF(-60&gt;=N24,IF(N24&gt;=-120,O24,0)))))</f>
        <v>0</v>
      </c>
      <c r="T24" s="40">
        <f>IF(N24&gt;=0,0,(IF(N24&gt;-60,0,IF(-60&gt;=N24,IF(N24&gt;=-120,0,IF(N24&gt;=-180,O24,0))))))</f>
        <v>0</v>
      </c>
      <c r="U24" s="40">
        <f>IF(N24&gt;=0,0,(IF(N24&gt;-60,0,IF(-60&gt;=N24,IF(N24&gt;-120,0,IF(N24&gt;=-180,0,IF(N24&gt;=-365,O24,0)))))))</f>
        <v>0</v>
      </c>
      <c r="V24" s="40">
        <f>IF(N24&gt;=0,0,IF(365&lt;-N24,O24,0))</f>
        <v>0</v>
      </c>
    </row>
    <row r="25" spans="1:22" s="99" customFormat="1" ht="19.5" customHeight="1">
      <c r="A25" s="104"/>
      <c r="B25" s="105"/>
      <c r="C25" s="106"/>
      <c r="D25" s="107"/>
      <c r="E25" s="108">
        <f t="shared" ref="E25:K25" si="5">SUM(E24:E24)</f>
        <v>226471.44166666665</v>
      </c>
      <c r="F25" s="108">
        <f t="shared" si="5"/>
        <v>0</v>
      </c>
      <c r="G25" s="108">
        <f t="shared" si="5"/>
        <v>0</v>
      </c>
      <c r="H25" s="108">
        <f t="shared" si="5"/>
        <v>0</v>
      </c>
      <c r="I25" s="108">
        <f t="shared" si="5"/>
        <v>226471.44166666665</v>
      </c>
      <c r="J25" s="113">
        <f t="shared" si="5"/>
        <v>271765.73</v>
      </c>
      <c r="K25" s="113">
        <f t="shared" si="5"/>
        <v>271765.73</v>
      </c>
      <c r="L25" s="109"/>
      <c r="M25" s="109"/>
      <c r="N25" s="110"/>
      <c r="O25" s="108">
        <f>SUM(O24)</f>
        <v>0</v>
      </c>
      <c r="P25" s="108" t="e">
        <f>SUM(P24)</f>
        <v>#REF!</v>
      </c>
      <c r="Q25" s="111"/>
      <c r="R25" s="112">
        <f>SUM(R24)</f>
        <v>0</v>
      </c>
      <c r="S25" s="112">
        <f>SUM(S24)</f>
        <v>0</v>
      </c>
      <c r="T25" s="112">
        <f>SUM(T24)</f>
        <v>0</v>
      </c>
      <c r="U25" s="112">
        <f>SUM(U24)</f>
        <v>0</v>
      </c>
      <c r="V25" s="112">
        <f>SUM(V24)</f>
        <v>0</v>
      </c>
    </row>
    <row r="26" spans="1:22" ht="19.5" customHeight="1">
      <c r="A26" s="41" t="s">
        <v>99</v>
      </c>
      <c r="B26" s="41"/>
      <c r="C26" s="43"/>
      <c r="D26" s="44"/>
      <c r="E26" s="36">
        <v>18584.600000000002</v>
      </c>
      <c r="F26" s="36">
        <f>-E26*$F$10</f>
        <v>0</v>
      </c>
      <c r="G26" s="36">
        <f>E26*$G$10</f>
        <v>0</v>
      </c>
      <c r="H26" s="36"/>
      <c r="I26" s="36">
        <f>+E26+F26-G26-H26</f>
        <v>18584.600000000002</v>
      </c>
      <c r="J26" s="36">
        <f>+I26+(I26*$I$4)</f>
        <v>22301.520000000004</v>
      </c>
      <c r="K26" s="36">
        <v>22301.520000000004</v>
      </c>
      <c r="L26" s="37"/>
      <c r="M26" s="37"/>
      <c r="N26" s="92">
        <f>-IF(L26=0,,IF(M26=0,($C$10-L26),M26-L26))</f>
        <v>0</v>
      </c>
      <c r="O26" s="36">
        <f>+J26-K26</f>
        <v>0</v>
      </c>
      <c r="P26" s="36" t="e">
        <f>+IF($C$10&lt;L26,0,O26)</f>
        <v>#REF!</v>
      </c>
      <c r="Q26" s="39"/>
      <c r="R26" s="40">
        <f>IF(N26&gt;=0,0,(IF(-N26&lt;=60,O26,0)))</f>
        <v>0</v>
      </c>
      <c r="S26" s="40">
        <f>IF(N26&gt;=0,0,(IF(N26&gt;=-60,0,IF(-60&gt;=N26,IF(N26&gt;=-120,O26,0)))))</f>
        <v>0</v>
      </c>
      <c r="T26" s="40">
        <f>IF(N26&gt;=0,0,(IF(N26&gt;-60,0,IF(-60&gt;=N26,IF(N26&gt;=-120,0,IF(N26&gt;=-180,O26,0))))))</f>
        <v>0</v>
      </c>
      <c r="U26" s="40">
        <f>IF(N26&gt;=0,0,(IF(N26&gt;-60,0,IF(-60&gt;=N26,IF(N26&gt;-120,0,IF(N26&gt;=-180,0,IF(N26&gt;=-365,O26,0)))))))</f>
        <v>0</v>
      </c>
      <c r="V26" s="40">
        <f>IF(N26&gt;=0,0,IF(365&lt;-N26,O26,0))</f>
        <v>0</v>
      </c>
    </row>
    <row r="27" spans="1:22" s="99" customFormat="1" ht="19.5" customHeight="1">
      <c r="A27" s="104"/>
      <c r="B27" s="105"/>
      <c r="C27" s="106"/>
      <c r="D27" s="107"/>
      <c r="E27" s="108">
        <f t="shared" ref="E27:K27" si="6">SUM(E26:E26)</f>
        <v>18584.600000000002</v>
      </c>
      <c r="F27" s="108">
        <f t="shared" si="6"/>
        <v>0</v>
      </c>
      <c r="G27" s="108">
        <f t="shared" si="6"/>
        <v>0</v>
      </c>
      <c r="H27" s="108">
        <f t="shared" si="6"/>
        <v>0</v>
      </c>
      <c r="I27" s="108">
        <f t="shared" si="6"/>
        <v>18584.600000000002</v>
      </c>
      <c r="J27" s="113">
        <f t="shared" si="6"/>
        <v>22301.520000000004</v>
      </c>
      <c r="K27" s="113">
        <f t="shared" si="6"/>
        <v>22301.520000000004</v>
      </c>
      <c r="L27" s="109"/>
      <c r="M27" s="109"/>
      <c r="N27" s="110"/>
      <c r="O27" s="108">
        <f>SUM(O26:O26)</f>
        <v>0</v>
      </c>
      <c r="P27" s="108" t="e">
        <f>SUM(P26:P26)</f>
        <v>#REF!</v>
      </c>
      <c r="Q27" s="111"/>
      <c r="R27" s="112">
        <f>SUM(R26:R26)</f>
        <v>0</v>
      </c>
      <c r="S27" s="112">
        <f>SUM(S26:S26)</f>
        <v>0</v>
      </c>
      <c r="T27" s="112">
        <f>SUM(T26:T26)</f>
        <v>0</v>
      </c>
      <c r="U27" s="112">
        <f>SUM(U26:U26)</f>
        <v>0</v>
      </c>
      <c r="V27" s="112">
        <f>SUM(V26:V26)</f>
        <v>0</v>
      </c>
    </row>
    <row r="28" spans="1:22" ht="19.5" customHeight="1">
      <c r="A28" s="41" t="s">
        <v>100</v>
      </c>
      <c r="B28" s="41"/>
      <c r="C28" s="43"/>
      <c r="D28" s="44"/>
      <c r="E28" s="36">
        <f>1541403.88/1.2</f>
        <v>1284503.2333333334</v>
      </c>
      <c r="F28" s="36">
        <f>-E28*$F$10</f>
        <v>0</v>
      </c>
      <c r="G28" s="36">
        <f>E28*$G$10</f>
        <v>0</v>
      </c>
      <c r="H28" s="36"/>
      <c r="I28" s="36">
        <f>+E28+F28-G28-H28</f>
        <v>1284503.2333333334</v>
      </c>
      <c r="J28" s="36">
        <f>+I28+(I28*$I$4)</f>
        <v>1541403.8800000001</v>
      </c>
      <c r="K28" s="36">
        <v>1541403.8800000001</v>
      </c>
      <c r="L28" s="37"/>
      <c r="M28" s="37"/>
      <c r="N28" s="92">
        <f>-IF(L28=0,,IF(M28=0,($C$10-L28),M28-L28))</f>
        <v>0</v>
      </c>
      <c r="O28" s="36">
        <f>+J28-K28</f>
        <v>0</v>
      </c>
      <c r="P28" s="36" t="e">
        <f>+IF($C$10&lt;L28,0,O28)</f>
        <v>#REF!</v>
      </c>
      <c r="Q28" s="39"/>
      <c r="R28" s="40">
        <f>IF(N28&gt;=0,0,(IF(-N28&lt;=60,O28,0)))</f>
        <v>0</v>
      </c>
      <c r="S28" s="40">
        <f>IF(N28&gt;=0,0,(IF(N28&gt;=-60,0,IF(-60&gt;=N28,IF(N28&gt;=-120,O28,0)))))</f>
        <v>0</v>
      </c>
      <c r="T28" s="40">
        <f>IF(N28&gt;=0,0,(IF(N28&gt;-60,0,IF(-60&gt;=N28,IF(N28&gt;=-120,0,IF(N28&gt;=-180,O28,0))))))</f>
        <v>0</v>
      </c>
      <c r="U28" s="40">
        <f>IF(N28&gt;=0,0,(IF(N28&gt;-60,0,IF(-60&gt;=N28,IF(N28&gt;-120,0,IF(N28&gt;=-180,0,IF(N28&gt;=-365,O28,0)))))))</f>
        <v>0</v>
      </c>
      <c r="V28" s="40">
        <f>IF(N28&gt;=0,0,IF(365&lt;-N28,O28,0))</f>
        <v>0</v>
      </c>
    </row>
    <row r="29" spans="1:22" s="99" customFormat="1" ht="19.5" customHeight="1">
      <c r="A29" s="104"/>
      <c r="B29" s="105"/>
      <c r="C29" s="106"/>
      <c r="D29" s="107"/>
      <c r="E29" s="108">
        <f t="shared" ref="E29:K29" si="7">SUM(E28:E28)</f>
        <v>1284503.2333333334</v>
      </c>
      <c r="F29" s="108">
        <f t="shared" si="7"/>
        <v>0</v>
      </c>
      <c r="G29" s="108">
        <f t="shared" si="7"/>
        <v>0</v>
      </c>
      <c r="H29" s="108">
        <f t="shared" si="7"/>
        <v>0</v>
      </c>
      <c r="I29" s="108">
        <f t="shared" si="7"/>
        <v>1284503.2333333334</v>
      </c>
      <c r="J29" s="113">
        <f t="shared" si="7"/>
        <v>1541403.8800000001</v>
      </c>
      <c r="K29" s="113">
        <f t="shared" si="7"/>
        <v>1541403.8800000001</v>
      </c>
      <c r="L29" s="109"/>
      <c r="M29" s="109"/>
      <c r="N29" s="110"/>
      <c r="O29" s="108">
        <f>SUM(O28:O28)</f>
        <v>0</v>
      </c>
      <c r="P29" s="108" t="e">
        <f>SUM(P28:P28)</f>
        <v>#REF!</v>
      </c>
      <c r="Q29" s="111"/>
      <c r="R29" s="112">
        <f>SUM(R28:R28)</f>
        <v>0</v>
      </c>
      <c r="S29" s="112">
        <f>SUM(S28:S28)</f>
        <v>0</v>
      </c>
      <c r="T29" s="112">
        <f>SUM(T28:T28)</f>
        <v>0</v>
      </c>
      <c r="U29" s="112">
        <f>SUM(U28:U28)</f>
        <v>0</v>
      </c>
      <c r="V29" s="112">
        <f>SUM(V28:V28)</f>
        <v>0</v>
      </c>
    </row>
    <row r="30" spans="1:22" ht="19.5" customHeight="1">
      <c r="A30" s="41" t="s">
        <v>83</v>
      </c>
      <c r="B30" s="41"/>
      <c r="C30" s="43"/>
      <c r="D30" s="44"/>
      <c r="E30" s="36">
        <v>7613.3333333333339</v>
      </c>
      <c r="F30" s="36">
        <f>-E30*$F$10</f>
        <v>0</v>
      </c>
      <c r="G30" s="36">
        <f>E30*$G$10</f>
        <v>0</v>
      </c>
      <c r="H30" s="36"/>
      <c r="I30" s="36">
        <f>+E30+F30-G30-H30</f>
        <v>7613.3333333333339</v>
      </c>
      <c r="J30" s="36">
        <f>+I30+(I30*$I$4)</f>
        <v>9136</v>
      </c>
      <c r="K30" s="36">
        <v>9136</v>
      </c>
      <c r="L30" s="37"/>
      <c r="M30" s="37"/>
      <c r="N30" s="92">
        <f>-IF(L30=0,,IF(M30=0,($C$10-L30),M30-L30))</f>
        <v>0</v>
      </c>
      <c r="O30" s="36">
        <f>+J30-K30</f>
        <v>0</v>
      </c>
      <c r="P30" s="36" t="e">
        <f>+IF($C$10&lt;L30,0,O30)</f>
        <v>#REF!</v>
      </c>
      <c r="Q30" s="39"/>
      <c r="R30" s="40">
        <f>IF(N30&gt;=0,0,(IF(-N30&lt;=60,O30,0)))</f>
        <v>0</v>
      </c>
      <c r="S30" s="40">
        <f>IF(N30&gt;=0,0,(IF(N30&gt;=-60,0,IF(-60&gt;=N30,IF(N30&gt;=-120,O30,0)))))</f>
        <v>0</v>
      </c>
      <c r="T30" s="40">
        <f>IF(N30&gt;=0,0,(IF(N30&gt;-60,0,IF(-60&gt;=N30,IF(N30&gt;=-120,0,IF(N30&gt;=-180,O30,0))))))</f>
        <v>0</v>
      </c>
      <c r="U30" s="40">
        <f>IF(N30&gt;=0,0,(IF(N30&gt;-60,0,IF(-60&gt;=N30,IF(N30&gt;-120,0,IF(N30&gt;=-180,0,IF(N30&gt;=-365,O30,0)))))))</f>
        <v>0</v>
      </c>
      <c r="V30" s="40">
        <f>IF(N30&gt;=0,0,IF(365&lt;-N30,O30,0))</f>
        <v>0</v>
      </c>
    </row>
    <row r="31" spans="1:22" s="99" customFormat="1" ht="19.5" customHeight="1">
      <c r="A31" s="104"/>
      <c r="B31" s="105"/>
      <c r="C31" s="106"/>
      <c r="D31" s="107"/>
      <c r="E31" s="108">
        <f t="shared" ref="E31:K31" si="8">SUM(E30:E30)</f>
        <v>7613.3333333333339</v>
      </c>
      <c r="F31" s="108">
        <f t="shared" si="8"/>
        <v>0</v>
      </c>
      <c r="G31" s="108">
        <f t="shared" si="8"/>
        <v>0</v>
      </c>
      <c r="H31" s="108">
        <f t="shared" si="8"/>
        <v>0</v>
      </c>
      <c r="I31" s="108">
        <f t="shared" si="8"/>
        <v>7613.3333333333339</v>
      </c>
      <c r="J31" s="113">
        <f t="shared" si="8"/>
        <v>9136</v>
      </c>
      <c r="K31" s="113">
        <f t="shared" si="8"/>
        <v>9136</v>
      </c>
      <c r="L31" s="109"/>
      <c r="M31" s="109"/>
      <c r="N31" s="110"/>
      <c r="O31" s="108">
        <f>SUM(O30:O30)</f>
        <v>0</v>
      </c>
      <c r="P31" s="108" t="e">
        <f>SUM(P30:P30)</f>
        <v>#REF!</v>
      </c>
      <c r="Q31" s="111"/>
      <c r="R31" s="112">
        <f>SUM(R30:R30)</f>
        <v>0</v>
      </c>
      <c r="S31" s="112">
        <f>SUM(S30:S30)</f>
        <v>0</v>
      </c>
      <c r="T31" s="112">
        <f>SUM(T30:T30)</f>
        <v>0</v>
      </c>
      <c r="U31" s="112">
        <f>SUM(U30:U30)</f>
        <v>0</v>
      </c>
      <c r="V31" s="112">
        <f>SUM(V30:V30)</f>
        <v>0</v>
      </c>
    </row>
    <row r="32" spans="1:22" ht="19.5" customHeight="1">
      <c r="A32" s="41" t="s">
        <v>69</v>
      </c>
      <c r="B32" s="41"/>
      <c r="C32" s="43"/>
      <c r="D32" s="44"/>
      <c r="E32" s="36">
        <f>4208749/1.2</f>
        <v>3507290.8333333335</v>
      </c>
      <c r="F32" s="36">
        <f>-E32*$F$10</f>
        <v>0</v>
      </c>
      <c r="G32" s="36">
        <f>E32*$G$10</f>
        <v>0</v>
      </c>
      <c r="H32" s="36"/>
      <c r="I32" s="36">
        <f>+E32+F32-G32-H32</f>
        <v>3507290.8333333335</v>
      </c>
      <c r="J32" s="36">
        <f>+I32+(I32*$I$4)</f>
        <v>4208749</v>
      </c>
      <c r="K32" s="36">
        <v>4208749</v>
      </c>
      <c r="L32" s="37"/>
      <c r="M32" s="116"/>
      <c r="N32" s="92">
        <f>-IF(L32=0,,IF(M32=0,($C$10-L32),M32-L32))</f>
        <v>0</v>
      </c>
      <c r="O32" s="36">
        <f>+J32-K32</f>
        <v>0</v>
      </c>
      <c r="P32" s="36" t="e">
        <f>+IF($C$10&lt;L32,0,O32)</f>
        <v>#REF!</v>
      </c>
      <c r="Q32" s="39"/>
      <c r="R32" s="40">
        <f>IF(N32&gt;=0,0,(IF(-N32&lt;=60,O32,0)))</f>
        <v>0</v>
      </c>
      <c r="S32" s="40">
        <f>IF(N32&gt;=0,0,(IF(N32&gt;=-60,0,IF(-60&gt;=N32,IF(N32&gt;=-120,O32,0)))))</f>
        <v>0</v>
      </c>
      <c r="T32" s="40">
        <f>IF(N32&gt;=0,0,(IF(N32&gt;-60,0,IF(-60&gt;=N32,IF(N32&gt;=-120,0,IF(N32&gt;=-180,O32,0))))))</f>
        <v>0</v>
      </c>
      <c r="U32" s="40">
        <f>IF(N32&gt;=0,0,(IF(N32&gt;-60,0,IF(-60&gt;=N32,IF(N32&gt;-120,0,IF(N32&gt;=-180,0,IF(N32&gt;=-365,O32,0)))))))</f>
        <v>0</v>
      </c>
      <c r="V32" s="40">
        <f>IF(N32&gt;=0,0,IF(365&lt;-N32,O32,0))</f>
        <v>0</v>
      </c>
    </row>
    <row r="33" spans="1:22" s="99" customFormat="1" ht="19.5" customHeight="1">
      <c r="A33" s="104"/>
      <c r="B33" s="104"/>
      <c r="C33" s="106"/>
      <c r="D33" s="107"/>
      <c r="E33" s="108">
        <f t="shared" ref="E33:K33" si="9">SUM(E32:E32)</f>
        <v>3507290.8333333335</v>
      </c>
      <c r="F33" s="108">
        <f t="shared" si="9"/>
        <v>0</v>
      </c>
      <c r="G33" s="108">
        <f t="shared" si="9"/>
        <v>0</v>
      </c>
      <c r="H33" s="108">
        <f t="shared" si="9"/>
        <v>0</v>
      </c>
      <c r="I33" s="108">
        <f t="shared" si="9"/>
        <v>3507290.8333333335</v>
      </c>
      <c r="J33" s="113">
        <f t="shared" si="9"/>
        <v>4208749</v>
      </c>
      <c r="K33" s="113">
        <f t="shared" si="9"/>
        <v>4208749</v>
      </c>
      <c r="L33" s="109"/>
      <c r="M33" s="119"/>
      <c r="N33" s="110"/>
      <c r="O33" s="108">
        <f>SUM(O32:O32)</f>
        <v>0</v>
      </c>
      <c r="P33" s="108" t="e">
        <f>SUM(P32:P32)</f>
        <v>#REF!</v>
      </c>
      <c r="Q33" s="111"/>
      <c r="R33" s="112">
        <f>SUM(R32:R32)</f>
        <v>0</v>
      </c>
      <c r="S33" s="112">
        <f>SUM(S32:S32)</f>
        <v>0</v>
      </c>
      <c r="T33" s="112">
        <f>SUM(T32:T32)</f>
        <v>0</v>
      </c>
      <c r="U33" s="112">
        <f>SUM(U32:U32)</f>
        <v>0</v>
      </c>
      <c r="V33" s="112">
        <f>SUM(V32:V32)</f>
        <v>0</v>
      </c>
    </row>
    <row r="34" spans="1:22" ht="19.5" customHeight="1">
      <c r="A34" s="41" t="s">
        <v>75</v>
      </c>
      <c r="B34" s="41"/>
      <c r="C34" s="43"/>
      <c r="D34" s="44"/>
      <c r="E34" s="36">
        <f>2658399.62/1.2</f>
        <v>2215333.0166666671</v>
      </c>
      <c r="F34" s="36">
        <f>-E34*$F$10</f>
        <v>0</v>
      </c>
      <c r="G34" s="36">
        <f>E34*$G$10</f>
        <v>0</v>
      </c>
      <c r="H34" s="36"/>
      <c r="I34" s="36">
        <f>+E34+F34-G34-H34</f>
        <v>2215333.0166666671</v>
      </c>
      <c r="J34" s="36">
        <f>+I34+(I34*$I$4)</f>
        <v>2658399.6200000006</v>
      </c>
      <c r="K34" s="36">
        <v>2658399.6200000006</v>
      </c>
      <c r="L34" s="37"/>
      <c r="M34" s="37"/>
      <c r="N34" s="92">
        <f>-IF(L34=0,,IF(M34=0,($C$10-L34),M34-L34))</f>
        <v>0</v>
      </c>
      <c r="O34" s="36">
        <f>+J34-K34</f>
        <v>0</v>
      </c>
      <c r="P34" s="36" t="e">
        <f>+IF($C$10&lt;L34,0,O34)</f>
        <v>#REF!</v>
      </c>
      <c r="Q34" s="39"/>
      <c r="R34" s="40">
        <f>IF(N34&gt;=0,0,(IF(-N34&lt;=60,O34,0)))</f>
        <v>0</v>
      </c>
      <c r="S34" s="40">
        <f>IF(N34&gt;=0,0,(IF(N34&gt;=-60,0,IF(-60&gt;=N34,IF(N34&gt;=-120,O34,0)))))</f>
        <v>0</v>
      </c>
      <c r="T34" s="40">
        <f>IF(N34&gt;=0,0,(IF(N34&gt;-60,0,IF(-60&gt;=N34,IF(N34&gt;=-120,0,IF(N34&gt;=-180,O34,0))))))</f>
        <v>0</v>
      </c>
      <c r="U34" s="40">
        <f>IF(N34&gt;=0,0,(IF(N34&gt;-60,0,IF(-60&gt;=N34,IF(N34&gt;-120,0,IF(N34&gt;=-180,0,IF(N34&gt;=-365,O34,0)))))))</f>
        <v>0</v>
      </c>
      <c r="V34" s="40">
        <f>IF(N34&gt;=0,0,IF(365&lt;-N34,O34,0))</f>
        <v>0</v>
      </c>
    </row>
    <row r="35" spans="1:22" s="99" customFormat="1" ht="19.5" customHeight="1">
      <c r="A35" s="104"/>
      <c r="B35" s="105"/>
      <c r="C35" s="106"/>
      <c r="D35" s="107"/>
      <c r="E35" s="108">
        <f t="shared" ref="E35:K35" si="10">SUM(E34:E34)</f>
        <v>2215333.0166666671</v>
      </c>
      <c r="F35" s="108">
        <f t="shared" si="10"/>
        <v>0</v>
      </c>
      <c r="G35" s="108">
        <f t="shared" si="10"/>
        <v>0</v>
      </c>
      <c r="H35" s="108">
        <f t="shared" si="10"/>
        <v>0</v>
      </c>
      <c r="I35" s="108">
        <f t="shared" si="10"/>
        <v>2215333.0166666671</v>
      </c>
      <c r="J35" s="113">
        <f t="shared" si="10"/>
        <v>2658399.6200000006</v>
      </c>
      <c r="K35" s="113">
        <f t="shared" si="10"/>
        <v>2658399.6200000006</v>
      </c>
      <c r="L35" s="109"/>
      <c r="M35" s="109"/>
      <c r="N35" s="110"/>
      <c r="O35" s="108">
        <f>SUM(O34:O34)</f>
        <v>0</v>
      </c>
      <c r="P35" s="108" t="e">
        <f>SUM(P34:P34)</f>
        <v>#REF!</v>
      </c>
      <c r="Q35" s="111"/>
      <c r="R35" s="112">
        <f>SUM(R34:R34)</f>
        <v>0</v>
      </c>
      <c r="S35" s="112">
        <f>SUM(S34:S34)</f>
        <v>0</v>
      </c>
      <c r="T35" s="112">
        <f>SUM(T34:T34)</f>
        <v>0</v>
      </c>
      <c r="U35" s="112">
        <f>SUM(U34:U34)</f>
        <v>0</v>
      </c>
      <c r="V35" s="112">
        <f>SUM(V34:V34)</f>
        <v>0</v>
      </c>
    </row>
    <row r="36" spans="1:22" ht="19.5" customHeight="1">
      <c r="A36" s="41" t="s">
        <v>208</v>
      </c>
      <c r="B36" s="41"/>
      <c r="C36" s="43"/>
      <c r="D36" s="44"/>
      <c r="E36" s="36">
        <f>466801.76/1.2</f>
        <v>389001.46666666667</v>
      </c>
      <c r="F36" s="36">
        <f>-E36*$F$10</f>
        <v>0</v>
      </c>
      <c r="G36" s="36">
        <f>E36*$G$10</f>
        <v>0</v>
      </c>
      <c r="H36" s="36"/>
      <c r="I36" s="36">
        <f>+E36+F36-G36-H36</f>
        <v>389001.46666666667</v>
      </c>
      <c r="J36" s="36">
        <f>+I36+(I36*$I$4)</f>
        <v>466801.76</v>
      </c>
      <c r="K36" s="36">
        <v>466801.76</v>
      </c>
      <c r="L36" s="37"/>
      <c r="M36" s="37"/>
      <c r="N36" s="92">
        <f>-IF(L36=0,,IF(M36=0,($C$10-L36),M36-L36))</f>
        <v>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s="99" customFormat="1" ht="19.5" customHeight="1">
      <c r="A37" s="104"/>
      <c r="B37" s="104"/>
      <c r="C37" s="106"/>
      <c r="D37" s="107"/>
      <c r="E37" s="108">
        <f t="shared" ref="E37:K37" si="11">SUM(E36:E36)</f>
        <v>389001.46666666667</v>
      </c>
      <c r="F37" s="108">
        <f t="shared" si="11"/>
        <v>0</v>
      </c>
      <c r="G37" s="108">
        <f t="shared" si="11"/>
        <v>0</v>
      </c>
      <c r="H37" s="108">
        <f t="shared" si="11"/>
        <v>0</v>
      </c>
      <c r="I37" s="108">
        <f t="shared" si="11"/>
        <v>389001.46666666667</v>
      </c>
      <c r="J37" s="113">
        <f t="shared" si="11"/>
        <v>466801.76</v>
      </c>
      <c r="K37" s="113">
        <f t="shared" si="11"/>
        <v>466801.76</v>
      </c>
      <c r="L37" s="109"/>
      <c r="M37" s="109"/>
      <c r="N37" s="110"/>
      <c r="O37" s="108">
        <f>SUM(O36:O36)</f>
        <v>0</v>
      </c>
      <c r="P37" s="108" t="e">
        <f>SUM(P36:P36)</f>
        <v>#REF!</v>
      </c>
      <c r="Q37" s="111"/>
      <c r="R37" s="112">
        <f>SUM(R36:R36)</f>
        <v>0</v>
      </c>
      <c r="S37" s="112">
        <f>SUM(S36:S36)</f>
        <v>0</v>
      </c>
      <c r="T37" s="112">
        <f>SUM(T36:T36)</f>
        <v>0</v>
      </c>
      <c r="U37" s="112">
        <f>SUM(U36:U36)</f>
        <v>0</v>
      </c>
      <c r="V37" s="112">
        <f>SUM(V36:V36)</f>
        <v>0</v>
      </c>
    </row>
    <row r="38" spans="1:22" ht="19.5" customHeight="1">
      <c r="A38" s="41" t="s">
        <v>66</v>
      </c>
      <c r="B38" s="41"/>
      <c r="C38" s="43"/>
      <c r="D38" s="44"/>
      <c r="E38" s="36">
        <f>129602.82/1.2</f>
        <v>108002.35</v>
      </c>
      <c r="F38" s="36">
        <f>-E38*$F$10</f>
        <v>0</v>
      </c>
      <c r="G38" s="36">
        <f>E38*$G$10</f>
        <v>0</v>
      </c>
      <c r="H38" s="36"/>
      <c r="I38" s="36">
        <f>+E38+F38-G38-H38</f>
        <v>108002.35</v>
      </c>
      <c r="J38" s="36">
        <f>+I38+(I38*$I$4)</f>
        <v>129602.82</v>
      </c>
      <c r="K38" s="36">
        <v>129602.82</v>
      </c>
      <c r="L38" s="37"/>
      <c r="M38" s="116"/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9.5" customHeight="1">
      <c r="A39" s="104"/>
      <c r="B39" s="104"/>
      <c r="C39" s="106"/>
      <c r="D39" s="107"/>
      <c r="E39" s="108">
        <f t="shared" ref="E39:K39" si="12">SUM(E38:E38)</f>
        <v>108002.35</v>
      </c>
      <c r="F39" s="108">
        <f t="shared" si="12"/>
        <v>0</v>
      </c>
      <c r="G39" s="108">
        <f t="shared" si="12"/>
        <v>0</v>
      </c>
      <c r="H39" s="108">
        <f t="shared" si="12"/>
        <v>0</v>
      </c>
      <c r="I39" s="108">
        <f t="shared" si="12"/>
        <v>108002.35</v>
      </c>
      <c r="J39" s="113">
        <f t="shared" si="12"/>
        <v>129602.82</v>
      </c>
      <c r="K39" s="113">
        <f t="shared" si="12"/>
        <v>129602.82</v>
      </c>
      <c r="L39" s="109"/>
      <c r="M39" s="10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101</v>
      </c>
      <c r="B40" s="41"/>
      <c r="C40" s="43"/>
      <c r="D40" s="44"/>
      <c r="E40" s="36">
        <f>20356.96/1.2</f>
        <v>16964.133333333335</v>
      </c>
      <c r="F40" s="36">
        <f>-E40*$F$10</f>
        <v>0</v>
      </c>
      <c r="G40" s="36">
        <f>E40*$G$10</f>
        <v>0</v>
      </c>
      <c r="H40" s="36"/>
      <c r="I40" s="36">
        <f>+E40+F40-G40-H40</f>
        <v>16964.133333333335</v>
      </c>
      <c r="J40" s="36">
        <f>+I40+(I40*$I$4)</f>
        <v>20356.960000000003</v>
      </c>
      <c r="K40" s="36">
        <v>20356.960000000003</v>
      </c>
      <c r="L40" s="37"/>
      <c r="M40" s="116"/>
      <c r="N40" s="92">
        <f>-IF(L40=0,,IF(M40=0,($C$10-L40),M40-L40))</f>
        <v>0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9.5" customHeight="1">
      <c r="A41" s="104"/>
      <c r="B41" s="104"/>
      <c r="C41" s="106"/>
      <c r="D41" s="107"/>
      <c r="E41" s="108">
        <f t="shared" ref="E41:K41" si="13">SUM(E40:E40)</f>
        <v>16964.133333333335</v>
      </c>
      <c r="F41" s="108">
        <f t="shared" si="13"/>
        <v>0</v>
      </c>
      <c r="G41" s="108">
        <f t="shared" si="13"/>
        <v>0</v>
      </c>
      <c r="H41" s="108">
        <f t="shared" si="13"/>
        <v>0</v>
      </c>
      <c r="I41" s="108">
        <f t="shared" si="13"/>
        <v>16964.133333333335</v>
      </c>
      <c r="J41" s="113">
        <f t="shared" si="13"/>
        <v>20356.960000000003</v>
      </c>
      <c r="K41" s="113">
        <f t="shared" si="13"/>
        <v>20356.960000000003</v>
      </c>
      <c r="L41" s="109"/>
      <c r="M41" s="10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77</v>
      </c>
      <c r="B42" s="41"/>
      <c r="C42" s="43"/>
      <c r="D42" s="44"/>
      <c r="E42" s="36">
        <f>286885.6/1.2</f>
        <v>239071.33333333331</v>
      </c>
      <c r="F42" s="36">
        <f>-E42*$F$10</f>
        <v>0</v>
      </c>
      <c r="G42" s="36">
        <f>E42*$G$10</f>
        <v>0</v>
      </c>
      <c r="H42" s="36"/>
      <c r="I42" s="36">
        <f>+E42+F42-G42-H42</f>
        <v>239071.33333333331</v>
      </c>
      <c r="J42" s="36">
        <f>+I42+(I42*$I$4)</f>
        <v>286885.59999999998</v>
      </c>
      <c r="K42" s="36">
        <v>286885.59999999998</v>
      </c>
      <c r="L42" s="37"/>
      <c r="M42" s="37"/>
      <c r="N42" s="92">
        <f>-IF(L42=0,,IF(M42=0,($C$10-L42),M42-L42))</f>
        <v>0</v>
      </c>
      <c r="O42" s="36">
        <f>+J42-K42</f>
        <v>0</v>
      </c>
      <c r="P42" s="36" t="e">
        <f>+IF($C$10&lt;L42,0,O42)</f>
        <v>#REF!</v>
      </c>
      <c r="Q42" s="39"/>
      <c r="R42" s="40">
        <f>IF(N42&gt;=0,0,(IF(-N42&lt;=60,O42,0)))</f>
        <v>0</v>
      </c>
      <c r="S42" s="40">
        <f>IF(N42&gt;=0,0,(IF(N42&gt;=-60,0,IF(-60&gt;=N42,IF(N42&gt;=-120,O42,0)))))</f>
        <v>0</v>
      </c>
      <c r="T42" s="40">
        <f>IF(N42&gt;=0,0,(IF(N42&gt;-60,0,IF(-60&gt;=N42,IF(N42&gt;=-120,0,IF(N42&gt;=-180,O42,0))))))</f>
        <v>0</v>
      </c>
      <c r="U42" s="40">
        <f>IF(N42&gt;=0,0,(IF(N42&gt;-60,0,IF(-60&gt;=N42,IF(N42&gt;-120,0,IF(N42&gt;=-180,0,IF(N42&gt;=-365,O42,0)))))))</f>
        <v>0</v>
      </c>
      <c r="V42" s="40">
        <f>IF(N42&gt;=0,0,IF(365&lt;-N42,O42,0))</f>
        <v>0</v>
      </c>
    </row>
    <row r="43" spans="1:22" s="99" customFormat="1" ht="19.5" customHeight="1">
      <c r="A43" s="104"/>
      <c r="B43" s="104"/>
      <c r="C43" s="106"/>
      <c r="D43" s="107"/>
      <c r="E43" s="108">
        <f t="shared" ref="E43:K43" si="14">SUM(E42:E42)</f>
        <v>239071.33333333331</v>
      </c>
      <c r="F43" s="108">
        <f t="shared" si="14"/>
        <v>0</v>
      </c>
      <c r="G43" s="108">
        <f t="shared" si="14"/>
        <v>0</v>
      </c>
      <c r="H43" s="108">
        <f t="shared" si="14"/>
        <v>0</v>
      </c>
      <c r="I43" s="108">
        <f t="shared" si="14"/>
        <v>239071.33333333331</v>
      </c>
      <c r="J43" s="113">
        <f t="shared" si="14"/>
        <v>286885.59999999998</v>
      </c>
      <c r="K43" s="113">
        <f t="shared" si="14"/>
        <v>286885.59999999998</v>
      </c>
      <c r="L43" s="109"/>
      <c r="M43" s="109"/>
      <c r="N43" s="110"/>
      <c r="O43" s="108">
        <f>SUM(O42:O42)</f>
        <v>0</v>
      </c>
      <c r="P43" s="108" t="e">
        <f>SUM(P42:P42)</f>
        <v>#REF!</v>
      </c>
      <c r="Q43" s="111"/>
      <c r="R43" s="112">
        <f>SUM(R42:R42)</f>
        <v>0</v>
      </c>
      <c r="S43" s="112">
        <f>SUM(S42:S42)</f>
        <v>0</v>
      </c>
      <c r="T43" s="112">
        <f>SUM(T42:T42)</f>
        <v>0</v>
      </c>
      <c r="U43" s="112">
        <f>SUM(U42:U42)</f>
        <v>0</v>
      </c>
      <c r="V43" s="112">
        <f>SUM(V42:V42)</f>
        <v>0</v>
      </c>
    </row>
    <row r="44" spans="1:22" ht="19.5" customHeight="1">
      <c r="A44" s="41" t="s">
        <v>78</v>
      </c>
      <c r="B44" s="41"/>
      <c r="C44" s="43"/>
      <c r="D44" s="44"/>
      <c r="E44" s="36">
        <f>27056.39/1.2</f>
        <v>22546.991666666669</v>
      </c>
      <c r="F44" s="36">
        <f>-E44*$F$10</f>
        <v>0</v>
      </c>
      <c r="G44" s="36">
        <f>E44*$G$10</f>
        <v>0</v>
      </c>
      <c r="H44" s="36"/>
      <c r="I44" s="36">
        <f>+E44+F44-G44-H44</f>
        <v>22546.991666666669</v>
      </c>
      <c r="J44" s="36">
        <f>+I44+(I44*$I$4)</f>
        <v>27056.390000000003</v>
      </c>
      <c r="K44" s="36">
        <v>27056.390000000003</v>
      </c>
      <c r="L44" s="37"/>
      <c r="M44" s="116"/>
      <c r="N44" s="92">
        <f>-IF(L44=0,,IF(M44=0,($C$10-L44),M44-L44))</f>
        <v>0</v>
      </c>
      <c r="O44" s="36">
        <f>+J44-K44</f>
        <v>0</v>
      </c>
      <c r="P44" s="36" t="e">
        <f>+IF($C$10&lt;L44,0,O44)</f>
        <v>#REF!</v>
      </c>
      <c r="Q44" s="39"/>
      <c r="R44" s="40">
        <f>IF(N44&gt;=0,0,(IF(-N44&lt;=60,O44,0)))</f>
        <v>0</v>
      </c>
      <c r="S44" s="40">
        <f>IF(N44&gt;=0,0,(IF(N44&gt;=-60,0,IF(-60&gt;=N44,IF(N44&gt;=-120,O44,0)))))</f>
        <v>0</v>
      </c>
      <c r="T44" s="40">
        <f>IF(N44&gt;=0,0,(IF(N44&gt;-60,0,IF(-60&gt;=N44,IF(N44&gt;=-120,0,IF(N44&gt;=-180,O44,0))))))</f>
        <v>0</v>
      </c>
      <c r="U44" s="40">
        <f>IF(N44&gt;=0,0,(IF(N44&gt;-60,0,IF(-60&gt;=N44,IF(N44&gt;-120,0,IF(N44&gt;=-180,0,IF(N44&gt;=-365,O44,0)))))))</f>
        <v>0</v>
      </c>
      <c r="V44" s="40">
        <f>IF(N44&gt;=0,0,IF(365&lt;-N44,O44,0))</f>
        <v>0</v>
      </c>
    </row>
    <row r="45" spans="1:22" s="99" customFormat="1" ht="19.5" customHeight="1">
      <c r="A45" s="104"/>
      <c r="B45" s="104"/>
      <c r="C45" s="106"/>
      <c r="D45" s="107"/>
      <c r="E45" s="108">
        <f t="shared" ref="E45:K45" si="15">SUM(E44:E44)</f>
        <v>22546.991666666669</v>
      </c>
      <c r="F45" s="108">
        <f t="shared" si="15"/>
        <v>0</v>
      </c>
      <c r="G45" s="108">
        <f t="shared" si="15"/>
        <v>0</v>
      </c>
      <c r="H45" s="108">
        <f t="shared" si="15"/>
        <v>0</v>
      </c>
      <c r="I45" s="108">
        <f t="shared" si="15"/>
        <v>22546.991666666669</v>
      </c>
      <c r="J45" s="113">
        <f t="shared" si="15"/>
        <v>27056.390000000003</v>
      </c>
      <c r="K45" s="113">
        <f t="shared" si="15"/>
        <v>27056.390000000003</v>
      </c>
      <c r="L45" s="109"/>
      <c r="M45" s="109"/>
      <c r="N45" s="110"/>
      <c r="O45" s="108">
        <f>SUM(O44:O44)</f>
        <v>0</v>
      </c>
      <c r="P45" s="108" t="e">
        <f>SUM(P44:P44)</f>
        <v>#REF!</v>
      </c>
      <c r="Q45" s="111"/>
      <c r="R45" s="112">
        <f>SUM(R44:R44)</f>
        <v>0</v>
      </c>
      <c r="S45" s="112">
        <f>SUM(S44:S44)</f>
        <v>0</v>
      </c>
      <c r="T45" s="112">
        <f>SUM(T44:T44)</f>
        <v>0</v>
      </c>
      <c r="U45" s="112">
        <f>SUM(U44:U44)</f>
        <v>0</v>
      </c>
      <c r="V45" s="112">
        <f>SUM(V44:V44)</f>
        <v>0</v>
      </c>
    </row>
    <row r="46" spans="1:22" ht="19.5" customHeight="1">
      <c r="A46" s="41" t="s">
        <v>79</v>
      </c>
      <c r="B46" s="41"/>
      <c r="C46" s="43"/>
      <c r="D46" s="44"/>
      <c r="E46" s="36">
        <f>7477.2/1.2</f>
        <v>6231</v>
      </c>
      <c r="F46" s="36">
        <f>-E46*$F$10</f>
        <v>0</v>
      </c>
      <c r="G46" s="36">
        <f>E46*$G$10</f>
        <v>0</v>
      </c>
      <c r="H46" s="36"/>
      <c r="I46" s="36">
        <f>+E46+F46-G46-H46</f>
        <v>6231</v>
      </c>
      <c r="J46" s="36">
        <f>+I46+(I46*$I$4)</f>
        <v>7477.2</v>
      </c>
      <c r="K46" s="36">
        <v>7477.2</v>
      </c>
      <c r="L46" s="37"/>
      <c r="M46" s="37"/>
      <c r="N46" s="92">
        <f>-IF(L46=0,,IF(M46=0,($C$10-L46),M46-L46))</f>
        <v>0</v>
      </c>
      <c r="O46" s="36">
        <f>+J46-K46</f>
        <v>0</v>
      </c>
      <c r="P46" s="36" t="e">
        <f>+IF($C$10&lt;L46,0,O46)</f>
        <v>#REF!</v>
      </c>
      <c r="Q46" s="39"/>
      <c r="R46" s="40">
        <f>IF(N46&gt;=0,0,(IF(-N46&lt;=60,O46,0)))</f>
        <v>0</v>
      </c>
      <c r="S46" s="40">
        <f>IF(N46&gt;=0,0,(IF(N46&gt;=-60,0,IF(-60&gt;=N46,IF(N46&gt;=-120,O46,0)))))</f>
        <v>0</v>
      </c>
      <c r="T46" s="40">
        <f>IF(N46&gt;=0,0,(IF(N46&gt;-60,0,IF(-60&gt;=N46,IF(N46&gt;=-120,0,IF(N46&gt;=-180,O46,0))))))</f>
        <v>0</v>
      </c>
      <c r="U46" s="40">
        <f>IF(N46&gt;=0,0,(IF(N46&gt;-60,0,IF(-60&gt;=N46,IF(N46&gt;-120,0,IF(N46&gt;=-180,0,IF(N46&gt;=-365,O46,0)))))))</f>
        <v>0</v>
      </c>
      <c r="V46" s="40">
        <f>IF(N46&gt;=0,0,IF(365&lt;-N46,O46,0))</f>
        <v>0</v>
      </c>
    </row>
    <row r="47" spans="1:22" s="99" customFormat="1" ht="19.5" customHeight="1">
      <c r="A47" s="104"/>
      <c r="B47" s="104"/>
      <c r="C47" s="106"/>
      <c r="D47" s="107"/>
      <c r="E47" s="108">
        <f t="shared" ref="E47:K47" si="16">SUM(E46:E46)</f>
        <v>6231</v>
      </c>
      <c r="F47" s="108">
        <f t="shared" si="16"/>
        <v>0</v>
      </c>
      <c r="G47" s="108">
        <f t="shared" si="16"/>
        <v>0</v>
      </c>
      <c r="H47" s="108">
        <f t="shared" si="16"/>
        <v>0</v>
      </c>
      <c r="I47" s="108">
        <f t="shared" si="16"/>
        <v>6231</v>
      </c>
      <c r="J47" s="113">
        <f t="shared" si="16"/>
        <v>7477.2</v>
      </c>
      <c r="K47" s="113">
        <f t="shared" si="16"/>
        <v>7477.2</v>
      </c>
      <c r="L47" s="109"/>
      <c r="M47" s="109"/>
      <c r="N47" s="110"/>
      <c r="O47" s="108">
        <f>SUM(O46:O46)</f>
        <v>0</v>
      </c>
      <c r="P47" s="108" t="e">
        <f>SUM(P46:P46)</f>
        <v>#REF!</v>
      </c>
      <c r="Q47" s="111"/>
      <c r="R47" s="112">
        <f>SUM(R46:R46)</f>
        <v>0</v>
      </c>
      <c r="S47" s="112">
        <f>SUM(S46:S46)</f>
        <v>0</v>
      </c>
      <c r="T47" s="112">
        <f>SUM(T46:T46)</f>
        <v>0</v>
      </c>
      <c r="U47" s="112">
        <f>SUM(U46:U46)</f>
        <v>0</v>
      </c>
      <c r="V47" s="112">
        <f>SUM(V46:V46)</f>
        <v>0</v>
      </c>
    </row>
    <row r="48" spans="1:22" ht="19.5" customHeight="1">
      <c r="A48" s="41" t="s">
        <v>180</v>
      </c>
      <c r="B48" s="41"/>
      <c r="C48" s="43"/>
      <c r="D48" s="44"/>
      <c r="E48" s="36">
        <f>638006.65/1.2</f>
        <v>531672.20833333337</v>
      </c>
      <c r="F48" s="36">
        <f>-E48*$F$10</f>
        <v>0</v>
      </c>
      <c r="G48" s="36">
        <f>E48*$G$10</f>
        <v>0</v>
      </c>
      <c r="H48" s="36"/>
      <c r="I48" s="36">
        <f>+E48+F48-G48-H48</f>
        <v>531672.20833333337</v>
      </c>
      <c r="J48" s="36">
        <f>+I48+(I48*$I$4)</f>
        <v>638006.65</v>
      </c>
      <c r="K48" s="36">
        <v>638006.65</v>
      </c>
      <c r="L48" s="37"/>
      <c r="M48" s="37"/>
      <c r="N48" s="92">
        <f>-IF(L48=0,,IF(M48=0,($C$10-L48),M48-L48))</f>
        <v>0</v>
      </c>
      <c r="O48" s="36">
        <f>+J48-K48</f>
        <v>0</v>
      </c>
      <c r="P48" s="36" t="e">
        <f>+IF($C$10&lt;L48,0,O48)</f>
        <v>#REF!</v>
      </c>
      <c r="Q48" s="39"/>
      <c r="R48" s="40">
        <f>IF(N48&gt;=0,0,(IF(-N48&lt;=60,O48,0)))</f>
        <v>0</v>
      </c>
      <c r="S48" s="40">
        <f>IF(N48&gt;=0,0,(IF(N48&gt;=-60,0,IF(-60&gt;=N48,IF(N48&gt;=-120,O48,0)))))</f>
        <v>0</v>
      </c>
      <c r="T48" s="40">
        <f>IF(N48&gt;=0,0,(IF(N48&gt;-60,0,IF(-60&gt;=N48,IF(N48&gt;=-120,0,IF(N48&gt;=-180,O48,0))))))</f>
        <v>0</v>
      </c>
      <c r="U48" s="40">
        <f>IF(N48&gt;=0,0,(IF(N48&gt;-60,0,IF(-60&gt;=N48,IF(N48&gt;-120,0,IF(N48&gt;=-180,0,IF(N48&gt;=-365,O48,0)))))))</f>
        <v>0</v>
      </c>
      <c r="V48" s="40">
        <f>IF(N48&gt;=0,0,IF(365&lt;-N48,O48,0))</f>
        <v>0</v>
      </c>
    </row>
    <row r="49" spans="1:22" s="99" customFormat="1" ht="19.5" customHeight="1">
      <c r="A49" s="104"/>
      <c r="B49" s="104"/>
      <c r="C49" s="106"/>
      <c r="D49" s="107"/>
      <c r="E49" s="108">
        <f t="shared" ref="E49:K49" si="17">SUM(E48:E48)</f>
        <v>531672.20833333337</v>
      </c>
      <c r="F49" s="108">
        <f t="shared" si="17"/>
        <v>0</v>
      </c>
      <c r="G49" s="108">
        <f t="shared" si="17"/>
        <v>0</v>
      </c>
      <c r="H49" s="108">
        <f t="shared" si="17"/>
        <v>0</v>
      </c>
      <c r="I49" s="108">
        <f t="shared" si="17"/>
        <v>531672.20833333337</v>
      </c>
      <c r="J49" s="113">
        <f t="shared" si="17"/>
        <v>638006.65</v>
      </c>
      <c r="K49" s="113">
        <f t="shared" si="17"/>
        <v>638006.65</v>
      </c>
      <c r="L49" s="109"/>
      <c r="M49" s="109"/>
      <c r="N49" s="110"/>
      <c r="O49" s="108">
        <f>SUM(O48:O48)</f>
        <v>0</v>
      </c>
      <c r="P49" s="108" t="e">
        <f>SUM(P48:P48)</f>
        <v>#REF!</v>
      </c>
      <c r="Q49" s="111"/>
      <c r="R49" s="112">
        <f>SUM(R48:R48)</f>
        <v>0</v>
      </c>
      <c r="S49" s="112">
        <f>SUM(S48:S48)</f>
        <v>0</v>
      </c>
      <c r="T49" s="112">
        <f>SUM(T48:T48)</f>
        <v>0</v>
      </c>
      <c r="U49" s="112">
        <f>SUM(U48:U48)</f>
        <v>0</v>
      </c>
      <c r="V49" s="112">
        <f>SUM(V48:V48)</f>
        <v>0</v>
      </c>
    </row>
    <row r="50" spans="1:22" ht="19.5" customHeight="1">
      <c r="A50" s="41" t="s">
        <v>68</v>
      </c>
      <c r="B50" s="41"/>
      <c r="C50" s="43"/>
      <c r="D50" s="44"/>
      <c r="E50" s="36">
        <f>1723838.94/1.2</f>
        <v>1436532.45</v>
      </c>
      <c r="F50" s="36">
        <f>-E50*$F$10</f>
        <v>0</v>
      </c>
      <c r="G50" s="36">
        <f>E50*$G$10</f>
        <v>0</v>
      </c>
      <c r="H50" s="36"/>
      <c r="I50" s="36">
        <f>+E50+F50-G50-H50</f>
        <v>1436532.45</v>
      </c>
      <c r="J50" s="36">
        <f>+I50+(I50*$I$4)</f>
        <v>1723838.94</v>
      </c>
      <c r="K50" s="36">
        <v>1723838.94</v>
      </c>
      <c r="L50" s="37"/>
      <c r="M50" s="37"/>
      <c r="N50" s="92">
        <f>-IF(L50=0,,IF(M50=0,($C$10-L50),M50-L50))</f>
        <v>0</v>
      </c>
      <c r="O50" s="36">
        <f>+J50-K50</f>
        <v>0</v>
      </c>
      <c r="P50" s="36" t="e">
        <f>+IF($C$10&lt;L50,0,O50)</f>
        <v>#REF!</v>
      </c>
      <c r="Q50" s="39"/>
      <c r="R50" s="40">
        <f>IF(N50&gt;=0,0,(IF(-N50&lt;=60,O50,0)))</f>
        <v>0</v>
      </c>
      <c r="S50" s="40">
        <f>IF(N50&gt;=0,0,(IF(N50&gt;=-60,0,IF(-60&gt;=N50,IF(N50&gt;=-120,O50,0)))))</f>
        <v>0</v>
      </c>
      <c r="T50" s="40">
        <f>IF(N50&gt;=0,0,(IF(N50&gt;-60,0,IF(-60&gt;=N50,IF(N50&gt;=-120,0,IF(N50&gt;=-180,O50,0))))))</f>
        <v>0</v>
      </c>
      <c r="U50" s="40">
        <f>IF(N50&gt;=0,0,(IF(N50&gt;-60,0,IF(-60&gt;=N50,IF(N50&gt;-120,0,IF(N50&gt;=-180,0,IF(N50&gt;=-365,O50,0)))))))</f>
        <v>0</v>
      </c>
      <c r="V50" s="40">
        <f>IF(N50&gt;=0,0,IF(365&lt;-N50,O50,0))</f>
        <v>0</v>
      </c>
    </row>
    <row r="51" spans="1:22" s="99" customFormat="1" ht="19.5" customHeight="1">
      <c r="A51" s="104"/>
      <c r="B51" s="104"/>
      <c r="C51" s="106"/>
      <c r="D51" s="107"/>
      <c r="E51" s="108">
        <f t="shared" ref="E51:K51" si="18">SUM(E50:E50)</f>
        <v>1436532.45</v>
      </c>
      <c r="F51" s="108">
        <f t="shared" si="18"/>
        <v>0</v>
      </c>
      <c r="G51" s="108">
        <f t="shared" si="18"/>
        <v>0</v>
      </c>
      <c r="H51" s="108">
        <f t="shared" si="18"/>
        <v>0</v>
      </c>
      <c r="I51" s="108">
        <f t="shared" si="18"/>
        <v>1436532.45</v>
      </c>
      <c r="J51" s="113">
        <f t="shared" si="18"/>
        <v>1723838.94</v>
      </c>
      <c r="K51" s="113">
        <f t="shared" si="18"/>
        <v>1723838.94</v>
      </c>
      <c r="L51" s="109"/>
      <c r="M51" s="109"/>
      <c r="N51" s="110"/>
      <c r="O51" s="108">
        <f>SUM(O50:O50)</f>
        <v>0</v>
      </c>
      <c r="P51" s="108" t="e">
        <f>SUM(P50:P50)</f>
        <v>#REF!</v>
      </c>
      <c r="Q51" s="111"/>
      <c r="R51" s="112">
        <f>SUM(R50:R50)</f>
        <v>0</v>
      </c>
      <c r="S51" s="112">
        <f>SUM(S50:S50)</f>
        <v>0</v>
      </c>
      <c r="T51" s="112">
        <f>SUM(T50:T50)</f>
        <v>0</v>
      </c>
      <c r="U51" s="112">
        <f>SUM(U50:U50)</f>
        <v>0</v>
      </c>
      <c r="V51" s="112">
        <f>SUM(V50:V50)</f>
        <v>0</v>
      </c>
    </row>
    <row r="52" spans="1:22" ht="19.5" customHeight="1">
      <c r="A52" s="41" t="s">
        <v>70</v>
      </c>
      <c r="B52" s="41"/>
      <c r="C52" s="43"/>
      <c r="D52" s="44"/>
      <c r="E52" s="36">
        <f>291588.39/1.2</f>
        <v>242990.32500000001</v>
      </c>
      <c r="F52" s="36">
        <f>-E52*$F$10</f>
        <v>0</v>
      </c>
      <c r="G52" s="36">
        <f>E52*$G$10</f>
        <v>0</v>
      </c>
      <c r="H52" s="36"/>
      <c r="I52" s="36">
        <f>+E52+F52-G52-H52</f>
        <v>242990.32500000001</v>
      </c>
      <c r="J52" s="36">
        <f>+I52+(I52*$I$4)</f>
        <v>291588.39</v>
      </c>
      <c r="K52" s="36">
        <v>291588.39</v>
      </c>
      <c r="L52" s="37"/>
      <c r="M52" s="37"/>
      <c r="N52" s="92">
        <f>-IF(L52=0,,IF(M52=0,($C$10-L52),M52-L52))</f>
        <v>0</v>
      </c>
      <c r="O52" s="36">
        <f>+J52-K52</f>
        <v>0</v>
      </c>
      <c r="P52" s="36" t="e">
        <f>+IF($C$10&lt;L52,0,O52)</f>
        <v>#REF!</v>
      </c>
      <c r="Q52" s="39"/>
      <c r="R52" s="40">
        <f>IF(N52&gt;=0,0,(IF(-N52&lt;=60,O52,0)))</f>
        <v>0</v>
      </c>
      <c r="S52" s="40">
        <f>IF(N52&gt;=0,0,(IF(N52&gt;=-60,0,IF(-60&gt;=N52,IF(N52&gt;=-120,O52,0)))))</f>
        <v>0</v>
      </c>
      <c r="T52" s="40">
        <f>IF(N52&gt;=0,0,(IF(N52&gt;-60,0,IF(-60&gt;=N52,IF(N52&gt;=-120,0,IF(N52&gt;=-180,O52,0))))))</f>
        <v>0</v>
      </c>
      <c r="U52" s="40">
        <f>IF(N52&gt;=0,0,(IF(N52&gt;-60,0,IF(-60&gt;=N52,IF(N52&gt;-120,0,IF(N52&gt;=-180,0,IF(N52&gt;=-365,O52,0)))))))</f>
        <v>0</v>
      </c>
      <c r="V52" s="40">
        <f>IF(N52&gt;=0,0,IF(365&lt;-N52,O52,0))</f>
        <v>0</v>
      </c>
    </row>
    <row r="53" spans="1:22" s="99" customFormat="1" ht="13.5" customHeight="1">
      <c r="A53" s="104"/>
      <c r="B53" s="105"/>
      <c r="C53" s="106"/>
      <c r="D53" s="107"/>
      <c r="E53" s="108">
        <f t="shared" ref="E53:K53" si="19">SUM(E52:E52)</f>
        <v>242990.32500000001</v>
      </c>
      <c r="F53" s="108">
        <f t="shared" si="19"/>
        <v>0</v>
      </c>
      <c r="G53" s="108">
        <f t="shared" si="19"/>
        <v>0</v>
      </c>
      <c r="H53" s="108">
        <f t="shared" si="19"/>
        <v>0</v>
      </c>
      <c r="I53" s="108">
        <f t="shared" si="19"/>
        <v>242990.32500000001</v>
      </c>
      <c r="J53" s="113">
        <f t="shared" si="19"/>
        <v>291588.39</v>
      </c>
      <c r="K53" s="113">
        <f t="shared" si="19"/>
        <v>291588.39</v>
      </c>
      <c r="L53" s="109"/>
      <c r="M53" s="109"/>
      <c r="N53" s="110"/>
      <c r="O53" s="108">
        <f>SUM(O52:O52)</f>
        <v>0</v>
      </c>
      <c r="P53" s="108" t="e">
        <f>SUM(P52:P52)</f>
        <v>#REF!</v>
      </c>
      <c r="Q53" s="111"/>
      <c r="R53" s="112">
        <f>SUM(R52:R52)</f>
        <v>0</v>
      </c>
      <c r="S53" s="112">
        <f>SUM(S52:S52)</f>
        <v>0</v>
      </c>
      <c r="T53" s="112">
        <f>SUM(T52:T52)</f>
        <v>0</v>
      </c>
      <c r="U53" s="112">
        <f>SUM(U52:U52)</f>
        <v>0</v>
      </c>
      <c r="V53" s="112">
        <f>SUM(V52:V52)</f>
        <v>0</v>
      </c>
    </row>
    <row r="54" spans="1:22" ht="19.5" customHeight="1">
      <c r="A54" s="41" t="s">
        <v>181</v>
      </c>
      <c r="B54" s="41"/>
      <c r="C54" s="43"/>
      <c r="D54" s="44"/>
      <c r="E54" s="36">
        <f>222062.87/1.2</f>
        <v>185052.39166666666</v>
      </c>
      <c r="F54" s="36">
        <f>-E54*$F$10</f>
        <v>0</v>
      </c>
      <c r="G54" s="36">
        <f>E54*$G$10</f>
        <v>0</v>
      </c>
      <c r="H54" s="36"/>
      <c r="I54" s="36">
        <f>+E54+F54-G54-H54</f>
        <v>185052.39166666666</v>
      </c>
      <c r="J54" s="36">
        <f>+I54+(I54*$I$4)</f>
        <v>222062.87</v>
      </c>
      <c r="K54" s="36">
        <v>222062.87</v>
      </c>
      <c r="L54" s="37"/>
      <c r="M54" s="37"/>
      <c r="N54" s="92">
        <f>-IF(L54=0,,IF(M54=0,($C$10-L54),M54-L54))</f>
        <v>0</v>
      </c>
      <c r="O54" s="36">
        <f>+J54-K54</f>
        <v>0</v>
      </c>
      <c r="P54" s="36" t="e">
        <f>+IF($C$10&lt;L54,0,O54)</f>
        <v>#REF!</v>
      </c>
      <c r="Q54" s="39"/>
      <c r="R54" s="40">
        <f>IF(N54&gt;=0,0,(IF(-N54&lt;=60,O54,0)))</f>
        <v>0</v>
      </c>
      <c r="S54" s="40">
        <f>IF(N54&gt;=0,0,(IF(N54&gt;=-60,0,IF(-60&gt;=N54,IF(N54&gt;=-120,O54,0)))))</f>
        <v>0</v>
      </c>
      <c r="T54" s="40">
        <f>IF(N54&gt;=0,0,(IF(N54&gt;-60,0,IF(-60&gt;=N54,IF(N54&gt;=-120,0,IF(N54&gt;=-180,O54,0))))))</f>
        <v>0</v>
      </c>
      <c r="U54" s="40">
        <f>IF(N54&gt;=0,0,(IF(N54&gt;-60,0,IF(-60&gt;=N54,IF(N54&gt;-120,0,IF(N54&gt;=-180,0,IF(N54&gt;=-365,O54,0)))))))</f>
        <v>0</v>
      </c>
      <c r="V54" s="40">
        <f>IF(N54&gt;=0,0,IF(365&lt;-N54,O54,0))</f>
        <v>0</v>
      </c>
    </row>
    <row r="55" spans="1:22" s="99" customFormat="1" ht="12.75" customHeight="1">
      <c r="A55" s="104"/>
      <c r="B55" s="104"/>
      <c r="C55" s="106"/>
      <c r="D55" s="107"/>
      <c r="E55" s="108">
        <f t="shared" ref="E55:K55" si="20">SUM(E54:E54)</f>
        <v>185052.39166666666</v>
      </c>
      <c r="F55" s="108">
        <f t="shared" si="20"/>
        <v>0</v>
      </c>
      <c r="G55" s="108">
        <f t="shared" si="20"/>
        <v>0</v>
      </c>
      <c r="H55" s="108">
        <f t="shared" si="20"/>
        <v>0</v>
      </c>
      <c r="I55" s="108">
        <f t="shared" si="20"/>
        <v>185052.39166666666</v>
      </c>
      <c r="J55" s="113">
        <f t="shared" si="20"/>
        <v>222062.87</v>
      </c>
      <c r="K55" s="113">
        <f t="shared" si="20"/>
        <v>222062.87</v>
      </c>
      <c r="L55" s="109"/>
      <c r="M55" s="109"/>
      <c r="N55" s="110"/>
      <c r="O55" s="108">
        <f>SUM(O54:O54)</f>
        <v>0</v>
      </c>
      <c r="P55" s="108" t="e">
        <f>SUM(P54:P54)</f>
        <v>#REF!</v>
      </c>
      <c r="Q55" s="111"/>
      <c r="R55" s="112">
        <f>SUM(R54:R54)</f>
        <v>0</v>
      </c>
      <c r="S55" s="112">
        <f>SUM(S54:S54)</f>
        <v>0</v>
      </c>
      <c r="T55" s="112">
        <f>SUM(T54:T54)</f>
        <v>0</v>
      </c>
      <c r="U55" s="112">
        <f>SUM(U54:U54)</f>
        <v>0</v>
      </c>
      <c r="V55" s="112">
        <f>SUM(V54:V54)</f>
        <v>0</v>
      </c>
    </row>
    <row r="56" spans="1:22" ht="19.5" customHeight="1">
      <c r="A56" s="41" t="s">
        <v>85</v>
      </c>
      <c r="B56" s="41"/>
      <c r="C56" s="43"/>
      <c r="D56" s="44"/>
      <c r="E56" s="36">
        <f>101721.49/1.2</f>
        <v>84767.90833333334</v>
      </c>
      <c r="F56" s="36">
        <f>-E56*$F$10</f>
        <v>0</v>
      </c>
      <c r="G56" s="36">
        <f>E56*$G$10</f>
        <v>0</v>
      </c>
      <c r="H56" s="36"/>
      <c r="I56" s="36">
        <f>+E56+F56-G56-H56</f>
        <v>84767.90833333334</v>
      </c>
      <c r="J56" s="36">
        <f>+I56+(I56*$I$4)</f>
        <v>101721.49</v>
      </c>
      <c r="K56" s="36">
        <v>101721.49</v>
      </c>
      <c r="L56" s="37"/>
      <c r="M56" s="37"/>
      <c r="N56" s="92">
        <f>-IF(L56=0,,IF(M56=0,($C$10-L56),M56-L56))</f>
        <v>0</v>
      </c>
      <c r="O56" s="36">
        <f>+J56-K56</f>
        <v>0</v>
      </c>
      <c r="P56" s="36" t="e">
        <f>+IF($C$10&lt;L56,0,O56)</f>
        <v>#REF!</v>
      </c>
      <c r="Q56" s="39"/>
      <c r="R56" s="40">
        <f>IF(N56&gt;=0,0,(IF(-N56&lt;=60,O56,0)))</f>
        <v>0</v>
      </c>
      <c r="S56" s="40">
        <f>IF(N56&gt;=0,0,(IF(N56&gt;=-60,0,IF(-60&gt;=N56,IF(N56&gt;=-120,O56,0)))))</f>
        <v>0</v>
      </c>
      <c r="T56" s="40">
        <f>IF(N56&gt;=0,0,(IF(N56&gt;-60,0,IF(-60&gt;=N56,IF(N56&gt;=-120,0,IF(N56&gt;=-180,O56,0))))))</f>
        <v>0</v>
      </c>
      <c r="U56" s="40">
        <f>IF(N56&gt;=0,0,(IF(N56&gt;-60,0,IF(-60&gt;=N56,IF(N56&gt;-120,0,IF(N56&gt;=-180,0,IF(N56&gt;=-365,O56,0)))))))</f>
        <v>0</v>
      </c>
      <c r="V56" s="40">
        <f>IF(N56&gt;=0,0,IF(365&lt;-N56,O56,0))</f>
        <v>0</v>
      </c>
    </row>
    <row r="57" spans="1:22" s="99" customFormat="1" ht="13.5" customHeight="1">
      <c r="A57" s="104"/>
      <c r="B57" s="105"/>
      <c r="C57" s="106"/>
      <c r="D57" s="107"/>
      <c r="E57" s="108">
        <f t="shared" ref="E57:K57" si="21">SUM(E56:E56)</f>
        <v>84767.90833333334</v>
      </c>
      <c r="F57" s="108">
        <f t="shared" si="21"/>
        <v>0</v>
      </c>
      <c r="G57" s="108">
        <f t="shared" si="21"/>
        <v>0</v>
      </c>
      <c r="H57" s="108">
        <f t="shared" si="21"/>
        <v>0</v>
      </c>
      <c r="I57" s="108">
        <f t="shared" si="21"/>
        <v>84767.90833333334</v>
      </c>
      <c r="J57" s="113">
        <f t="shared" si="21"/>
        <v>101721.49</v>
      </c>
      <c r="K57" s="113">
        <f t="shared" si="21"/>
        <v>101721.49</v>
      </c>
      <c r="L57" s="109"/>
      <c r="M57" s="109"/>
      <c r="N57" s="110"/>
      <c r="O57" s="108">
        <f>SUM(O56:O56)</f>
        <v>0</v>
      </c>
      <c r="P57" s="108" t="e">
        <f>SUM(P56:P56)</f>
        <v>#REF!</v>
      </c>
      <c r="Q57" s="111"/>
      <c r="R57" s="112">
        <f>SUM(R56:R56)</f>
        <v>0</v>
      </c>
      <c r="S57" s="112">
        <f>SUM(S56:S56)</f>
        <v>0</v>
      </c>
      <c r="T57" s="112">
        <f>SUM(T56:T56)</f>
        <v>0</v>
      </c>
      <c r="U57" s="112">
        <f>SUM(U56:U56)</f>
        <v>0</v>
      </c>
      <c r="V57" s="112">
        <f>SUM(V56:V56)</f>
        <v>0</v>
      </c>
    </row>
    <row r="58" spans="1:22" ht="19.5" customHeight="1">
      <c r="A58" s="41" t="s">
        <v>183</v>
      </c>
      <c r="B58" s="41"/>
      <c r="C58" s="43"/>
      <c r="D58" s="44"/>
      <c r="E58" s="36">
        <f>5410.28/1.2</f>
        <v>4508.5666666666666</v>
      </c>
      <c r="F58" s="36">
        <f>-E58*$F$10</f>
        <v>0</v>
      </c>
      <c r="G58" s="36">
        <f>E58*$G$10</f>
        <v>0</v>
      </c>
      <c r="H58" s="36"/>
      <c r="I58" s="36">
        <f>+E58+F58-G58-H58</f>
        <v>4508.5666666666666</v>
      </c>
      <c r="J58" s="36">
        <f>+I58+(I58*$I$4)</f>
        <v>5410.28</v>
      </c>
      <c r="K58" s="36">
        <v>5410.28</v>
      </c>
      <c r="L58" s="37"/>
      <c r="M58" s="37"/>
      <c r="N58" s="92">
        <f>-IF(L58=0,,IF(M58=0,($C$10-L58),M58-L58))</f>
        <v>0</v>
      </c>
      <c r="O58" s="36">
        <f>+J58-K58</f>
        <v>0</v>
      </c>
      <c r="P58" s="36" t="e">
        <f>+IF($C$10&lt;L58,0,O58)</f>
        <v>#REF!</v>
      </c>
      <c r="Q58" s="39"/>
      <c r="R58" s="40">
        <f>IF(N58&gt;=0,0,(IF(-N58&lt;=60,O58,0)))</f>
        <v>0</v>
      </c>
      <c r="S58" s="40">
        <f>IF(N58&gt;=0,0,(IF(N58&gt;=-60,0,IF(-60&gt;=N58,IF(N58&gt;=-120,O58,0)))))</f>
        <v>0</v>
      </c>
      <c r="T58" s="40">
        <f>IF(N58&gt;=0,0,(IF(N58&gt;-60,0,IF(-60&gt;=N58,IF(N58&gt;=-120,0,IF(N58&gt;=-180,O58,0))))))</f>
        <v>0</v>
      </c>
      <c r="U58" s="40">
        <f>IF(N58&gt;=0,0,(IF(N58&gt;-60,0,IF(-60&gt;=N58,IF(N58&gt;-120,0,IF(N58&gt;=-180,0,IF(N58&gt;=-365,O58,0)))))))</f>
        <v>0</v>
      </c>
      <c r="V58" s="40">
        <f>IF(N58&gt;=0,0,IF(365&lt;-N58,O58,0))</f>
        <v>0</v>
      </c>
    </row>
    <row r="59" spans="1:22" s="99" customFormat="1" ht="19.5" customHeight="1">
      <c r="A59" s="104"/>
      <c r="B59" s="104"/>
      <c r="C59" s="106"/>
      <c r="D59" s="107"/>
      <c r="E59" s="108">
        <f t="shared" ref="E59:K59" si="22">SUM(E58:E58)</f>
        <v>4508.5666666666666</v>
      </c>
      <c r="F59" s="108">
        <f t="shared" si="22"/>
        <v>0</v>
      </c>
      <c r="G59" s="108">
        <f t="shared" si="22"/>
        <v>0</v>
      </c>
      <c r="H59" s="108">
        <f t="shared" si="22"/>
        <v>0</v>
      </c>
      <c r="I59" s="108">
        <f t="shared" si="22"/>
        <v>4508.5666666666666</v>
      </c>
      <c r="J59" s="113">
        <f t="shared" si="22"/>
        <v>5410.28</v>
      </c>
      <c r="K59" s="113">
        <f t="shared" si="22"/>
        <v>5410.28</v>
      </c>
      <c r="L59" s="109"/>
      <c r="M59" s="109"/>
      <c r="N59" s="110"/>
      <c r="O59" s="108">
        <f>SUM(O58)</f>
        <v>0</v>
      </c>
      <c r="P59" s="108" t="e">
        <f>SUM(P58)</f>
        <v>#REF!</v>
      </c>
      <c r="Q59" s="111"/>
      <c r="R59" s="112">
        <f>SUM(R58)</f>
        <v>0</v>
      </c>
      <c r="S59" s="112">
        <f>SUM(S58)</f>
        <v>0</v>
      </c>
      <c r="T59" s="112">
        <f>SUM(T58)</f>
        <v>0</v>
      </c>
      <c r="U59" s="112">
        <f>SUM(U58)</f>
        <v>0</v>
      </c>
      <c r="V59" s="112">
        <f>SUM(V58)</f>
        <v>0</v>
      </c>
    </row>
    <row r="60" spans="1:22" ht="19.5" customHeight="1">
      <c r="A60" s="41" t="s">
        <v>146</v>
      </c>
      <c r="B60" s="41"/>
      <c r="C60" s="43"/>
      <c r="D60" s="44"/>
      <c r="E60" s="36">
        <f>5478.67/1.2</f>
        <v>4565.5583333333334</v>
      </c>
      <c r="F60" s="36">
        <f>-E60*$F$10</f>
        <v>0</v>
      </c>
      <c r="G60" s="36">
        <f>E60*$G$10</f>
        <v>0</v>
      </c>
      <c r="H60" s="36"/>
      <c r="I60" s="36">
        <f>+E60+F60-G60-H60</f>
        <v>4565.5583333333334</v>
      </c>
      <c r="J60" s="36">
        <f>+I60+(I60*$I$4)</f>
        <v>5478.67</v>
      </c>
      <c r="K60" s="36">
        <v>5478.67</v>
      </c>
      <c r="L60" s="37"/>
      <c r="M60" s="37"/>
      <c r="N60" s="92">
        <f>-IF(L60=0,,IF(M60=0,($C$10-L60),M60-L60))</f>
        <v>0</v>
      </c>
      <c r="O60" s="36">
        <f>+J60-K60</f>
        <v>0</v>
      </c>
      <c r="P60" s="36" t="e">
        <f>+IF($C$10&lt;L60,0,O60)</f>
        <v>#REF!</v>
      </c>
      <c r="Q60" s="39"/>
      <c r="R60" s="40">
        <f>IF(N60&gt;=0,0,(IF(-N60&lt;=60,O60,0)))</f>
        <v>0</v>
      </c>
      <c r="S60" s="40">
        <f>IF(N60&gt;=0,0,(IF(N60&gt;=-60,0,IF(-60&gt;=N60,IF(N60&gt;=-120,O60,0)))))</f>
        <v>0</v>
      </c>
      <c r="T60" s="40">
        <f>IF(N60&gt;=0,0,(IF(N60&gt;-60,0,IF(-60&gt;=N60,IF(N60&gt;=-120,0,IF(N60&gt;=-180,O60,0))))))</f>
        <v>0</v>
      </c>
      <c r="U60" s="40">
        <f>IF(N60&gt;=0,0,(IF(N60&gt;-60,0,IF(-60&gt;=N60,IF(N60&gt;-120,0,IF(N60&gt;=-180,0,IF(N60&gt;=-365,O60,0)))))))</f>
        <v>0</v>
      </c>
      <c r="V60" s="40">
        <f>IF(N60&gt;=0,0,IF(365&lt;-N60,O60,0))</f>
        <v>0</v>
      </c>
    </row>
    <row r="61" spans="1:22" s="99" customFormat="1" ht="12.75" customHeight="1">
      <c r="A61" s="104"/>
      <c r="B61" s="104"/>
      <c r="C61" s="106"/>
      <c r="D61" s="107"/>
      <c r="E61" s="108">
        <f t="shared" ref="E61:K61" si="23">SUM(E60:E60)</f>
        <v>4565.5583333333334</v>
      </c>
      <c r="F61" s="108">
        <f t="shared" si="23"/>
        <v>0</v>
      </c>
      <c r="G61" s="108">
        <f t="shared" si="23"/>
        <v>0</v>
      </c>
      <c r="H61" s="108">
        <f t="shared" si="23"/>
        <v>0</v>
      </c>
      <c r="I61" s="108">
        <f t="shared" si="23"/>
        <v>4565.5583333333334</v>
      </c>
      <c r="J61" s="113">
        <f t="shared" si="23"/>
        <v>5478.67</v>
      </c>
      <c r="K61" s="113">
        <f t="shared" si="23"/>
        <v>5478.67</v>
      </c>
      <c r="L61" s="109"/>
      <c r="M61" s="109"/>
      <c r="N61" s="110"/>
      <c r="O61" s="108">
        <f>SUM(O60:O60)</f>
        <v>0</v>
      </c>
      <c r="P61" s="108" t="e">
        <f>SUM(P60:P60)</f>
        <v>#REF!</v>
      </c>
      <c r="Q61" s="111"/>
      <c r="R61" s="112">
        <f>SUM(R60:R60)</f>
        <v>0</v>
      </c>
      <c r="S61" s="112">
        <f>SUM(S60:S60)</f>
        <v>0</v>
      </c>
      <c r="T61" s="112">
        <f>SUM(T60:T60)</f>
        <v>0</v>
      </c>
      <c r="U61" s="112">
        <f>SUM(U60:U60)</f>
        <v>0</v>
      </c>
      <c r="V61" s="112">
        <f>SUM(V60:V60)</f>
        <v>0</v>
      </c>
    </row>
    <row r="62" spans="1:22" ht="19.5" customHeight="1">
      <c r="A62" s="41" t="s">
        <v>165</v>
      </c>
      <c r="B62" s="41"/>
      <c r="C62" s="43"/>
      <c r="D62" s="44"/>
      <c r="E62" s="36"/>
      <c r="F62" s="36">
        <f>-E62*$F$10</f>
        <v>0</v>
      </c>
      <c r="G62" s="36">
        <f>E62*$G$10</f>
        <v>0</v>
      </c>
      <c r="H62" s="36"/>
      <c r="I62" s="36">
        <f>+E62+F62-G62-H62</f>
        <v>0</v>
      </c>
      <c r="J62" s="36">
        <f>+I62+(I62*$I$4)</f>
        <v>0</v>
      </c>
      <c r="K62" s="36"/>
      <c r="L62" s="37"/>
      <c r="M62" s="37"/>
      <c r="N62" s="92">
        <f>-IF(L62=0,,IF(M62=0,($C$10-L62),M62-L62))</f>
        <v>0</v>
      </c>
      <c r="O62" s="36">
        <f>+J62-K62</f>
        <v>0</v>
      </c>
      <c r="P62" s="36" t="e">
        <f>+IF($C$10&lt;L62,0,O62)</f>
        <v>#REF!</v>
      </c>
      <c r="Q62" s="39"/>
      <c r="R62" s="40">
        <f>IF(N62&gt;=0,0,(IF(-N62&lt;=60,O62,0)))</f>
        <v>0</v>
      </c>
      <c r="S62" s="40">
        <f>IF(N62&gt;=0,0,(IF(N62&gt;=-60,0,IF(-60&gt;=N62,IF(N62&gt;=-120,O62,0)))))</f>
        <v>0</v>
      </c>
      <c r="T62" s="40">
        <f>IF(N62&gt;=0,0,(IF(N62&gt;-60,0,IF(-60&gt;=N62,IF(N62&gt;=-120,0,IF(N62&gt;=-180,O62,0))))))</f>
        <v>0</v>
      </c>
      <c r="U62" s="40">
        <f>IF(N62&gt;=0,0,(IF(N62&gt;-60,0,IF(-60&gt;=N62,IF(N62&gt;-120,0,IF(N62&gt;=-180,0,IF(N62&gt;=-365,O62,0)))))))</f>
        <v>0</v>
      </c>
      <c r="V62" s="40">
        <f>IF(N62&gt;=0,0,IF(365&lt;-N62,O62,0))</f>
        <v>0</v>
      </c>
    </row>
    <row r="63" spans="1:22" s="99" customFormat="1" ht="12.75" customHeight="1">
      <c r="A63" s="104"/>
      <c r="B63" s="104"/>
      <c r="C63" s="106"/>
      <c r="D63" s="107"/>
      <c r="E63" s="108">
        <f t="shared" ref="E63:K63" si="24">SUM(E62:E62)</f>
        <v>0</v>
      </c>
      <c r="F63" s="108">
        <f t="shared" si="24"/>
        <v>0</v>
      </c>
      <c r="G63" s="108">
        <f t="shared" si="24"/>
        <v>0</v>
      </c>
      <c r="H63" s="108">
        <f t="shared" si="24"/>
        <v>0</v>
      </c>
      <c r="I63" s="108">
        <f t="shared" si="24"/>
        <v>0</v>
      </c>
      <c r="J63" s="113">
        <f t="shared" si="24"/>
        <v>0</v>
      </c>
      <c r="K63" s="113">
        <f t="shared" si="24"/>
        <v>0</v>
      </c>
      <c r="L63" s="109"/>
      <c r="M63" s="109"/>
      <c r="N63" s="110"/>
      <c r="O63" s="108">
        <f>SUM(O62:O62)</f>
        <v>0</v>
      </c>
      <c r="P63" s="108" t="e">
        <f>SUM(P62:P62)</f>
        <v>#REF!</v>
      </c>
      <c r="Q63" s="111"/>
      <c r="R63" s="112">
        <f>SUM(R62:R62)</f>
        <v>0</v>
      </c>
      <c r="S63" s="112">
        <f>SUM(S62:S62)</f>
        <v>0</v>
      </c>
      <c r="T63" s="112">
        <f>SUM(T62:T62)</f>
        <v>0</v>
      </c>
      <c r="U63" s="112">
        <f>SUM(U62:U62)</f>
        <v>0</v>
      </c>
      <c r="V63" s="112">
        <f>SUM(V62:V62)</f>
        <v>0</v>
      </c>
    </row>
    <row r="64" spans="1:22" ht="19.5" customHeight="1" thickBot="1">
      <c r="A64" s="41"/>
      <c r="B64" s="42"/>
      <c r="C64" s="43"/>
      <c r="D64" s="44"/>
      <c r="E64" s="36"/>
      <c r="F64" s="36"/>
      <c r="G64" s="36"/>
      <c r="H64" s="36"/>
      <c r="I64" s="36"/>
      <c r="J64" s="36"/>
      <c r="K64" s="36"/>
      <c r="L64" s="37"/>
      <c r="M64" s="37"/>
      <c r="N64" s="38"/>
      <c r="O64" s="36"/>
      <c r="P64" s="42" t="e">
        <f>+IF($C$10&lt;L64,0,O64)</f>
        <v>#REF!</v>
      </c>
      <c r="Q64" s="39"/>
      <c r="R64" s="97"/>
      <c r="S64" s="97"/>
      <c r="T64" s="97"/>
      <c r="U64" s="97"/>
      <c r="V64" s="97"/>
    </row>
    <row r="65" spans="1:22" s="111" customFormat="1" ht="28.5" customHeight="1" thickBot="1">
      <c r="A65" s="120"/>
      <c r="B65" s="121" t="s">
        <v>43</v>
      </c>
      <c r="C65" s="121"/>
      <c r="D65" s="121"/>
      <c r="E65" s="122">
        <f>SUM(E12:E64)/2</f>
        <v>18181628.659999996</v>
      </c>
      <c r="F65" s="122">
        <f t="shared" ref="F65:K65" si="25">SUM(F12:F64)/2</f>
        <v>0</v>
      </c>
      <c r="G65" s="122">
        <f t="shared" si="25"/>
        <v>0</v>
      </c>
      <c r="H65" s="122">
        <f t="shared" si="25"/>
        <v>0</v>
      </c>
      <c r="I65" s="122">
        <f t="shared" si="25"/>
        <v>18181628.659999996</v>
      </c>
      <c r="J65" s="122">
        <f t="shared" si="25"/>
        <v>21817954.392000001</v>
      </c>
      <c r="K65" s="122">
        <f t="shared" si="25"/>
        <v>21265286.862</v>
      </c>
      <c r="L65" s="123"/>
      <c r="M65" s="123"/>
      <c r="N65" s="123"/>
      <c r="O65" s="122">
        <f>SUM(O12:O64)/2</f>
        <v>552667.52999999991</v>
      </c>
      <c r="P65" s="122" t="e">
        <f>SUM(P12:P64)/2</f>
        <v>#REF!</v>
      </c>
      <c r="R65" s="124" t="e">
        <f>SUM(R12:R64)/2</f>
        <v>#REF!</v>
      </c>
      <c r="S65" s="124" t="e">
        <f>SUM(S12:S64)/2</f>
        <v>#REF!</v>
      </c>
      <c r="T65" s="124" t="e">
        <f>SUM(T12:T64)/2</f>
        <v>#REF!</v>
      </c>
      <c r="U65" s="124" t="e">
        <f>SUM(U12:U64)/2</f>
        <v>#REF!</v>
      </c>
      <c r="V65" s="124" t="e">
        <f>SUM(V12:V64)/2</f>
        <v>#REF!</v>
      </c>
    </row>
    <row r="66" spans="1:22" ht="21" customHeight="1">
      <c r="A66" s="45"/>
      <c r="B66" s="46"/>
      <c r="C66" s="46"/>
      <c r="D66" s="47" t="s">
        <v>44</v>
      </c>
      <c r="E66" s="48">
        <f>+E65/$M$7</f>
        <v>1.0043956548397495</v>
      </c>
      <c r="F66" s="46"/>
      <c r="G66" s="46"/>
      <c r="H66" s="46"/>
      <c r="I66" s="46"/>
      <c r="J66" s="47" t="s">
        <v>45</v>
      </c>
      <c r="K66" s="48">
        <f>+K65/J65</f>
        <v>0.97466914083372325</v>
      </c>
      <c r="L66" s="46"/>
      <c r="M66" s="46"/>
      <c r="N66" s="46"/>
      <c r="O66" s="46"/>
      <c r="P66" s="49"/>
      <c r="Q66" s="39"/>
      <c r="R66" s="39"/>
      <c r="S66" s="39"/>
      <c r="T66" s="39"/>
      <c r="U66" s="39"/>
      <c r="V66" s="39"/>
    </row>
    <row r="67" spans="1:22" ht="21" customHeight="1" thickBot="1">
      <c r="A67" s="50"/>
      <c r="B67" s="51"/>
      <c r="C67" s="51"/>
      <c r="D67" s="52" t="s">
        <v>46</v>
      </c>
      <c r="E67" s="53">
        <f>+$M$7-$E$65</f>
        <v>-79570.399999994785</v>
      </c>
      <c r="F67" s="54">
        <f>+E67/M7</f>
        <v>-4.3956548397494095E-3</v>
      </c>
      <c r="G67" s="51"/>
      <c r="H67" s="51"/>
      <c r="I67" s="51"/>
      <c r="J67" s="117"/>
      <c r="K67" s="51"/>
      <c r="L67" s="51"/>
      <c r="M67" s="51"/>
      <c r="N67" s="51"/>
      <c r="O67" s="51"/>
      <c r="P67" s="55"/>
      <c r="Q67" s="39"/>
      <c r="R67" s="39"/>
      <c r="S67" s="39"/>
      <c r="T67" s="39"/>
      <c r="U67" s="39"/>
      <c r="V67" s="39"/>
    </row>
    <row r="68" spans="1:22">
      <c r="A68" s="39"/>
      <c r="B68" s="45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9"/>
      <c r="O68" s="39"/>
      <c r="P68" s="39"/>
      <c r="Q68" s="39"/>
      <c r="R68" s="39"/>
      <c r="S68" s="39"/>
      <c r="T68" s="39"/>
      <c r="U68" s="39"/>
      <c r="V68" s="39"/>
    </row>
    <row r="69" spans="1:22" ht="21">
      <c r="A69" s="39"/>
      <c r="B69" s="56"/>
      <c r="C69" s="91" t="s">
        <v>47</v>
      </c>
      <c r="D69" s="91"/>
      <c r="E69" s="91"/>
      <c r="F69" s="91"/>
      <c r="G69" s="91"/>
      <c r="H69" s="91" t="s">
        <v>209</v>
      </c>
      <c r="I69" s="57"/>
      <c r="J69" s="57"/>
      <c r="K69" s="57"/>
      <c r="L69" s="57"/>
      <c r="M69" s="57"/>
      <c r="N69" s="58"/>
      <c r="O69" s="39"/>
      <c r="P69" s="39"/>
      <c r="Q69" s="39"/>
      <c r="R69" s="39"/>
      <c r="S69" s="39"/>
      <c r="T69" s="39"/>
      <c r="U69" s="39"/>
      <c r="V69" s="39"/>
    </row>
    <row r="70" spans="1:22" ht="17.25" thickBot="1">
      <c r="A70" s="39"/>
      <c r="B70" s="56"/>
      <c r="C70" s="57"/>
      <c r="D70" s="57"/>
      <c r="E70" s="57"/>
      <c r="F70" s="57"/>
      <c r="G70" s="59"/>
      <c r="H70" s="57"/>
      <c r="I70" s="57"/>
      <c r="J70" s="57"/>
      <c r="K70" s="57"/>
      <c r="L70" s="57"/>
      <c r="M70" s="57"/>
      <c r="N70" s="58"/>
      <c r="O70" s="39"/>
      <c r="P70" s="39"/>
      <c r="Q70" s="39"/>
      <c r="R70" s="39"/>
      <c r="S70" s="39"/>
      <c r="T70" s="39"/>
      <c r="U70" s="39"/>
      <c r="V70" s="39"/>
    </row>
    <row r="71" spans="1:22" ht="18" customHeight="1" thickBot="1">
      <c r="A71" s="39"/>
      <c r="B71" s="56"/>
      <c r="C71" s="158" t="s">
        <v>48</v>
      </c>
      <c r="D71" s="159"/>
      <c r="E71" s="160"/>
      <c r="F71" s="79" t="s">
        <v>57</v>
      </c>
      <c r="G71" s="61">
        <f>+M7</f>
        <v>18102058.260000002</v>
      </c>
      <c r="H71" s="60"/>
      <c r="I71" s="62"/>
      <c r="J71" s="60"/>
      <c r="K71" s="60"/>
      <c r="L71" s="60"/>
      <c r="M71" s="60"/>
      <c r="N71" s="63"/>
      <c r="O71" s="39"/>
      <c r="P71" s="39"/>
      <c r="Q71" s="39"/>
      <c r="R71" s="39"/>
      <c r="S71" s="39"/>
      <c r="T71" s="39"/>
      <c r="U71" s="39"/>
      <c r="V71" s="39"/>
    </row>
    <row r="72" spans="1:22" ht="17.25" thickBot="1">
      <c r="A72" s="39"/>
      <c r="B72" s="56"/>
      <c r="C72" s="79"/>
      <c r="D72" s="79"/>
      <c r="E72" s="79"/>
      <c r="F72" s="79"/>
      <c r="G72" s="60"/>
      <c r="H72" s="60"/>
      <c r="I72" s="60"/>
      <c r="J72" s="60"/>
      <c r="K72" s="60"/>
      <c r="L72" s="60"/>
      <c r="M72" s="60"/>
      <c r="N72" s="63"/>
      <c r="O72" s="39"/>
      <c r="P72" s="39"/>
      <c r="Q72" s="39"/>
      <c r="R72" s="39"/>
      <c r="S72" s="39"/>
      <c r="T72" s="39"/>
      <c r="U72" s="39"/>
      <c r="V72" s="39"/>
    </row>
    <row r="73" spans="1:22" ht="18" customHeight="1" thickBot="1">
      <c r="A73" s="39"/>
      <c r="B73" s="56"/>
      <c r="C73" s="149" t="s">
        <v>49</v>
      </c>
      <c r="D73" s="150"/>
      <c r="E73" s="151"/>
      <c r="F73" s="79" t="s">
        <v>57</v>
      </c>
      <c r="G73" s="64">
        <f>+E65</f>
        <v>18181628.659999996</v>
      </c>
      <c r="H73" s="60"/>
      <c r="I73" s="60"/>
      <c r="J73" s="65">
        <f>G73/G71</f>
        <v>1.0043956548397495</v>
      </c>
      <c r="K73" s="100" t="s">
        <v>50</v>
      </c>
      <c r="L73" s="66"/>
      <c r="M73" s="66"/>
      <c r="N73" s="63"/>
      <c r="O73" s="39"/>
      <c r="P73" s="39"/>
      <c r="Q73" s="39"/>
      <c r="R73" s="39"/>
      <c r="S73" s="39"/>
      <c r="T73" s="39"/>
      <c r="U73" s="39"/>
      <c r="V73" s="39"/>
    </row>
    <row r="74" spans="1:22" ht="17.25" thickBot="1">
      <c r="B74" s="67"/>
      <c r="C74" s="79"/>
      <c r="D74" s="79"/>
      <c r="E74" s="79"/>
      <c r="F74" s="79"/>
      <c r="G74" s="60"/>
      <c r="H74" s="60"/>
      <c r="I74" s="60"/>
      <c r="J74" s="60"/>
      <c r="K74" s="101"/>
      <c r="L74" s="60"/>
      <c r="M74" s="60"/>
      <c r="N74" s="63"/>
    </row>
    <row r="75" spans="1:22" ht="18" customHeight="1" thickBot="1">
      <c r="B75" s="67"/>
      <c r="C75" s="152" t="s">
        <v>58</v>
      </c>
      <c r="D75" s="153"/>
      <c r="E75" s="154"/>
      <c r="F75" s="79" t="s">
        <v>56</v>
      </c>
      <c r="G75" s="68">
        <f>+K65</f>
        <v>21265286.862</v>
      </c>
      <c r="H75" s="60"/>
      <c r="I75" s="60"/>
      <c r="J75" s="69">
        <f>+G75/J65</f>
        <v>0.97466914083372325</v>
      </c>
      <c r="K75" s="102" t="s">
        <v>51</v>
      </c>
      <c r="L75" s="70"/>
      <c r="M75" s="70"/>
      <c r="N75" s="63"/>
    </row>
    <row r="76" spans="1:22" ht="17.25" thickBot="1">
      <c r="B76" s="67"/>
      <c r="C76" s="79"/>
      <c r="D76" s="79"/>
      <c r="E76" s="79"/>
      <c r="F76" s="79"/>
      <c r="G76" s="60"/>
      <c r="H76" s="60"/>
      <c r="I76" s="60"/>
      <c r="J76" s="60"/>
      <c r="K76" s="101"/>
      <c r="L76" s="60"/>
      <c r="M76" s="60"/>
      <c r="N76" s="63"/>
    </row>
    <row r="77" spans="1:22" ht="18" customHeight="1" thickBot="1">
      <c r="B77" s="67"/>
      <c r="C77" s="152" t="s">
        <v>52</v>
      </c>
      <c r="D77" s="153"/>
      <c r="E77" s="154"/>
      <c r="F77" s="79" t="s">
        <v>56</v>
      </c>
      <c r="G77" s="71">
        <f>+O65</f>
        <v>552667.52999999991</v>
      </c>
      <c r="H77" s="60"/>
      <c r="I77" s="60"/>
      <c r="J77" s="72">
        <f>+G77/J65</f>
        <v>2.5330859166276688E-2</v>
      </c>
      <c r="K77" s="102" t="s">
        <v>51</v>
      </c>
      <c r="L77" s="73"/>
      <c r="M77" s="73"/>
      <c r="N77" s="63"/>
    </row>
    <row r="78" spans="1:22" ht="17.25" thickBot="1">
      <c r="B78" s="67"/>
      <c r="C78" s="79"/>
      <c r="D78" s="79"/>
      <c r="E78" s="79"/>
      <c r="F78" s="79"/>
      <c r="G78" s="60"/>
      <c r="H78" s="60"/>
      <c r="I78" s="60"/>
      <c r="J78" s="60"/>
      <c r="K78" s="101"/>
      <c r="L78" s="60"/>
      <c r="M78" s="60"/>
      <c r="N78" s="63"/>
    </row>
    <row r="79" spans="1:22" ht="18" customHeight="1" thickBot="1">
      <c r="B79" s="67"/>
      <c r="C79" s="152" t="s">
        <v>54</v>
      </c>
      <c r="D79" s="153"/>
      <c r="E79" s="154"/>
      <c r="F79" s="79" t="s">
        <v>56</v>
      </c>
      <c r="G79" s="74" t="e">
        <f>+P65</f>
        <v>#REF!</v>
      </c>
      <c r="H79" s="60"/>
      <c r="I79" s="60"/>
      <c r="J79" s="75" t="e">
        <f>+G79/J65</f>
        <v>#REF!</v>
      </c>
      <c r="K79" s="102" t="s">
        <v>51</v>
      </c>
      <c r="L79" s="70"/>
      <c r="M79" s="70"/>
      <c r="N79" s="63"/>
    </row>
    <row r="80" spans="1:22" ht="5.25" customHeight="1" thickBot="1">
      <c r="B80" s="76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8"/>
    </row>
  </sheetData>
  <mergeCells count="18">
    <mergeCell ref="C73:E73"/>
    <mergeCell ref="C75:E75"/>
    <mergeCell ref="C77:E77"/>
    <mergeCell ref="C79:E79"/>
    <mergeCell ref="M5:N5"/>
    <mergeCell ref="M6:N6"/>
    <mergeCell ref="M7:N7"/>
    <mergeCell ref="M8:N8"/>
    <mergeCell ref="O10:P10"/>
    <mergeCell ref="C71:E71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54" fitToHeight="4" orientation="landscape" r:id="rId1"/>
  <rowBreaks count="1" manualBreakCount="1">
    <brk id="67" max="15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8"/>
  <sheetViews>
    <sheetView workbookViewId="0">
      <selection activeCell="F1" sqref="F1:F2"/>
    </sheetView>
  </sheetViews>
  <sheetFormatPr baseColWidth="10" defaultColWidth="11.42578125" defaultRowHeight="16.5"/>
  <cols>
    <col min="1" max="1" width="19.85546875" style="7" customWidth="1"/>
    <col min="2" max="3" width="11.1406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7.5703125" style="7" bestFit="1" customWidth="1"/>
    <col min="23" max="16384" width="11.42578125" style="7"/>
  </cols>
  <sheetData>
    <row r="1" spans="1:22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14188653.83</v>
      </c>
      <c r="N1" s="144"/>
      <c r="O1" s="5" t="s">
        <v>3</v>
      </c>
      <c r="P1" s="6"/>
    </row>
    <row r="2" spans="1:22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2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/>
      <c r="N3" s="137"/>
      <c r="O3" s="11"/>
      <c r="P3" s="12"/>
    </row>
    <row r="4" spans="1:22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2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2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2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14188653.83</v>
      </c>
      <c r="N7" s="145"/>
      <c r="O7" s="11"/>
      <c r="P7" s="12"/>
    </row>
    <row r="8" spans="1:22">
      <c r="A8" s="23" t="s">
        <v>18</v>
      </c>
      <c r="B8" s="24"/>
      <c r="C8" s="24"/>
      <c r="D8" s="25" t="s">
        <v>81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17026384.596000001</v>
      </c>
      <c r="N8" s="146"/>
      <c r="O8" s="30"/>
      <c r="P8" s="31"/>
    </row>
    <row r="10" spans="1:22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O10" s="147" t="s">
        <v>22</v>
      </c>
      <c r="P10" s="148"/>
    </row>
    <row r="11" spans="1:22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2" ht="19.5" customHeight="1">
      <c r="A12" s="41" t="s">
        <v>97</v>
      </c>
      <c r="B12" s="42"/>
      <c r="C12" s="125"/>
      <c r="D12" s="44"/>
      <c r="E12" s="36">
        <v>1025150.67</v>
      </c>
      <c r="F12" s="36">
        <f>-E12*$F$10</f>
        <v>0</v>
      </c>
      <c r="G12" s="36">
        <f>E12*$G$10</f>
        <v>0</v>
      </c>
      <c r="H12" s="36"/>
      <c r="I12" s="36">
        <f>+E12+F12-G12-H12</f>
        <v>1025150.67</v>
      </c>
      <c r="J12" s="36">
        <f>+I12+(I12*$I$4)</f>
        <v>1230180.804</v>
      </c>
      <c r="K12" s="36">
        <v>1230180.804</v>
      </c>
      <c r="L12" s="37"/>
      <c r="M12" s="37"/>
      <c r="N12" s="92">
        <f>-IF(L12=0,,IF(M12=0,($C$10-L12),M12-L12))</f>
        <v>0</v>
      </c>
      <c r="O12" s="36">
        <f>+J12-K12</f>
        <v>0</v>
      </c>
      <c r="P12" s="36" t="e">
        <f>+IF($C$10&lt;L12,0,O12)</f>
        <v>#REF!</v>
      </c>
      <c r="Q12" s="39"/>
      <c r="R12" s="40">
        <f>IF(N12&gt;=0,0,(IF(-N12&lt;=60,O12,0)))</f>
        <v>0</v>
      </c>
      <c r="S12" s="40">
        <f>IF(N12&gt;=0,0,(IF(N12&gt;=-60,0,IF(-60&gt;=N12,IF(N12&gt;=-120,O12,0)))))</f>
        <v>0</v>
      </c>
      <c r="T12" s="40">
        <f>IF(N12&gt;=0,0,(IF(N12&gt;-60,0,IF(-60&gt;=N12,IF(N12&gt;=-120,0,IF(N12&gt;=-180,O12,0))))))</f>
        <v>0</v>
      </c>
      <c r="U12" s="40">
        <f>IF(N12&gt;=0,0,(IF(N12&gt;-60,0,IF(-60&gt;=N12,IF(N12&gt;-120,0,IF(N12&gt;=-180,0,IF(N12&gt;=-365,O12,0)))))))</f>
        <v>0</v>
      </c>
      <c r="V12" s="40">
        <f>IF(N12&gt;=0,0,IF(365&lt;-N12,O12,0))</f>
        <v>0</v>
      </c>
    </row>
    <row r="13" spans="1:22" s="99" customFormat="1" ht="15">
      <c r="A13" s="104"/>
      <c r="B13" s="105"/>
      <c r="C13" s="106"/>
      <c r="D13" s="107"/>
      <c r="E13" s="108">
        <f t="shared" ref="E13:K13" si="0">SUM(E12:E12)</f>
        <v>1025150.67</v>
      </c>
      <c r="F13" s="108">
        <f t="shared" si="0"/>
        <v>0</v>
      </c>
      <c r="G13" s="108">
        <f t="shared" si="0"/>
        <v>0</v>
      </c>
      <c r="H13" s="108">
        <f t="shared" si="0"/>
        <v>0</v>
      </c>
      <c r="I13" s="108">
        <f t="shared" si="0"/>
        <v>1025150.67</v>
      </c>
      <c r="J13" s="113">
        <f t="shared" si="0"/>
        <v>1230180.804</v>
      </c>
      <c r="K13" s="113">
        <f t="shared" si="0"/>
        <v>1230180.804</v>
      </c>
      <c r="L13" s="109"/>
      <c r="M13" s="109"/>
      <c r="N13" s="110"/>
      <c r="O13" s="108">
        <f>SUM(O12:O12)</f>
        <v>0</v>
      </c>
      <c r="P13" s="108" t="e">
        <f>SUM(P12:P12)</f>
        <v>#REF!</v>
      </c>
      <c r="Q13" s="114"/>
      <c r="R13" s="115">
        <f>SUM(R12:R12)</f>
        <v>0</v>
      </c>
      <c r="S13" s="115">
        <f>SUM(S12:S12)</f>
        <v>0</v>
      </c>
      <c r="T13" s="115">
        <f>SUM(T12:T12)</f>
        <v>0</v>
      </c>
      <c r="U13" s="115">
        <f>SUM(U12:U12)</f>
        <v>0</v>
      </c>
      <c r="V13" s="115">
        <f>SUM(V12:V12)</f>
        <v>0</v>
      </c>
    </row>
    <row r="14" spans="1:22" ht="19.5" customHeight="1">
      <c r="A14" s="41" t="s">
        <v>62</v>
      </c>
      <c r="B14" s="42"/>
      <c r="C14" s="125"/>
      <c r="D14" s="44"/>
      <c r="E14" s="36">
        <v>188589.74</v>
      </c>
      <c r="F14" s="36">
        <f>-E14*$F$10</f>
        <v>0</v>
      </c>
      <c r="G14" s="36">
        <f>E14*$G$10</f>
        <v>0</v>
      </c>
      <c r="H14" s="36"/>
      <c r="I14" s="36">
        <f>+E14+F14-G14-H14</f>
        <v>188589.74</v>
      </c>
      <c r="J14" s="36">
        <f>+I14+(I14*$I$4)</f>
        <v>226307.68799999999</v>
      </c>
      <c r="K14" s="36">
        <v>226307.68799999999</v>
      </c>
      <c r="L14" s="37"/>
      <c r="M14" s="37"/>
      <c r="N14" s="92">
        <f>-IF(L14=0,,IF(M14=0,($C$10-L14),M14-L14))</f>
        <v>0</v>
      </c>
      <c r="O14" s="36">
        <f>+J14-K14</f>
        <v>0</v>
      </c>
      <c r="P14" s="36" t="e">
        <f>+IF($C$10&lt;L14,0,O14)</f>
        <v>#REF!</v>
      </c>
      <c r="Q14" s="39"/>
      <c r="R14" s="40">
        <f>IF(N14&gt;=0,0,(IF(-N14&lt;=60,O14,0)))</f>
        <v>0</v>
      </c>
      <c r="S14" s="40">
        <f>IF(N14&gt;=0,0,(IF(N14&gt;=-60,0,IF(-60&gt;=N14,IF(N14&gt;=-120,O14,0)))))</f>
        <v>0</v>
      </c>
      <c r="T14" s="40">
        <f>IF(N14&gt;=0,0,(IF(N14&gt;-60,0,IF(-60&gt;=N14,IF(N14&gt;=-120,0,IF(N14&gt;=-180,O14,0))))))</f>
        <v>0</v>
      </c>
      <c r="U14" s="40">
        <f>IF(N14&gt;=0,0,(IF(N14&gt;-60,0,IF(-60&gt;=N14,IF(N14&gt;-120,0,IF(N14&gt;=-180,0,IF(N14&gt;=-365,O14,0)))))))</f>
        <v>0</v>
      </c>
      <c r="V14" s="40">
        <f>IF(N14&gt;=0,0,IF(365&lt;-N14,O14,0))</f>
        <v>0</v>
      </c>
    </row>
    <row r="15" spans="1:22" s="99" customFormat="1" ht="15">
      <c r="A15" s="104"/>
      <c r="B15" s="105"/>
      <c r="C15" s="106"/>
      <c r="D15" s="107"/>
      <c r="E15" s="108">
        <f t="shared" ref="E15:K15" si="1">SUM(E14:E14)</f>
        <v>188589.74</v>
      </c>
      <c r="F15" s="108">
        <f t="shared" si="1"/>
        <v>0</v>
      </c>
      <c r="G15" s="108">
        <f t="shared" si="1"/>
        <v>0</v>
      </c>
      <c r="H15" s="108">
        <f t="shared" si="1"/>
        <v>0</v>
      </c>
      <c r="I15" s="108">
        <f t="shared" si="1"/>
        <v>188589.74</v>
      </c>
      <c r="J15" s="113">
        <f t="shared" si="1"/>
        <v>226307.68799999999</v>
      </c>
      <c r="K15" s="113">
        <f t="shared" si="1"/>
        <v>226307.68799999999</v>
      </c>
      <c r="L15" s="109"/>
      <c r="M15" s="109"/>
      <c r="N15" s="110"/>
      <c r="O15" s="108">
        <f>SUM(O14:O14)</f>
        <v>0</v>
      </c>
      <c r="P15" s="108" t="e">
        <f>SUM(P14:P14)</f>
        <v>#REF!</v>
      </c>
      <c r="Q15" s="114"/>
      <c r="R15" s="115">
        <f>SUM(R14:R14)</f>
        <v>0</v>
      </c>
      <c r="S15" s="115">
        <f>SUM(S14:S14)</f>
        <v>0</v>
      </c>
      <c r="T15" s="115">
        <f>SUM(T14:T14)</f>
        <v>0</v>
      </c>
      <c r="U15" s="115">
        <f>SUM(U14:U14)</f>
        <v>0</v>
      </c>
      <c r="V15" s="115">
        <f>SUM(V14:V14)</f>
        <v>0</v>
      </c>
    </row>
    <row r="16" spans="1:22" ht="19.5" customHeight="1">
      <c r="A16" s="41" t="s">
        <v>63</v>
      </c>
      <c r="B16" s="42"/>
      <c r="C16" s="43"/>
      <c r="D16" s="44"/>
      <c r="E16" s="36">
        <v>207155.72500000003</v>
      </c>
      <c r="F16" s="36">
        <f>-E16*$F$10</f>
        <v>0</v>
      </c>
      <c r="G16" s="36">
        <f>E16*$G$10</f>
        <v>0</v>
      </c>
      <c r="H16" s="36"/>
      <c r="I16" s="36">
        <f>+E16+F16-G16-H16</f>
        <v>207155.72500000003</v>
      </c>
      <c r="J16" s="36">
        <f>+I16+(I16*$I$4)</f>
        <v>248586.87000000005</v>
      </c>
      <c r="K16" s="36">
        <v>248586.87000000005</v>
      </c>
      <c r="L16" s="37"/>
      <c r="M16" s="37"/>
      <c r="N16" s="92">
        <f>-IF(L16=0,,IF(M16=0,($C$10-L16),M16-L16))</f>
        <v>0</v>
      </c>
      <c r="O16" s="36">
        <f>+J16-K16</f>
        <v>0</v>
      </c>
      <c r="P16" s="36" t="e">
        <f>+IF($C$10&lt;L16,0,O16)</f>
        <v>#REF!</v>
      </c>
      <c r="Q16" s="39"/>
      <c r="R16" s="40">
        <f>IF(N16&gt;=0,0,(IF(-N16&lt;=60,O16,0)))</f>
        <v>0</v>
      </c>
      <c r="S16" s="40">
        <f>IF(N16&gt;=0,0,(IF(N16&gt;=-60,0,IF(-60&gt;=N16,IF(N16&gt;=-120,O16,0)))))</f>
        <v>0</v>
      </c>
      <c r="T16" s="40">
        <f>IF(N16&gt;=0,0,(IF(N16&gt;-60,0,IF(-60&gt;=N16,IF(N16&gt;=-120,0,IF(N16&gt;=-180,O16,0))))))</f>
        <v>0</v>
      </c>
      <c r="U16" s="40">
        <f>IF(N16&gt;=0,0,(IF(N16&gt;-60,0,IF(-60&gt;=N16,IF(N16&gt;-120,0,IF(N16&gt;=-180,0,IF(N16&gt;=-365,O16,0)))))))</f>
        <v>0</v>
      </c>
      <c r="V16" s="40">
        <f>IF(N16&gt;=0,0,IF(365&lt;-N16,O16,0))</f>
        <v>0</v>
      </c>
    </row>
    <row r="17" spans="1:22" s="99" customFormat="1" ht="15">
      <c r="A17" s="104"/>
      <c r="B17" s="104"/>
      <c r="C17" s="106"/>
      <c r="D17" s="107"/>
      <c r="E17" s="108">
        <f t="shared" ref="E17:K17" si="2">SUM(E16:E16)</f>
        <v>207155.72500000003</v>
      </c>
      <c r="F17" s="108">
        <f t="shared" si="2"/>
        <v>0</v>
      </c>
      <c r="G17" s="108">
        <f t="shared" si="2"/>
        <v>0</v>
      </c>
      <c r="H17" s="108">
        <f t="shared" si="2"/>
        <v>0</v>
      </c>
      <c r="I17" s="108">
        <f t="shared" si="2"/>
        <v>207155.72500000003</v>
      </c>
      <c r="J17" s="113">
        <f t="shared" si="2"/>
        <v>248586.87000000005</v>
      </c>
      <c r="K17" s="113">
        <f t="shared" si="2"/>
        <v>248586.87000000005</v>
      </c>
      <c r="L17" s="109"/>
      <c r="M17" s="109"/>
      <c r="N17" s="110"/>
      <c r="O17" s="108">
        <f>SUM(O16:O16)</f>
        <v>0</v>
      </c>
      <c r="P17" s="108" t="e">
        <f>SUM(P16:P16)</f>
        <v>#REF!</v>
      </c>
      <c r="Q17" s="111"/>
      <c r="R17" s="112">
        <f>SUM(R16:R16)</f>
        <v>0</v>
      </c>
      <c r="S17" s="112">
        <f>SUM(S16:S16)</f>
        <v>0</v>
      </c>
      <c r="T17" s="112">
        <f>SUM(T16:T16)</f>
        <v>0</v>
      </c>
      <c r="U17" s="112">
        <f>SUM(U16:U16)</f>
        <v>0</v>
      </c>
      <c r="V17" s="112">
        <f>SUM(V16:V16)</f>
        <v>0</v>
      </c>
    </row>
    <row r="18" spans="1:22" ht="19.5" customHeight="1">
      <c r="A18" s="41" t="s">
        <v>98</v>
      </c>
      <c r="B18" s="41"/>
      <c r="C18" s="43"/>
      <c r="D18" s="44"/>
      <c r="E18" s="36">
        <v>3906.7000000000003</v>
      </c>
      <c r="F18" s="36">
        <f>-E18*$F$10</f>
        <v>0</v>
      </c>
      <c r="G18" s="36">
        <f>E18*$G$10</f>
        <v>0</v>
      </c>
      <c r="H18" s="36"/>
      <c r="I18" s="36">
        <f>+E18+F18-G18-H18</f>
        <v>3906.7000000000003</v>
      </c>
      <c r="J18" s="36">
        <f>+I18+(I18*$I$4)</f>
        <v>4688.0400000000009</v>
      </c>
      <c r="K18" s="36">
        <v>4688.0400000000009</v>
      </c>
      <c r="L18" s="37"/>
      <c r="M18" s="37"/>
      <c r="N18" s="92">
        <f>-IF(L18=0,,IF(M18=0,($C$10-L18),M18-L18))</f>
        <v>0</v>
      </c>
      <c r="O18" s="36">
        <f>+J18-K18</f>
        <v>0</v>
      </c>
      <c r="P18" s="36" t="e">
        <f>+IF($C$10&lt;L18,0,O18)</f>
        <v>#REF!</v>
      </c>
      <c r="Q18" s="39"/>
      <c r="R18" s="40">
        <f>IF(N18&gt;=0,0,(IF(-N18&lt;=60,O18,0)))</f>
        <v>0</v>
      </c>
      <c r="S18" s="40">
        <f>IF(N18&gt;=0,0,(IF(N18&gt;=-60,0,IF(-60&gt;=N18,IF(N18&gt;=-120,O18,0)))))</f>
        <v>0</v>
      </c>
      <c r="T18" s="40">
        <f>IF(N18&gt;=0,0,(IF(N18&gt;-60,0,IF(-60&gt;=N18,IF(N18&gt;=-120,0,IF(N18&gt;=-180,O18,0))))))</f>
        <v>0</v>
      </c>
      <c r="U18" s="40">
        <f>IF(N18&gt;=0,0,(IF(N18&gt;-60,0,IF(-60&gt;=N18,IF(N18&gt;-120,0,IF(N18&gt;=-180,0,IF(N18&gt;=-365,O18,0)))))))</f>
        <v>0</v>
      </c>
      <c r="V18" s="40">
        <f>IF(N18&gt;=0,0,IF(365&lt;-N18,O18,0))</f>
        <v>0</v>
      </c>
    </row>
    <row r="19" spans="1:22" s="99" customFormat="1" ht="15">
      <c r="A19" s="104"/>
      <c r="B19" s="104"/>
      <c r="C19" s="106"/>
      <c r="D19" s="107"/>
      <c r="E19" s="108">
        <f t="shared" ref="E19:K19" si="3">SUM(E18:E18)</f>
        <v>3906.7000000000003</v>
      </c>
      <c r="F19" s="108">
        <f t="shared" si="3"/>
        <v>0</v>
      </c>
      <c r="G19" s="108">
        <f t="shared" si="3"/>
        <v>0</v>
      </c>
      <c r="H19" s="108">
        <f t="shared" si="3"/>
        <v>0</v>
      </c>
      <c r="I19" s="108">
        <f t="shared" si="3"/>
        <v>3906.7000000000003</v>
      </c>
      <c r="J19" s="113">
        <f t="shared" si="3"/>
        <v>4688.0400000000009</v>
      </c>
      <c r="K19" s="113">
        <f t="shared" si="3"/>
        <v>4688.0400000000009</v>
      </c>
      <c r="L19" s="109"/>
      <c r="M19" s="109"/>
      <c r="N19" s="110"/>
      <c r="O19" s="108">
        <f>SUM(O18)</f>
        <v>0</v>
      </c>
      <c r="P19" s="108" t="e">
        <f>SUM(P18)</f>
        <v>#REF!</v>
      </c>
      <c r="Q19" s="111"/>
      <c r="R19" s="112">
        <f>SUM(R18)</f>
        <v>0</v>
      </c>
      <c r="S19" s="112">
        <f>SUM(S18)</f>
        <v>0</v>
      </c>
      <c r="T19" s="112">
        <f>SUM(T18)</f>
        <v>0</v>
      </c>
      <c r="U19" s="112">
        <f>SUM(U18)</f>
        <v>0</v>
      </c>
      <c r="V19" s="112">
        <f>SUM(V18)</f>
        <v>0</v>
      </c>
    </row>
    <row r="20" spans="1:22" ht="19.5" customHeight="1">
      <c r="A20" s="41" t="s">
        <v>73</v>
      </c>
      <c r="B20" s="41"/>
      <c r="C20" s="43"/>
      <c r="D20" s="44"/>
      <c r="E20" s="36">
        <v>6924088.1833333327</v>
      </c>
      <c r="F20" s="36">
        <f>-E20*$F$10</f>
        <v>0</v>
      </c>
      <c r="G20" s="36">
        <f>E20*$G$10</f>
        <v>0</v>
      </c>
      <c r="H20" s="36"/>
      <c r="I20" s="36">
        <f>+E20+F20-G20-H20</f>
        <v>6924088.1833333327</v>
      </c>
      <c r="J20" s="36">
        <f>+I20+(I20*$I$4)</f>
        <v>8308905.8199999994</v>
      </c>
      <c r="K20" s="36">
        <v>8308905.8199999994</v>
      </c>
      <c r="L20" s="37"/>
      <c r="M20" s="37"/>
      <c r="N20" s="92">
        <f>-IF(L20=0,,IF(M20=0,($C$10-L20),M20-L20))</f>
        <v>0</v>
      </c>
      <c r="O20" s="36">
        <f>+J20-K20</f>
        <v>0</v>
      </c>
      <c r="P20" s="36" t="e">
        <f>+IF($C$10&lt;L20,0,O20)</f>
        <v>#REF!</v>
      </c>
      <c r="Q20" s="39"/>
      <c r="R20" s="40">
        <f>IF(N20&gt;=0,0,(IF(-N20&lt;=60,O20,0)))</f>
        <v>0</v>
      </c>
      <c r="S20" s="40">
        <f>IF(N20&gt;=0,0,(IF(N20&gt;=-60,0,IF(-60&gt;=N20,IF(N20&gt;=-120,O20,0)))))</f>
        <v>0</v>
      </c>
      <c r="T20" s="40">
        <f>IF(N20&gt;=0,0,(IF(N20&gt;-60,0,IF(-60&gt;=N20,IF(N20&gt;=-120,0,IF(N20&gt;=-180,O20,0))))))</f>
        <v>0</v>
      </c>
      <c r="U20" s="40">
        <f>IF(N20&gt;=0,0,(IF(N20&gt;-60,0,IF(-60&gt;=N20,IF(N20&gt;-120,0,IF(N20&gt;=-180,0,IF(N20&gt;=-365,O20,0)))))))</f>
        <v>0</v>
      </c>
      <c r="V20" s="40">
        <f>IF(N20&gt;=0,0,IF(365&lt;-N20,O20,0))</f>
        <v>0</v>
      </c>
    </row>
    <row r="21" spans="1:22" s="99" customFormat="1" ht="15">
      <c r="A21" s="104"/>
      <c r="B21" s="104"/>
      <c r="C21" s="106"/>
      <c r="D21" s="107"/>
      <c r="E21" s="108">
        <f t="shared" ref="E21:K21" si="4">SUM(E20:E20)</f>
        <v>6924088.1833333327</v>
      </c>
      <c r="F21" s="108">
        <f t="shared" si="4"/>
        <v>0</v>
      </c>
      <c r="G21" s="108">
        <f t="shared" si="4"/>
        <v>0</v>
      </c>
      <c r="H21" s="108">
        <f t="shared" si="4"/>
        <v>0</v>
      </c>
      <c r="I21" s="108">
        <f t="shared" si="4"/>
        <v>6924088.1833333327</v>
      </c>
      <c r="J21" s="113">
        <f t="shared" si="4"/>
        <v>8308905.8199999994</v>
      </c>
      <c r="K21" s="113">
        <f t="shared" si="4"/>
        <v>8308905.8199999994</v>
      </c>
      <c r="L21" s="109"/>
      <c r="M21" s="109"/>
      <c r="N21" s="110"/>
      <c r="O21" s="108">
        <f>SUM(O20:O20)</f>
        <v>0</v>
      </c>
      <c r="P21" s="108" t="e">
        <f>SUM(P20:P20)</f>
        <v>#REF!</v>
      </c>
      <c r="Q21" s="111"/>
      <c r="R21" s="112">
        <f>SUM(R20:R20)</f>
        <v>0</v>
      </c>
      <c r="S21" s="112">
        <f>SUM(S20:S20)</f>
        <v>0</v>
      </c>
      <c r="T21" s="112">
        <f>SUM(T20:T20)</f>
        <v>0</v>
      </c>
      <c r="U21" s="112">
        <f>SUM(U20:U20)</f>
        <v>0</v>
      </c>
      <c r="V21" s="112">
        <f>SUM(V20:V20)</f>
        <v>0</v>
      </c>
    </row>
    <row r="22" spans="1:22" ht="19.5" customHeight="1">
      <c r="A22" s="41" t="s">
        <v>74</v>
      </c>
      <c r="B22" s="41"/>
      <c r="C22" s="43"/>
      <c r="D22" s="44"/>
      <c r="E22" s="36">
        <v>790657.30166666664</v>
      </c>
      <c r="F22" s="36">
        <f>-E22*$F$10</f>
        <v>0</v>
      </c>
      <c r="G22" s="36">
        <f>E22*$G$10</f>
        <v>0</v>
      </c>
      <c r="H22" s="36"/>
      <c r="I22" s="36">
        <f>+E22+F22-G22-H22</f>
        <v>790657.30166666664</v>
      </c>
      <c r="J22" s="36">
        <f>+I22+(I22*$I$4)</f>
        <v>948788.76199999999</v>
      </c>
      <c r="K22" s="36">
        <v>948788.76199999999</v>
      </c>
      <c r="L22" s="37"/>
      <c r="M22" s="37"/>
      <c r="N22" s="92">
        <f>-IF(L22=0,,IF(M22=0,($C$10-L22),M22-L22))</f>
        <v>0</v>
      </c>
      <c r="O22" s="36">
        <f>+J22-K22</f>
        <v>0</v>
      </c>
      <c r="P22" s="36" t="e">
        <f>+IF($C$10&lt;L22,0,O22)</f>
        <v>#REF!</v>
      </c>
      <c r="Q22" s="39"/>
      <c r="R22" s="40">
        <f>IF(N22&gt;=0,0,(IF(-N22&lt;=60,O22,0)))</f>
        <v>0</v>
      </c>
      <c r="S22" s="40">
        <f>IF(N22&gt;=0,0,(IF(N22&gt;=-60,0,IF(-60&gt;=N22,IF(N22&gt;=-120,O22,0)))))</f>
        <v>0</v>
      </c>
      <c r="T22" s="40">
        <f>IF(N22&gt;=0,0,(IF(N22&gt;-60,0,IF(-60&gt;=N22,IF(N22&gt;=-120,0,IF(N22&gt;=-180,O22,0))))))</f>
        <v>0</v>
      </c>
      <c r="U22" s="40">
        <f>IF(N22&gt;=0,0,(IF(N22&gt;-60,0,IF(-60&gt;=N22,IF(N22&gt;-120,0,IF(N22&gt;=-180,0,IF(N22&gt;=-365,O22,0)))))))</f>
        <v>0</v>
      </c>
      <c r="V22" s="40">
        <f>IF(N22&gt;=0,0,IF(365&lt;-N22,O22,0))</f>
        <v>0</v>
      </c>
    </row>
    <row r="23" spans="1:22" s="99" customFormat="1" ht="15">
      <c r="A23" s="104"/>
      <c r="B23" s="105"/>
      <c r="C23" s="106"/>
      <c r="D23" s="107"/>
      <c r="E23" s="108">
        <f t="shared" ref="E23:K23" si="5">SUM(E22:E22)</f>
        <v>790657.30166666664</v>
      </c>
      <c r="F23" s="108">
        <f t="shared" si="5"/>
        <v>0</v>
      </c>
      <c r="G23" s="108">
        <f t="shared" si="5"/>
        <v>0</v>
      </c>
      <c r="H23" s="108">
        <f t="shared" si="5"/>
        <v>0</v>
      </c>
      <c r="I23" s="108">
        <f t="shared" si="5"/>
        <v>790657.30166666664</v>
      </c>
      <c r="J23" s="113">
        <f t="shared" si="5"/>
        <v>948788.76199999999</v>
      </c>
      <c r="K23" s="113">
        <f t="shared" si="5"/>
        <v>948788.76199999999</v>
      </c>
      <c r="L23" s="109"/>
      <c r="M23" s="109"/>
      <c r="N23" s="110"/>
      <c r="O23" s="108">
        <f>SUM(O22)</f>
        <v>0</v>
      </c>
      <c r="P23" s="108" t="e">
        <f>SUM(P22)</f>
        <v>#REF!</v>
      </c>
      <c r="Q23" s="111"/>
      <c r="R23" s="112">
        <f>SUM(R22)</f>
        <v>0</v>
      </c>
      <c r="S23" s="112">
        <f>SUM(S22)</f>
        <v>0</v>
      </c>
      <c r="T23" s="112">
        <f>SUM(T22)</f>
        <v>0</v>
      </c>
      <c r="U23" s="112">
        <f>SUM(U22)</f>
        <v>0</v>
      </c>
      <c r="V23" s="112">
        <f>SUM(V22)</f>
        <v>0</v>
      </c>
    </row>
    <row r="24" spans="1:22" ht="19.5" customHeight="1">
      <c r="A24" s="41" t="s">
        <v>99</v>
      </c>
      <c r="B24" s="41"/>
      <c r="C24" s="43"/>
      <c r="D24" s="44"/>
      <c r="E24" s="36">
        <v>4262</v>
      </c>
      <c r="F24" s="36">
        <f>-E24*$F$10</f>
        <v>0</v>
      </c>
      <c r="G24" s="36">
        <f>E24*$G$10</f>
        <v>0</v>
      </c>
      <c r="H24" s="36"/>
      <c r="I24" s="36">
        <f>+E24+F24-G24-H24</f>
        <v>4262</v>
      </c>
      <c r="J24" s="36">
        <f>+I24+(I24*$I$4)</f>
        <v>5114.3999999999996</v>
      </c>
      <c r="K24" s="36">
        <v>5114.3999999999996</v>
      </c>
      <c r="L24" s="37"/>
      <c r="M24" s="37"/>
      <c r="N24" s="92">
        <f>-IF(L24=0,,IF(M24=0,($C$10-L24),M24-L24))</f>
        <v>0</v>
      </c>
      <c r="O24" s="36">
        <f>+J24-K24</f>
        <v>0</v>
      </c>
      <c r="P24" s="36" t="e">
        <f>+IF($C$10&lt;L24,0,O24)</f>
        <v>#REF!</v>
      </c>
      <c r="Q24" s="39"/>
      <c r="R24" s="40">
        <f>IF(N24&gt;=0,0,(IF(-N24&lt;=60,O24,0)))</f>
        <v>0</v>
      </c>
      <c r="S24" s="40">
        <f>IF(N24&gt;=0,0,(IF(N24&gt;=-60,0,IF(-60&gt;=N24,IF(N24&gt;=-120,O24,0)))))</f>
        <v>0</v>
      </c>
      <c r="T24" s="40">
        <f>IF(N24&gt;=0,0,(IF(N24&gt;-60,0,IF(-60&gt;=N24,IF(N24&gt;=-120,0,IF(N24&gt;=-180,O24,0))))))</f>
        <v>0</v>
      </c>
      <c r="U24" s="40">
        <f>IF(N24&gt;=0,0,(IF(N24&gt;-60,0,IF(-60&gt;=N24,IF(N24&gt;-120,0,IF(N24&gt;=-180,0,IF(N24&gt;=-365,O24,0)))))))</f>
        <v>0</v>
      </c>
      <c r="V24" s="40">
        <f>IF(N24&gt;=0,0,IF(365&lt;-N24,O24,0))</f>
        <v>0</v>
      </c>
    </row>
    <row r="25" spans="1:22" s="99" customFormat="1" ht="15">
      <c r="A25" s="104"/>
      <c r="B25" s="105"/>
      <c r="C25" s="106"/>
      <c r="D25" s="107"/>
      <c r="E25" s="108">
        <f t="shared" ref="E25:K25" si="6">SUM(E24:E24)</f>
        <v>4262</v>
      </c>
      <c r="F25" s="108">
        <f t="shared" si="6"/>
        <v>0</v>
      </c>
      <c r="G25" s="108">
        <f t="shared" si="6"/>
        <v>0</v>
      </c>
      <c r="H25" s="108">
        <f t="shared" si="6"/>
        <v>0</v>
      </c>
      <c r="I25" s="108">
        <f t="shared" si="6"/>
        <v>4262</v>
      </c>
      <c r="J25" s="113">
        <f t="shared" si="6"/>
        <v>5114.3999999999996</v>
      </c>
      <c r="K25" s="113">
        <f t="shared" si="6"/>
        <v>5114.3999999999996</v>
      </c>
      <c r="L25" s="109"/>
      <c r="M25" s="109"/>
      <c r="N25" s="110"/>
      <c r="O25" s="108">
        <f>SUM(O24:O24)</f>
        <v>0</v>
      </c>
      <c r="P25" s="108" t="e">
        <f>SUM(P24:P24)</f>
        <v>#REF!</v>
      </c>
      <c r="Q25" s="111"/>
      <c r="R25" s="112">
        <f>SUM(R24:R24)</f>
        <v>0</v>
      </c>
      <c r="S25" s="112">
        <f>SUM(S24:S24)</f>
        <v>0</v>
      </c>
      <c r="T25" s="112">
        <f>SUM(T24:T24)</f>
        <v>0</v>
      </c>
      <c r="U25" s="112">
        <f>SUM(U24:U24)</f>
        <v>0</v>
      </c>
      <c r="V25" s="112">
        <f>SUM(V24:V24)</f>
        <v>0</v>
      </c>
    </row>
    <row r="26" spans="1:22" ht="19.5" customHeight="1">
      <c r="A26" s="41" t="s">
        <v>100</v>
      </c>
      <c r="B26" s="41"/>
      <c r="C26" s="43"/>
      <c r="D26" s="44"/>
      <c r="E26" s="36">
        <v>381359.50000000006</v>
      </c>
      <c r="F26" s="36">
        <f>-E26*$F$10</f>
        <v>0</v>
      </c>
      <c r="G26" s="36">
        <f>E26*$G$10</f>
        <v>0</v>
      </c>
      <c r="H26" s="36"/>
      <c r="I26" s="36">
        <f>+E26+F26-G26-H26</f>
        <v>381359.50000000006</v>
      </c>
      <c r="J26" s="36">
        <f>+I26+(I26*$I$4)</f>
        <v>457631.40000000008</v>
      </c>
      <c r="K26" s="36">
        <v>457631.40000000008</v>
      </c>
      <c r="L26" s="37"/>
      <c r="M26" s="37"/>
      <c r="N26" s="92">
        <f>-IF(L26=0,,IF(M26=0,($C$10-L26),M26-L26))</f>
        <v>0</v>
      </c>
      <c r="O26" s="36">
        <f>+J26-K26</f>
        <v>0</v>
      </c>
      <c r="P26" s="36" t="e">
        <f>+IF($C$10&lt;L26,0,O26)</f>
        <v>#REF!</v>
      </c>
      <c r="Q26" s="39"/>
      <c r="R26" s="40">
        <f>IF(N26&gt;=0,0,(IF(-N26&lt;=60,O26,0)))</f>
        <v>0</v>
      </c>
      <c r="S26" s="40">
        <f>IF(N26&gt;=0,0,(IF(N26&gt;=-60,0,IF(-60&gt;=N26,IF(N26&gt;=-120,O26,0)))))</f>
        <v>0</v>
      </c>
      <c r="T26" s="40">
        <f>IF(N26&gt;=0,0,(IF(N26&gt;-60,0,IF(-60&gt;=N26,IF(N26&gt;=-120,0,IF(N26&gt;=-180,O26,0))))))</f>
        <v>0</v>
      </c>
      <c r="U26" s="40">
        <f>IF(N26&gt;=0,0,(IF(N26&gt;-60,0,IF(-60&gt;=N26,IF(N26&gt;-120,0,IF(N26&gt;=-180,0,IF(N26&gt;=-365,O26,0)))))))</f>
        <v>0</v>
      </c>
      <c r="V26" s="40">
        <f>IF(N26&gt;=0,0,IF(365&lt;-N26,O26,0))</f>
        <v>0</v>
      </c>
    </row>
    <row r="27" spans="1:22" s="99" customFormat="1" ht="15">
      <c r="A27" s="104"/>
      <c r="B27" s="105"/>
      <c r="C27" s="106"/>
      <c r="D27" s="107"/>
      <c r="E27" s="108">
        <f t="shared" ref="E27:K27" si="7">SUM(E26:E26)</f>
        <v>381359.50000000006</v>
      </c>
      <c r="F27" s="108">
        <f t="shared" si="7"/>
        <v>0</v>
      </c>
      <c r="G27" s="108">
        <f t="shared" si="7"/>
        <v>0</v>
      </c>
      <c r="H27" s="108">
        <f t="shared" si="7"/>
        <v>0</v>
      </c>
      <c r="I27" s="108">
        <f t="shared" si="7"/>
        <v>381359.50000000006</v>
      </c>
      <c r="J27" s="113">
        <f t="shared" si="7"/>
        <v>457631.40000000008</v>
      </c>
      <c r="K27" s="113">
        <f t="shared" si="7"/>
        <v>457631.40000000008</v>
      </c>
      <c r="L27" s="109"/>
      <c r="M27" s="109"/>
      <c r="N27" s="110"/>
      <c r="O27" s="108">
        <f>SUM(O26:O26)</f>
        <v>0</v>
      </c>
      <c r="P27" s="108" t="e">
        <f>SUM(P26:P26)</f>
        <v>#REF!</v>
      </c>
      <c r="Q27" s="111"/>
      <c r="R27" s="112">
        <f>SUM(R26:R26)</f>
        <v>0</v>
      </c>
      <c r="S27" s="112">
        <f>SUM(S26:S26)</f>
        <v>0</v>
      </c>
      <c r="T27" s="112">
        <f>SUM(T26:T26)</f>
        <v>0</v>
      </c>
      <c r="U27" s="112">
        <f>SUM(U26:U26)</f>
        <v>0</v>
      </c>
      <c r="V27" s="112">
        <f>SUM(V26:V26)</f>
        <v>0</v>
      </c>
    </row>
    <row r="28" spans="1:22" ht="19.5" customHeight="1">
      <c r="A28" s="41" t="s">
        <v>83</v>
      </c>
      <c r="B28" s="41"/>
      <c r="C28" s="43"/>
      <c r="D28" s="44"/>
      <c r="E28" s="36">
        <v>4838.9083333333328</v>
      </c>
      <c r="F28" s="36">
        <f>-E28*$F$10</f>
        <v>0</v>
      </c>
      <c r="G28" s="36">
        <f>E28*$G$10</f>
        <v>0</v>
      </c>
      <c r="H28" s="36"/>
      <c r="I28" s="36">
        <f>+E28+F28-G28-H28</f>
        <v>4838.9083333333328</v>
      </c>
      <c r="J28" s="36">
        <f>+I28+(I28*$I$4)</f>
        <v>5806.69</v>
      </c>
      <c r="K28" s="36">
        <v>5806.69</v>
      </c>
      <c r="L28" s="37"/>
      <c r="M28" s="37"/>
      <c r="N28" s="92">
        <f>-IF(L28=0,,IF(M28=0,($C$10-L28),M28-L28))</f>
        <v>0</v>
      </c>
      <c r="O28" s="36">
        <f>+J28-K28</f>
        <v>0</v>
      </c>
      <c r="P28" s="36" t="e">
        <f>+IF($C$10&lt;L28,0,O28)</f>
        <v>#REF!</v>
      </c>
      <c r="Q28" s="39"/>
      <c r="R28" s="40">
        <f>IF(N28&gt;=0,0,(IF(-N28&lt;=60,O28,0)))</f>
        <v>0</v>
      </c>
      <c r="S28" s="40">
        <f>IF(N28&gt;=0,0,(IF(N28&gt;=-60,0,IF(-60&gt;=N28,IF(N28&gt;=-120,O28,0)))))</f>
        <v>0</v>
      </c>
      <c r="T28" s="40">
        <f>IF(N28&gt;=0,0,(IF(N28&gt;-60,0,IF(-60&gt;=N28,IF(N28&gt;=-120,0,IF(N28&gt;=-180,O28,0))))))</f>
        <v>0</v>
      </c>
      <c r="U28" s="40">
        <f>IF(N28&gt;=0,0,(IF(N28&gt;-60,0,IF(-60&gt;=N28,IF(N28&gt;-120,0,IF(N28&gt;=-180,0,IF(N28&gt;=-365,O28,0)))))))</f>
        <v>0</v>
      </c>
      <c r="V28" s="40">
        <f>IF(N28&gt;=0,0,IF(365&lt;-N28,O28,0))</f>
        <v>0</v>
      </c>
    </row>
    <row r="29" spans="1:22" s="99" customFormat="1" ht="15">
      <c r="A29" s="104"/>
      <c r="B29" s="105"/>
      <c r="C29" s="106"/>
      <c r="D29" s="107"/>
      <c r="E29" s="108">
        <f t="shared" ref="E29:K29" si="8">SUM(E28:E28)</f>
        <v>4838.9083333333328</v>
      </c>
      <c r="F29" s="108">
        <f t="shared" si="8"/>
        <v>0</v>
      </c>
      <c r="G29" s="108">
        <f t="shared" si="8"/>
        <v>0</v>
      </c>
      <c r="H29" s="108">
        <f t="shared" si="8"/>
        <v>0</v>
      </c>
      <c r="I29" s="108">
        <f t="shared" si="8"/>
        <v>4838.9083333333328</v>
      </c>
      <c r="J29" s="113">
        <f t="shared" si="8"/>
        <v>5806.69</v>
      </c>
      <c r="K29" s="113">
        <f t="shared" si="8"/>
        <v>5806.69</v>
      </c>
      <c r="L29" s="109"/>
      <c r="M29" s="109"/>
      <c r="N29" s="110"/>
      <c r="O29" s="108">
        <f>SUM(O28:O28)</f>
        <v>0</v>
      </c>
      <c r="P29" s="108" t="e">
        <f>SUM(P28:P28)</f>
        <v>#REF!</v>
      </c>
      <c r="Q29" s="111"/>
      <c r="R29" s="112">
        <f>SUM(R28:R28)</f>
        <v>0</v>
      </c>
      <c r="S29" s="112">
        <f>SUM(S28:S28)</f>
        <v>0</v>
      </c>
      <c r="T29" s="112">
        <f>SUM(T28:T28)</f>
        <v>0</v>
      </c>
      <c r="U29" s="112">
        <f>SUM(U28:U28)</f>
        <v>0</v>
      </c>
      <c r="V29" s="112">
        <f>SUM(V28:V28)</f>
        <v>0</v>
      </c>
    </row>
    <row r="30" spans="1:22" ht="19.5" customHeight="1">
      <c r="A30" s="41" t="s">
        <v>69</v>
      </c>
      <c r="B30" s="41"/>
      <c r="C30" s="43"/>
      <c r="D30" s="44"/>
      <c r="E30" s="36">
        <v>2410082.9278000002</v>
      </c>
      <c r="F30" s="36">
        <f>-E30*$F$10</f>
        <v>0</v>
      </c>
      <c r="G30" s="36">
        <f>E30*$G$10</f>
        <v>0</v>
      </c>
      <c r="H30" s="36"/>
      <c r="I30" s="36">
        <f>+E30+F30-G30-H30</f>
        <v>2410082.9278000002</v>
      </c>
      <c r="J30" s="36">
        <f>+I30+(I30*$I$4)</f>
        <v>2892099.5133600002</v>
      </c>
      <c r="K30" s="36">
        <v>2892099.5133600002</v>
      </c>
      <c r="L30" s="37"/>
      <c r="M30" s="116"/>
      <c r="N30" s="92">
        <f>-IF(L30=0,,IF(M30=0,($C$10-L30),M30-L30))</f>
        <v>0</v>
      </c>
      <c r="O30" s="36">
        <f>+J30-K30</f>
        <v>0</v>
      </c>
      <c r="P30" s="36" t="e">
        <f>+IF($C$10&lt;L30,0,O30)</f>
        <v>#REF!</v>
      </c>
      <c r="Q30" s="39"/>
      <c r="R30" s="40">
        <f>IF(N30&gt;=0,0,(IF(-N30&lt;=60,O30,0)))</f>
        <v>0</v>
      </c>
      <c r="S30" s="40">
        <f>IF(N30&gt;=0,0,(IF(N30&gt;=-60,0,IF(-60&gt;=N30,IF(N30&gt;=-120,O30,0)))))</f>
        <v>0</v>
      </c>
      <c r="T30" s="40">
        <f>IF(N30&gt;=0,0,(IF(N30&gt;-60,0,IF(-60&gt;=N30,IF(N30&gt;=-120,0,IF(N30&gt;=-180,O30,0))))))</f>
        <v>0</v>
      </c>
      <c r="U30" s="40">
        <f>IF(N30&gt;=0,0,(IF(N30&gt;-60,0,IF(-60&gt;=N30,IF(N30&gt;-120,0,IF(N30&gt;=-180,0,IF(N30&gt;=-365,O30,0)))))))</f>
        <v>0</v>
      </c>
      <c r="V30" s="40">
        <f>IF(N30&gt;=0,0,IF(365&lt;-N30,O30,0))</f>
        <v>0</v>
      </c>
    </row>
    <row r="31" spans="1:22" s="99" customFormat="1" ht="15">
      <c r="A31" s="104"/>
      <c r="B31" s="104"/>
      <c r="C31" s="106"/>
      <c r="D31" s="107"/>
      <c r="E31" s="108">
        <f t="shared" ref="E31:K31" si="9">SUM(E30:E30)</f>
        <v>2410082.9278000002</v>
      </c>
      <c r="F31" s="108">
        <f t="shared" si="9"/>
        <v>0</v>
      </c>
      <c r="G31" s="108">
        <f t="shared" si="9"/>
        <v>0</v>
      </c>
      <c r="H31" s="108">
        <f t="shared" si="9"/>
        <v>0</v>
      </c>
      <c r="I31" s="108">
        <f t="shared" si="9"/>
        <v>2410082.9278000002</v>
      </c>
      <c r="J31" s="113">
        <f t="shared" si="9"/>
        <v>2892099.5133600002</v>
      </c>
      <c r="K31" s="113">
        <f t="shared" si="9"/>
        <v>2892099.5133600002</v>
      </c>
      <c r="L31" s="109"/>
      <c r="M31" s="119"/>
      <c r="N31" s="110"/>
      <c r="O31" s="108">
        <f>SUM(O30:O30)</f>
        <v>0</v>
      </c>
      <c r="P31" s="108" t="e">
        <f>SUM(P30:P30)</f>
        <v>#REF!</v>
      </c>
      <c r="Q31" s="111"/>
      <c r="R31" s="112">
        <f>SUM(R30:R30)</f>
        <v>0</v>
      </c>
      <c r="S31" s="112">
        <f>SUM(S30:S30)</f>
        <v>0</v>
      </c>
      <c r="T31" s="112">
        <f>SUM(T30:T30)</f>
        <v>0</v>
      </c>
      <c r="U31" s="112">
        <f>SUM(U30:U30)</f>
        <v>0</v>
      </c>
      <c r="V31" s="112">
        <f>SUM(V30:V30)</f>
        <v>0</v>
      </c>
    </row>
    <row r="32" spans="1:22" ht="19.5" customHeight="1">
      <c r="A32" s="41" t="s">
        <v>75</v>
      </c>
      <c r="B32" s="41"/>
      <c r="C32" s="43"/>
      <c r="D32" s="44"/>
      <c r="E32" s="36">
        <v>32145.016666666666</v>
      </c>
      <c r="F32" s="36">
        <f>-E32*$F$10</f>
        <v>0</v>
      </c>
      <c r="G32" s="36">
        <f>E32*$G$10</f>
        <v>0</v>
      </c>
      <c r="H32" s="36"/>
      <c r="I32" s="36">
        <f>+E32+F32-G32-H32</f>
        <v>32145.016666666666</v>
      </c>
      <c r="J32" s="36">
        <f>+I32+(I32*$I$4)</f>
        <v>38574.020000000004</v>
      </c>
      <c r="K32" s="36">
        <v>38574.020000000004</v>
      </c>
      <c r="L32" s="37"/>
      <c r="M32" s="37"/>
      <c r="N32" s="92">
        <f>-IF(L32=0,,IF(M32=0,($C$10-L32),M32-L32))</f>
        <v>0</v>
      </c>
      <c r="O32" s="36">
        <f>+J32-K32</f>
        <v>0</v>
      </c>
      <c r="P32" s="36" t="e">
        <f>+IF($C$10&lt;L32,0,O32)</f>
        <v>#REF!</v>
      </c>
      <c r="Q32" s="39"/>
      <c r="R32" s="40">
        <f>IF(N32&gt;=0,0,(IF(-N32&lt;=60,O32,0)))</f>
        <v>0</v>
      </c>
      <c r="S32" s="40">
        <f>IF(N32&gt;=0,0,(IF(N32&gt;=-60,0,IF(-60&gt;=N32,IF(N32&gt;=-120,O32,0)))))</f>
        <v>0</v>
      </c>
      <c r="T32" s="40">
        <f>IF(N32&gt;=0,0,(IF(N32&gt;-60,0,IF(-60&gt;=N32,IF(N32&gt;=-120,0,IF(N32&gt;=-180,O32,0))))))</f>
        <v>0</v>
      </c>
      <c r="U32" s="40">
        <f>IF(N32&gt;=0,0,(IF(N32&gt;-60,0,IF(-60&gt;=N32,IF(N32&gt;-120,0,IF(N32&gt;=-180,0,IF(N32&gt;=-365,O32,0)))))))</f>
        <v>0</v>
      </c>
      <c r="V32" s="40">
        <f>IF(N32&gt;=0,0,IF(365&lt;-N32,O32,0))</f>
        <v>0</v>
      </c>
    </row>
    <row r="33" spans="1:22" s="99" customFormat="1" ht="15">
      <c r="A33" s="104"/>
      <c r="B33" s="105"/>
      <c r="C33" s="106"/>
      <c r="D33" s="107"/>
      <c r="E33" s="108">
        <f t="shared" ref="E33:K33" si="10">SUM(E32:E32)</f>
        <v>32145.016666666666</v>
      </c>
      <c r="F33" s="108">
        <f t="shared" si="10"/>
        <v>0</v>
      </c>
      <c r="G33" s="108">
        <f t="shared" si="10"/>
        <v>0</v>
      </c>
      <c r="H33" s="108">
        <f t="shared" si="10"/>
        <v>0</v>
      </c>
      <c r="I33" s="108">
        <f t="shared" si="10"/>
        <v>32145.016666666666</v>
      </c>
      <c r="J33" s="113">
        <f t="shared" si="10"/>
        <v>38574.020000000004</v>
      </c>
      <c r="K33" s="113">
        <f t="shared" si="10"/>
        <v>38574.020000000004</v>
      </c>
      <c r="L33" s="109"/>
      <c r="M33" s="109"/>
      <c r="N33" s="110"/>
      <c r="O33" s="108">
        <f>SUM(O32:O32)</f>
        <v>0</v>
      </c>
      <c r="P33" s="108" t="e">
        <f>SUM(P32:P32)</f>
        <v>#REF!</v>
      </c>
      <c r="Q33" s="111"/>
      <c r="R33" s="112">
        <f>SUM(R32:R32)</f>
        <v>0</v>
      </c>
      <c r="S33" s="112">
        <f>SUM(S32:S32)</f>
        <v>0</v>
      </c>
      <c r="T33" s="112">
        <f>SUM(T32:T32)</f>
        <v>0</v>
      </c>
      <c r="U33" s="112">
        <f>SUM(U32:U32)</f>
        <v>0</v>
      </c>
      <c r="V33" s="112">
        <f>SUM(V32:V32)</f>
        <v>0</v>
      </c>
    </row>
    <row r="34" spans="1:22" ht="19.5" customHeight="1">
      <c r="A34" s="41" t="s">
        <v>65</v>
      </c>
      <c r="B34" s="41"/>
      <c r="C34" s="43"/>
      <c r="D34" s="44"/>
      <c r="E34" s="36">
        <v>399401.35000000003</v>
      </c>
      <c r="F34" s="36">
        <f>-E34*$F$10</f>
        <v>0</v>
      </c>
      <c r="G34" s="36">
        <f>E34*$G$10</f>
        <v>0</v>
      </c>
      <c r="H34" s="36"/>
      <c r="I34" s="36">
        <f>+E34+F34-G34-H34</f>
        <v>399401.35000000003</v>
      </c>
      <c r="J34" s="36">
        <f>+I34+(I34*$I$4)</f>
        <v>479281.62000000005</v>
      </c>
      <c r="K34" s="36">
        <v>479281.62000000005</v>
      </c>
      <c r="L34" s="37"/>
      <c r="M34" s="116"/>
      <c r="N34" s="92">
        <f>-IF(L34=0,,IF(M34=0,($C$10-L34),M34-L34))</f>
        <v>0</v>
      </c>
      <c r="O34" s="36">
        <f>+J34-K34</f>
        <v>0</v>
      </c>
      <c r="P34" s="36" t="e">
        <f>+IF($C$10&lt;L34,0,O34)</f>
        <v>#REF!</v>
      </c>
      <c r="Q34" s="39"/>
      <c r="R34" s="40">
        <f>IF(N34&gt;=0,0,(IF(-N34&lt;=60,O34,0)))</f>
        <v>0</v>
      </c>
      <c r="S34" s="40">
        <f>IF(N34&gt;=0,0,(IF(N34&gt;=-60,0,IF(-60&gt;=N34,IF(N34&gt;=-120,O34,0)))))</f>
        <v>0</v>
      </c>
      <c r="T34" s="40">
        <f>IF(N34&gt;=0,0,(IF(N34&gt;-60,0,IF(-60&gt;=N34,IF(N34&gt;=-120,0,IF(N34&gt;=-180,O34,0))))))</f>
        <v>0</v>
      </c>
      <c r="U34" s="40">
        <f>IF(N34&gt;=0,0,(IF(N34&gt;-60,0,IF(-60&gt;=N34,IF(N34&gt;-120,0,IF(N34&gt;=-180,0,IF(N34&gt;=-365,O34,0)))))))</f>
        <v>0</v>
      </c>
      <c r="V34" s="40">
        <f>IF(N34&gt;=0,0,IF(365&lt;-N34,O34,0))</f>
        <v>0</v>
      </c>
    </row>
    <row r="35" spans="1:22" s="99" customFormat="1" ht="15">
      <c r="A35" s="104"/>
      <c r="B35" s="104"/>
      <c r="C35" s="106"/>
      <c r="D35" s="107"/>
      <c r="E35" s="108">
        <f t="shared" ref="E35:K35" si="11">SUM(E34:E34)</f>
        <v>399401.35000000003</v>
      </c>
      <c r="F35" s="108">
        <f t="shared" si="11"/>
        <v>0</v>
      </c>
      <c r="G35" s="108">
        <f t="shared" si="11"/>
        <v>0</v>
      </c>
      <c r="H35" s="108">
        <f t="shared" si="11"/>
        <v>0</v>
      </c>
      <c r="I35" s="108">
        <f t="shared" si="11"/>
        <v>399401.35000000003</v>
      </c>
      <c r="J35" s="113">
        <f t="shared" si="11"/>
        <v>479281.62000000005</v>
      </c>
      <c r="K35" s="113">
        <f t="shared" si="11"/>
        <v>479281.62000000005</v>
      </c>
      <c r="L35" s="109"/>
      <c r="M35" s="119"/>
      <c r="N35" s="110"/>
      <c r="O35" s="108">
        <f>SUM(O34:O34)</f>
        <v>0</v>
      </c>
      <c r="P35" s="108" t="e">
        <f>SUM(P34:P34)</f>
        <v>#REF!</v>
      </c>
      <c r="Q35" s="111"/>
      <c r="R35" s="112">
        <f>SUM(R34:R34)</f>
        <v>0</v>
      </c>
      <c r="S35" s="112">
        <f>SUM(S34:S34)</f>
        <v>0</v>
      </c>
      <c r="T35" s="112">
        <f>SUM(T34:T34)</f>
        <v>0</v>
      </c>
      <c r="U35" s="112">
        <f>SUM(U34:U34)</f>
        <v>0</v>
      </c>
      <c r="V35" s="112">
        <f>SUM(V34:V34)</f>
        <v>0</v>
      </c>
    </row>
    <row r="36" spans="1:22" ht="19.5" customHeight="1">
      <c r="A36" s="41" t="s">
        <v>67</v>
      </c>
      <c r="B36" s="41"/>
      <c r="C36" s="43"/>
      <c r="D36" s="44"/>
      <c r="E36" s="36">
        <v>310610</v>
      </c>
      <c r="F36" s="36">
        <f>-E36*$F$10</f>
        <v>0</v>
      </c>
      <c r="G36" s="36">
        <f>E36*$G$10</f>
        <v>0</v>
      </c>
      <c r="H36" s="36"/>
      <c r="I36" s="36">
        <f>+E36+F36-G36-H36</f>
        <v>310610</v>
      </c>
      <c r="J36" s="36">
        <f>+I36+(I36*$I$4)</f>
        <v>372732</v>
      </c>
      <c r="K36" s="36">
        <v>372732</v>
      </c>
      <c r="L36" s="37"/>
      <c r="M36" s="37"/>
      <c r="N36" s="92">
        <f>-IF(L36=0,,IF(M36=0,($C$10-L36),M36-L36))</f>
        <v>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s="99" customFormat="1" ht="15">
      <c r="A37" s="104"/>
      <c r="B37" s="104"/>
      <c r="C37" s="106"/>
      <c r="D37" s="107"/>
      <c r="E37" s="108">
        <f t="shared" ref="E37:K37" si="12">SUM(E36:E36)</f>
        <v>310610</v>
      </c>
      <c r="F37" s="108">
        <f t="shared" si="12"/>
        <v>0</v>
      </c>
      <c r="G37" s="108">
        <f t="shared" si="12"/>
        <v>0</v>
      </c>
      <c r="H37" s="108">
        <f t="shared" si="12"/>
        <v>0</v>
      </c>
      <c r="I37" s="108">
        <f t="shared" si="12"/>
        <v>310610</v>
      </c>
      <c r="J37" s="113">
        <f t="shared" si="12"/>
        <v>372732</v>
      </c>
      <c r="K37" s="113">
        <f t="shared" si="12"/>
        <v>372732</v>
      </c>
      <c r="L37" s="109"/>
      <c r="M37" s="109"/>
      <c r="N37" s="110"/>
      <c r="O37" s="108">
        <f>SUM(O36:O36)</f>
        <v>0</v>
      </c>
      <c r="P37" s="108" t="e">
        <f>SUM(P36:P36)</f>
        <v>#REF!</v>
      </c>
      <c r="Q37" s="111"/>
      <c r="R37" s="112">
        <f>SUM(R36:R36)</f>
        <v>0</v>
      </c>
      <c r="S37" s="112">
        <f>SUM(S36:S36)</f>
        <v>0</v>
      </c>
      <c r="T37" s="112">
        <f>SUM(T36:T36)</f>
        <v>0</v>
      </c>
      <c r="U37" s="112">
        <f>SUM(U36:U36)</f>
        <v>0</v>
      </c>
      <c r="V37" s="112">
        <f>SUM(V36:V36)</f>
        <v>0</v>
      </c>
    </row>
    <row r="38" spans="1:22" ht="19.5" customHeight="1">
      <c r="A38" s="41" t="s">
        <v>66</v>
      </c>
      <c r="B38" s="41"/>
      <c r="C38" s="43"/>
      <c r="D38" s="44"/>
      <c r="E38" s="36">
        <v>409893.35833333334</v>
      </c>
      <c r="F38" s="36">
        <f>-E38*$F$10</f>
        <v>0</v>
      </c>
      <c r="G38" s="36">
        <f>E38*$G$10</f>
        <v>0</v>
      </c>
      <c r="H38" s="36"/>
      <c r="I38" s="36">
        <f>+E38+F38-G38-H38</f>
        <v>409893.35833333334</v>
      </c>
      <c r="J38" s="36">
        <f>+I38+(I38*$I$4)</f>
        <v>491872.03</v>
      </c>
      <c r="K38" s="36">
        <v>491872.03</v>
      </c>
      <c r="L38" s="37"/>
      <c r="M38" s="116"/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5">
      <c r="A39" s="104"/>
      <c r="B39" s="104"/>
      <c r="C39" s="106"/>
      <c r="D39" s="107"/>
      <c r="E39" s="108">
        <f t="shared" ref="E39:K39" si="13">SUM(E38:E38)</f>
        <v>409893.35833333334</v>
      </c>
      <c r="F39" s="108">
        <f t="shared" si="13"/>
        <v>0</v>
      </c>
      <c r="G39" s="108">
        <f t="shared" si="13"/>
        <v>0</v>
      </c>
      <c r="H39" s="108">
        <f t="shared" si="13"/>
        <v>0</v>
      </c>
      <c r="I39" s="108">
        <f t="shared" si="13"/>
        <v>409893.35833333334</v>
      </c>
      <c r="J39" s="113">
        <f t="shared" si="13"/>
        <v>491872.03</v>
      </c>
      <c r="K39" s="113">
        <f t="shared" si="13"/>
        <v>491872.03</v>
      </c>
      <c r="L39" s="109"/>
      <c r="M39" s="10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101</v>
      </c>
      <c r="B40" s="41"/>
      <c r="C40" s="43"/>
      <c r="D40" s="44"/>
      <c r="E40" s="36">
        <v>2205.7000000000003</v>
      </c>
      <c r="F40" s="36">
        <f>-E40*$F$10</f>
        <v>0</v>
      </c>
      <c r="G40" s="36">
        <f>E40*$G$10</f>
        <v>0</v>
      </c>
      <c r="H40" s="36"/>
      <c r="I40" s="36">
        <f>+E40+F40-G40-H40</f>
        <v>2205.7000000000003</v>
      </c>
      <c r="J40" s="36">
        <f>+I40+(I40*$I$4)</f>
        <v>2646.84</v>
      </c>
      <c r="K40" s="36">
        <v>2646.84</v>
      </c>
      <c r="L40" s="37"/>
      <c r="M40" s="116"/>
      <c r="N40" s="92">
        <f>-IF(L40=0,,IF(M40=0,($C$10-L40),M40-L40))</f>
        <v>0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5">
      <c r="A41" s="104"/>
      <c r="B41" s="104"/>
      <c r="C41" s="106"/>
      <c r="D41" s="107"/>
      <c r="E41" s="108">
        <f t="shared" ref="E41:K41" si="14">SUM(E40:E40)</f>
        <v>2205.7000000000003</v>
      </c>
      <c r="F41" s="108">
        <f t="shared" si="14"/>
        <v>0</v>
      </c>
      <c r="G41" s="108">
        <f t="shared" si="14"/>
        <v>0</v>
      </c>
      <c r="H41" s="108">
        <f t="shared" si="14"/>
        <v>0</v>
      </c>
      <c r="I41" s="108">
        <f t="shared" si="14"/>
        <v>2205.7000000000003</v>
      </c>
      <c r="J41" s="113">
        <f t="shared" si="14"/>
        <v>2646.84</v>
      </c>
      <c r="K41" s="113">
        <f t="shared" si="14"/>
        <v>2646.84</v>
      </c>
      <c r="L41" s="109"/>
      <c r="M41" s="10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77</v>
      </c>
      <c r="B42" s="41"/>
      <c r="C42" s="43"/>
      <c r="D42" s="44"/>
      <c r="E42" s="36">
        <v>361784.48333333334</v>
      </c>
      <c r="F42" s="36">
        <f>-E42*$F$10</f>
        <v>0</v>
      </c>
      <c r="G42" s="36">
        <f>E42*$G$10</f>
        <v>0</v>
      </c>
      <c r="H42" s="36"/>
      <c r="I42" s="36">
        <f>+E42+F42-G42-H42</f>
        <v>361784.48333333334</v>
      </c>
      <c r="J42" s="36">
        <f>+I42+(I42*$I$4)</f>
        <v>434141.38</v>
      </c>
      <c r="K42" s="36">
        <v>434141.38</v>
      </c>
      <c r="L42" s="37"/>
      <c r="M42" s="37"/>
      <c r="N42" s="92">
        <f>-IF(L42=0,,IF(M42=0,($C$10-L42),M42-L42))</f>
        <v>0</v>
      </c>
      <c r="O42" s="36">
        <f>+J42-K42</f>
        <v>0</v>
      </c>
      <c r="P42" s="36" t="e">
        <f>+IF($C$10&lt;L42,0,O42)</f>
        <v>#REF!</v>
      </c>
      <c r="Q42" s="39"/>
      <c r="R42" s="40">
        <f>IF(N42&gt;=0,0,(IF(-N42&lt;=60,O42,0)))</f>
        <v>0</v>
      </c>
      <c r="S42" s="40">
        <f>IF(N42&gt;=0,0,(IF(N42&gt;=-60,0,IF(-60&gt;=N42,IF(N42&gt;=-120,O42,0)))))</f>
        <v>0</v>
      </c>
      <c r="T42" s="40">
        <f>IF(N42&gt;=0,0,(IF(N42&gt;-60,0,IF(-60&gt;=N42,IF(N42&gt;=-120,0,IF(N42&gt;=-180,O42,0))))))</f>
        <v>0</v>
      </c>
      <c r="U42" s="40">
        <f>IF(N42&gt;=0,0,(IF(N42&gt;-60,0,IF(-60&gt;=N42,IF(N42&gt;-120,0,IF(N42&gt;=-180,0,IF(N42&gt;=-365,O42,0)))))))</f>
        <v>0</v>
      </c>
      <c r="V42" s="40">
        <f>IF(N42&gt;=0,0,IF(365&lt;-N42,O42,0))</f>
        <v>0</v>
      </c>
    </row>
    <row r="43" spans="1:22" s="99" customFormat="1" ht="15">
      <c r="A43" s="104"/>
      <c r="B43" s="104"/>
      <c r="C43" s="106"/>
      <c r="D43" s="107"/>
      <c r="E43" s="108">
        <f t="shared" ref="E43:K43" si="15">SUM(E42:E42)</f>
        <v>361784.48333333334</v>
      </c>
      <c r="F43" s="108">
        <f t="shared" si="15"/>
        <v>0</v>
      </c>
      <c r="G43" s="108">
        <f t="shared" si="15"/>
        <v>0</v>
      </c>
      <c r="H43" s="108">
        <f t="shared" si="15"/>
        <v>0</v>
      </c>
      <c r="I43" s="108">
        <f t="shared" si="15"/>
        <v>361784.48333333334</v>
      </c>
      <c r="J43" s="113">
        <f t="shared" si="15"/>
        <v>434141.38</v>
      </c>
      <c r="K43" s="113">
        <f t="shared" si="15"/>
        <v>434141.38</v>
      </c>
      <c r="L43" s="109"/>
      <c r="M43" s="109"/>
      <c r="N43" s="110"/>
      <c r="O43" s="108">
        <f>SUM(O42:O42)</f>
        <v>0</v>
      </c>
      <c r="P43" s="108" t="e">
        <f>SUM(P42:P42)</f>
        <v>#REF!</v>
      </c>
      <c r="Q43" s="111"/>
      <c r="R43" s="112">
        <f>SUM(R42:R42)</f>
        <v>0</v>
      </c>
      <c r="S43" s="112">
        <f>SUM(S42:S42)</f>
        <v>0</v>
      </c>
      <c r="T43" s="112">
        <f>SUM(T42:T42)</f>
        <v>0</v>
      </c>
      <c r="U43" s="112">
        <f>SUM(U42:U42)</f>
        <v>0</v>
      </c>
      <c r="V43" s="112">
        <f>SUM(V42:V42)</f>
        <v>0</v>
      </c>
    </row>
    <row r="44" spans="1:22" ht="19.5" customHeight="1">
      <c r="A44" s="41" t="s">
        <v>78</v>
      </c>
      <c r="B44" s="41"/>
      <c r="C44" s="43"/>
      <c r="D44" s="44"/>
      <c r="E44" s="36">
        <v>126936.25</v>
      </c>
      <c r="F44" s="36">
        <f>-E44*$F$10</f>
        <v>0</v>
      </c>
      <c r="G44" s="36">
        <f>E44*$G$10</f>
        <v>0</v>
      </c>
      <c r="H44" s="36"/>
      <c r="I44" s="36">
        <f>+E44+F44-G44-H44</f>
        <v>126936.25</v>
      </c>
      <c r="J44" s="36">
        <f>+I44+(I44*$I$4)</f>
        <v>152323.5</v>
      </c>
      <c r="K44" s="36">
        <v>152323.5</v>
      </c>
      <c r="L44" s="37"/>
      <c r="M44" s="116"/>
      <c r="N44" s="92">
        <f>-IF(L44=0,,IF(M44=0,($C$10-L44),M44-L44))</f>
        <v>0</v>
      </c>
      <c r="O44" s="36">
        <f>+J44-K44</f>
        <v>0</v>
      </c>
      <c r="P44" s="36" t="e">
        <f>+IF($C$10&lt;L44,0,O44)</f>
        <v>#REF!</v>
      </c>
      <c r="Q44" s="39"/>
      <c r="R44" s="40">
        <f>IF(N44&gt;=0,0,(IF(-N44&lt;=60,O44,0)))</f>
        <v>0</v>
      </c>
      <c r="S44" s="40">
        <f>IF(N44&gt;=0,0,(IF(N44&gt;=-60,0,IF(-60&gt;=N44,IF(N44&gt;=-120,O44,0)))))</f>
        <v>0</v>
      </c>
      <c r="T44" s="40">
        <f>IF(N44&gt;=0,0,(IF(N44&gt;-60,0,IF(-60&gt;=N44,IF(N44&gt;=-120,0,IF(N44&gt;=-180,O44,0))))))</f>
        <v>0</v>
      </c>
      <c r="U44" s="40">
        <f>IF(N44&gt;=0,0,(IF(N44&gt;-60,0,IF(-60&gt;=N44,IF(N44&gt;-120,0,IF(N44&gt;=-180,0,IF(N44&gt;=-365,O44,0)))))))</f>
        <v>0</v>
      </c>
      <c r="V44" s="40">
        <f>IF(N44&gt;=0,0,IF(365&lt;-N44,O44,0))</f>
        <v>0</v>
      </c>
    </row>
    <row r="45" spans="1:22" s="99" customFormat="1" ht="15">
      <c r="A45" s="104"/>
      <c r="B45" s="104"/>
      <c r="C45" s="106"/>
      <c r="D45" s="107"/>
      <c r="E45" s="108">
        <f t="shared" ref="E45:K45" si="16">SUM(E44:E44)</f>
        <v>126936.25</v>
      </c>
      <c r="F45" s="108">
        <f t="shared" si="16"/>
        <v>0</v>
      </c>
      <c r="G45" s="108">
        <f t="shared" si="16"/>
        <v>0</v>
      </c>
      <c r="H45" s="108">
        <f t="shared" si="16"/>
        <v>0</v>
      </c>
      <c r="I45" s="108">
        <f t="shared" si="16"/>
        <v>126936.25</v>
      </c>
      <c r="J45" s="113">
        <f t="shared" si="16"/>
        <v>152323.5</v>
      </c>
      <c r="K45" s="113">
        <f t="shared" si="16"/>
        <v>152323.5</v>
      </c>
      <c r="L45" s="109"/>
      <c r="M45" s="109"/>
      <c r="N45" s="110"/>
      <c r="O45" s="108">
        <f>SUM(O44:O44)</f>
        <v>0</v>
      </c>
      <c r="P45" s="108" t="e">
        <f>SUM(P44:P44)</f>
        <v>#REF!</v>
      </c>
      <c r="Q45" s="111"/>
      <c r="R45" s="112">
        <f>SUM(R44:R44)</f>
        <v>0</v>
      </c>
      <c r="S45" s="112">
        <f>SUM(S44:S44)</f>
        <v>0</v>
      </c>
      <c r="T45" s="112">
        <f>SUM(T44:T44)</f>
        <v>0</v>
      </c>
      <c r="U45" s="112">
        <f>SUM(U44:U44)</f>
        <v>0</v>
      </c>
      <c r="V45" s="112">
        <f>SUM(V44:V44)</f>
        <v>0</v>
      </c>
    </row>
    <row r="46" spans="1:22" ht="19.5" customHeight="1">
      <c r="A46" s="41" t="s">
        <v>102</v>
      </c>
      <c r="B46" s="41"/>
      <c r="C46" s="43"/>
      <c r="D46" s="44"/>
      <c r="E46" s="36">
        <v>33878.366666666669</v>
      </c>
      <c r="F46" s="36">
        <f>-E46*$F$10</f>
        <v>0</v>
      </c>
      <c r="G46" s="36">
        <f>E46*$G$10</f>
        <v>0</v>
      </c>
      <c r="H46" s="36"/>
      <c r="I46" s="36">
        <f>+E46+F46-G46-H46</f>
        <v>33878.366666666669</v>
      </c>
      <c r="J46" s="36">
        <f>+I46+(I46*$I$4)</f>
        <v>40654.04</v>
      </c>
      <c r="K46" s="36">
        <v>40654.04</v>
      </c>
      <c r="L46" s="37"/>
      <c r="M46" s="116"/>
      <c r="N46" s="92">
        <f>-IF(L46=0,,IF(M46=0,($C$10-L46),M46-L46))</f>
        <v>0</v>
      </c>
      <c r="O46" s="36">
        <f>+J46-K46</f>
        <v>0</v>
      </c>
      <c r="P46" s="36" t="e">
        <f>+IF($C$10&lt;L46,0,O46)</f>
        <v>#REF!</v>
      </c>
      <c r="Q46" s="39"/>
      <c r="R46" s="40">
        <f>IF(N46&gt;=0,0,(IF(-N46&lt;=60,O46,0)))</f>
        <v>0</v>
      </c>
      <c r="S46" s="40">
        <f>IF(N46&gt;=0,0,(IF(N46&gt;=-60,0,IF(-60&gt;=N46,IF(N46&gt;=-120,O46,0)))))</f>
        <v>0</v>
      </c>
      <c r="T46" s="40">
        <f>IF(N46&gt;=0,0,(IF(N46&gt;-60,0,IF(-60&gt;=N46,IF(N46&gt;=-120,0,IF(N46&gt;=-180,O46,0))))))</f>
        <v>0</v>
      </c>
      <c r="U46" s="40">
        <f>IF(N46&gt;=0,0,(IF(N46&gt;-60,0,IF(-60&gt;=N46,IF(N46&gt;-120,0,IF(N46&gt;=-180,0,IF(N46&gt;=-365,O46,0)))))))</f>
        <v>0</v>
      </c>
      <c r="V46" s="40">
        <f>IF(N46&gt;=0,0,IF(365&lt;-N46,O46,0))</f>
        <v>0</v>
      </c>
    </row>
    <row r="47" spans="1:22" s="99" customFormat="1" ht="15">
      <c r="A47" s="104"/>
      <c r="B47" s="104"/>
      <c r="C47" s="106"/>
      <c r="D47" s="107"/>
      <c r="E47" s="108">
        <f t="shared" ref="E47:K47" si="17">SUM(E46:E46)</f>
        <v>33878.366666666669</v>
      </c>
      <c r="F47" s="108">
        <f t="shared" si="17"/>
        <v>0</v>
      </c>
      <c r="G47" s="108">
        <f t="shared" si="17"/>
        <v>0</v>
      </c>
      <c r="H47" s="108">
        <f t="shared" si="17"/>
        <v>0</v>
      </c>
      <c r="I47" s="108">
        <f t="shared" si="17"/>
        <v>33878.366666666669</v>
      </c>
      <c r="J47" s="113">
        <f t="shared" si="17"/>
        <v>40654.04</v>
      </c>
      <c r="K47" s="113">
        <f t="shared" si="17"/>
        <v>40654.04</v>
      </c>
      <c r="L47" s="109"/>
      <c r="M47" s="109"/>
      <c r="N47" s="110"/>
      <c r="O47" s="108">
        <f>SUM(O46:O46)</f>
        <v>0</v>
      </c>
      <c r="P47" s="108" t="e">
        <f>SUM(P46:P46)</f>
        <v>#REF!</v>
      </c>
      <c r="Q47" s="111"/>
      <c r="R47" s="112">
        <f>SUM(R46:R46)</f>
        <v>0</v>
      </c>
      <c r="S47" s="112">
        <f>SUM(S46:S46)</f>
        <v>0</v>
      </c>
      <c r="T47" s="112">
        <f>SUM(T46:T46)</f>
        <v>0</v>
      </c>
      <c r="U47" s="112">
        <f>SUM(U46:U46)</f>
        <v>0</v>
      </c>
      <c r="V47" s="112">
        <f>SUM(V46:V46)</f>
        <v>0</v>
      </c>
    </row>
    <row r="48" spans="1:22" ht="19.5" customHeight="1">
      <c r="A48" s="41" t="s">
        <v>84</v>
      </c>
      <c r="B48" s="41"/>
      <c r="C48" s="43"/>
      <c r="D48" s="44"/>
      <c r="E48" s="36">
        <v>39933.375000000007</v>
      </c>
      <c r="F48" s="36">
        <f>-E48*$F$10</f>
        <v>0</v>
      </c>
      <c r="G48" s="36">
        <f>E48*$G$10</f>
        <v>0</v>
      </c>
      <c r="H48" s="36"/>
      <c r="I48" s="36">
        <f>+E48+F48-G48-H48</f>
        <v>39933.375000000007</v>
      </c>
      <c r="J48" s="36">
        <f>+I48+(I48*$I$4)</f>
        <v>47920.05000000001</v>
      </c>
      <c r="K48" s="36">
        <v>47920.05000000001</v>
      </c>
      <c r="L48" s="37"/>
      <c r="M48" s="116"/>
      <c r="N48" s="92">
        <f>-IF(L48=0,,IF(M48=0,($C$10-L48),M48-L48))</f>
        <v>0</v>
      </c>
      <c r="O48" s="36">
        <f>+J48-K48</f>
        <v>0</v>
      </c>
      <c r="P48" s="36" t="e">
        <f>+IF($C$10&lt;L48,0,O48)</f>
        <v>#REF!</v>
      </c>
      <c r="Q48" s="39"/>
      <c r="R48" s="40">
        <f>IF(N48&gt;=0,0,(IF(-N48&lt;=60,O48,0)))</f>
        <v>0</v>
      </c>
      <c r="S48" s="40">
        <f>IF(N48&gt;=0,0,(IF(N48&gt;=-60,0,IF(-60&gt;=N48,IF(N48&gt;=-120,O48,0)))))</f>
        <v>0</v>
      </c>
      <c r="T48" s="40">
        <f>IF(N48&gt;=0,0,(IF(N48&gt;-60,0,IF(-60&gt;=N48,IF(N48&gt;=-120,0,IF(N48&gt;=-180,O48,0))))))</f>
        <v>0</v>
      </c>
      <c r="U48" s="40">
        <f>IF(N48&gt;=0,0,(IF(N48&gt;-60,0,IF(-60&gt;=N48,IF(N48&gt;-120,0,IF(N48&gt;=-180,0,IF(N48&gt;=-365,O48,0)))))))</f>
        <v>0</v>
      </c>
      <c r="V48" s="40">
        <f>IF(N48&gt;=0,0,IF(365&lt;-N48,O48,0))</f>
        <v>0</v>
      </c>
    </row>
    <row r="49" spans="1:22" s="99" customFormat="1" ht="15">
      <c r="A49" s="104"/>
      <c r="B49" s="104"/>
      <c r="C49" s="106"/>
      <c r="D49" s="107"/>
      <c r="E49" s="108">
        <f t="shared" ref="E49:K49" si="18">SUM(E48:E48)</f>
        <v>39933.375000000007</v>
      </c>
      <c r="F49" s="108">
        <f t="shared" si="18"/>
        <v>0</v>
      </c>
      <c r="G49" s="108">
        <f t="shared" si="18"/>
        <v>0</v>
      </c>
      <c r="H49" s="108">
        <f t="shared" si="18"/>
        <v>0</v>
      </c>
      <c r="I49" s="108">
        <f t="shared" si="18"/>
        <v>39933.375000000007</v>
      </c>
      <c r="J49" s="113">
        <f t="shared" si="18"/>
        <v>47920.05000000001</v>
      </c>
      <c r="K49" s="113">
        <f t="shared" si="18"/>
        <v>47920.05000000001</v>
      </c>
      <c r="L49" s="109"/>
      <c r="M49" s="109"/>
      <c r="N49" s="110"/>
      <c r="O49" s="108">
        <f>SUM(O48:O48)</f>
        <v>0</v>
      </c>
      <c r="P49" s="108" t="e">
        <f>SUM(P48:P48)</f>
        <v>#REF!</v>
      </c>
      <c r="Q49" s="111"/>
      <c r="R49" s="112">
        <f>SUM(R48:R48)</f>
        <v>0</v>
      </c>
      <c r="S49" s="112">
        <f>SUM(S48:S48)</f>
        <v>0</v>
      </c>
      <c r="T49" s="112">
        <f>SUM(T48:T48)</f>
        <v>0</v>
      </c>
      <c r="U49" s="112">
        <f>SUM(U48:U48)</f>
        <v>0</v>
      </c>
      <c r="V49" s="112">
        <f>SUM(V48:V48)</f>
        <v>0</v>
      </c>
    </row>
    <row r="50" spans="1:22" ht="19.5" customHeight="1">
      <c r="A50" s="41" t="s">
        <v>79</v>
      </c>
      <c r="B50" s="41"/>
      <c r="C50" s="43"/>
      <c r="D50" s="44"/>
      <c r="E50" s="36">
        <v>25838.89166666667</v>
      </c>
      <c r="F50" s="36">
        <f>-E50*$F$10</f>
        <v>0</v>
      </c>
      <c r="G50" s="36">
        <f>E50*$G$10</f>
        <v>0</v>
      </c>
      <c r="H50" s="36"/>
      <c r="I50" s="36">
        <f>+E50+F50-G50-H50</f>
        <v>25838.89166666667</v>
      </c>
      <c r="J50" s="36">
        <f>+I50+(I50*$I$4)</f>
        <v>31006.670000000006</v>
      </c>
      <c r="K50" s="36">
        <v>31006.670000000006</v>
      </c>
      <c r="L50" s="37"/>
      <c r="M50" s="37"/>
      <c r="N50" s="92">
        <f>-IF(L50=0,,IF(M50=0,($C$10-L50),M50-L50))</f>
        <v>0</v>
      </c>
      <c r="O50" s="36">
        <f>+J50-K50</f>
        <v>0</v>
      </c>
      <c r="P50" s="36" t="e">
        <f>+IF($C$10&lt;L50,0,O50)</f>
        <v>#REF!</v>
      </c>
      <c r="Q50" s="39"/>
      <c r="R50" s="40">
        <f>IF(N50&gt;=0,0,(IF(-N50&lt;=60,O50,0)))</f>
        <v>0</v>
      </c>
      <c r="S50" s="40">
        <f>IF(N50&gt;=0,0,(IF(N50&gt;=-60,0,IF(-60&gt;=N50,IF(N50&gt;=-120,O50,0)))))</f>
        <v>0</v>
      </c>
      <c r="T50" s="40">
        <f>IF(N50&gt;=0,0,(IF(N50&gt;-60,0,IF(-60&gt;=N50,IF(N50&gt;=-120,0,IF(N50&gt;=-180,O50,0))))))</f>
        <v>0</v>
      </c>
      <c r="U50" s="40">
        <f>IF(N50&gt;=0,0,(IF(N50&gt;-60,0,IF(-60&gt;=N50,IF(N50&gt;-120,0,IF(N50&gt;=-180,0,IF(N50&gt;=-365,O50,0)))))))</f>
        <v>0</v>
      </c>
      <c r="V50" s="40">
        <f>IF(N50&gt;=0,0,IF(365&lt;-N50,O50,0))</f>
        <v>0</v>
      </c>
    </row>
    <row r="51" spans="1:22" s="99" customFormat="1" ht="15">
      <c r="A51" s="104"/>
      <c r="B51" s="104"/>
      <c r="C51" s="106"/>
      <c r="D51" s="107"/>
      <c r="E51" s="108">
        <f t="shared" ref="E51:K51" si="19">SUM(E50:E50)</f>
        <v>25838.89166666667</v>
      </c>
      <c r="F51" s="108">
        <f t="shared" si="19"/>
        <v>0</v>
      </c>
      <c r="G51" s="108">
        <f t="shared" si="19"/>
        <v>0</v>
      </c>
      <c r="H51" s="108">
        <f t="shared" si="19"/>
        <v>0</v>
      </c>
      <c r="I51" s="108">
        <f t="shared" si="19"/>
        <v>25838.89166666667</v>
      </c>
      <c r="J51" s="113">
        <f t="shared" si="19"/>
        <v>31006.670000000006</v>
      </c>
      <c r="K51" s="113">
        <f t="shared" si="19"/>
        <v>31006.670000000006</v>
      </c>
      <c r="L51" s="109"/>
      <c r="M51" s="109"/>
      <c r="N51" s="110"/>
      <c r="O51" s="108">
        <f>SUM(O50:O50)</f>
        <v>0</v>
      </c>
      <c r="P51" s="108" t="e">
        <f>SUM(P50:P50)</f>
        <v>#REF!</v>
      </c>
      <c r="Q51" s="111"/>
      <c r="R51" s="112">
        <f>SUM(R50:R50)</f>
        <v>0</v>
      </c>
      <c r="S51" s="112">
        <f>SUM(S50:S50)</f>
        <v>0</v>
      </c>
      <c r="T51" s="112">
        <f>SUM(T50:T50)</f>
        <v>0</v>
      </c>
      <c r="U51" s="112">
        <f>SUM(U50:U50)</f>
        <v>0</v>
      </c>
      <c r="V51" s="112">
        <f>SUM(V50:V50)</f>
        <v>0</v>
      </c>
    </row>
    <row r="52" spans="1:22" ht="19.5" customHeight="1">
      <c r="A52" s="41" t="s">
        <v>103</v>
      </c>
      <c r="B52" s="41"/>
      <c r="C52" s="43"/>
      <c r="D52" s="44"/>
      <c r="E52" s="36">
        <v>4181.8416666666672</v>
      </c>
      <c r="F52" s="36">
        <f>-E52*$F$10</f>
        <v>0</v>
      </c>
      <c r="G52" s="36">
        <f>E52*$G$10</f>
        <v>0</v>
      </c>
      <c r="H52" s="36"/>
      <c r="I52" s="36">
        <f>+E52+F52-G52-H52</f>
        <v>4181.8416666666672</v>
      </c>
      <c r="J52" s="36">
        <f>+I52+(I52*$I$4)</f>
        <v>5018.2100000000009</v>
      </c>
      <c r="K52" s="36">
        <v>5018.2100000000009</v>
      </c>
      <c r="L52" s="37"/>
      <c r="M52" s="37"/>
      <c r="N52" s="92">
        <f>-IF(L52=0,,IF(M52=0,($C$10-L52),M52-L52))</f>
        <v>0</v>
      </c>
      <c r="O52" s="36">
        <f>+J52-K52</f>
        <v>0</v>
      </c>
      <c r="P52" s="36" t="e">
        <f>+IF($C$10&lt;L52,0,O52)</f>
        <v>#REF!</v>
      </c>
      <c r="Q52" s="39"/>
      <c r="R52" s="40">
        <f>IF(N52&gt;=0,0,(IF(-N52&lt;=60,O52,0)))</f>
        <v>0</v>
      </c>
      <c r="S52" s="40">
        <f>IF(N52&gt;=0,0,(IF(N52&gt;=-60,0,IF(-60&gt;=N52,IF(N52&gt;=-120,O52,0)))))</f>
        <v>0</v>
      </c>
      <c r="T52" s="40">
        <f>IF(N52&gt;=0,0,(IF(N52&gt;-60,0,IF(-60&gt;=N52,IF(N52&gt;=-120,0,IF(N52&gt;=-180,O52,0))))))</f>
        <v>0</v>
      </c>
      <c r="U52" s="40">
        <f>IF(N52&gt;=0,0,(IF(N52&gt;-60,0,IF(-60&gt;=N52,IF(N52&gt;-120,0,IF(N52&gt;=-180,0,IF(N52&gt;=-365,O52,0)))))))</f>
        <v>0</v>
      </c>
      <c r="V52" s="40">
        <f>IF(N52&gt;=0,0,IF(365&lt;-N52,O52,0))</f>
        <v>0</v>
      </c>
    </row>
    <row r="53" spans="1:22" s="99" customFormat="1" ht="15">
      <c r="A53" s="104"/>
      <c r="B53" s="104"/>
      <c r="C53" s="106"/>
      <c r="D53" s="107"/>
      <c r="E53" s="108">
        <f t="shared" ref="E53:K53" si="20">SUM(E52:E52)</f>
        <v>4181.8416666666672</v>
      </c>
      <c r="F53" s="108">
        <f t="shared" si="20"/>
        <v>0</v>
      </c>
      <c r="G53" s="108">
        <f t="shared" si="20"/>
        <v>0</v>
      </c>
      <c r="H53" s="108">
        <f t="shared" si="20"/>
        <v>0</v>
      </c>
      <c r="I53" s="108">
        <f t="shared" si="20"/>
        <v>4181.8416666666672</v>
      </c>
      <c r="J53" s="113">
        <f t="shared" si="20"/>
        <v>5018.2100000000009</v>
      </c>
      <c r="K53" s="113">
        <f t="shared" si="20"/>
        <v>5018.2100000000009</v>
      </c>
      <c r="L53" s="109"/>
      <c r="M53" s="109"/>
      <c r="N53" s="110"/>
      <c r="O53" s="108">
        <f>SUM(O52:O52)</f>
        <v>0</v>
      </c>
      <c r="P53" s="108" t="e">
        <f>SUM(P52:P52)</f>
        <v>#REF!</v>
      </c>
      <c r="Q53" s="111"/>
      <c r="R53" s="112">
        <f>SUM(R52:R52)</f>
        <v>0</v>
      </c>
      <c r="S53" s="112">
        <f>SUM(S52:S52)</f>
        <v>0</v>
      </c>
      <c r="T53" s="112">
        <f>SUM(T52:T52)</f>
        <v>0</v>
      </c>
      <c r="U53" s="112">
        <f>SUM(U52:U52)</f>
        <v>0</v>
      </c>
      <c r="V53" s="112">
        <f>SUM(V52:V52)</f>
        <v>0</v>
      </c>
    </row>
    <row r="54" spans="1:22" ht="19.5" customHeight="1">
      <c r="A54" s="41" t="s">
        <v>68</v>
      </c>
      <c r="B54" s="41"/>
      <c r="C54" s="43"/>
      <c r="D54" s="44"/>
      <c r="E54" s="36">
        <v>6801.9000000000005</v>
      </c>
      <c r="F54" s="36">
        <f>-E54*$F$10</f>
        <v>0</v>
      </c>
      <c r="G54" s="36">
        <f>E54*$G$10</f>
        <v>0</v>
      </c>
      <c r="H54" s="36"/>
      <c r="I54" s="36">
        <f>+E54+F54-G54-H54</f>
        <v>6801.9000000000005</v>
      </c>
      <c r="J54" s="36">
        <f>+I54+(I54*$I$4)</f>
        <v>8162.2800000000007</v>
      </c>
      <c r="K54" s="36">
        <v>8162.2800000000007</v>
      </c>
      <c r="L54" s="37"/>
      <c r="M54" s="37"/>
      <c r="N54" s="92">
        <f>-IF(L54=0,,IF(M54=0,($C$10-L54),M54-L54))</f>
        <v>0</v>
      </c>
      <c r="O54" s="36">
        <f>+J54-K54</f>
        <v>0</v>
      </c>
      <c r="P54" s="36" t="e">
        <f>+IF($C$10&lt;L54,0,O54)</f>
        <v>#REF!</v>
      </c>
      <c r="Q54" s="39"/>
      <c r="R54" s="40">
        <f>IF(N54&gt;=0,0,(IF(-N54&lt;=60,O54,0)))</f>
        <v>0</v>
      </c>
      <c r="S54" s="40">
        <f>IF(N54&gt;=0,0,(IF(N54&gt;=-60,0,IF(-60&gt;=N54,IF(N54&gt;=-120,O54,0)))))</f>
        <v>0</v>
      </c>
      <c r="T54" s="40">
        <f>IF(N54&gt;=0,0,(IF(N54&gt;-60,0,IF(-60&gt;=N54,IF(N54&gt;=-120,0,IF(N54&gt;=-180,O54,0))))))</f>
        <v>0</v>
      </c>
      <c r="U54" s="40">
        <f>IF(N54&gt;=0,0,(IF(N54&gt;-60,0,IF(-60&gt;=N54,IF(N54&gt;-120,0,IF(N54&gt;=-180,0,IF(N54&gt;=-365,O54,0)))))))</f>
        <v>0</v>
      </c>
      <c r="V54" s="40">
        <f>IF(N54&gt;=0,0,IF(365&lt;-N54,O54,0))</f>
        <v>0</v>
      </c>
    </row>
    <row r="55" spans="1:22" s="99" customFormat="1" ht="15">
      <c r="A55" s="104"/>
      <c r="B55" s="104"/>
      <c r="C55" s="106"/>
      <c r="D55" s="107"/>
      <c r="E55" s="108">
        <f t="shared" ref="E55:K55" si="21">SUM(E54:E54)</f>
        <v>6801.9000000000005</v>
      </c>
      <c r="F55" s="108">
        <f t="shared" si="21"/>
        <v>0</v>
      </c>
      <c r="G55" s="108">
        <f t="shared" si="21"/>
        <v>0</v>
      </c>
      <c r="H55" s="108">
        <f t="shared" si="21"/>
        <v>0</v>
      </c>
      <c r="I55" s="108">
        <f t="shared" si="21"/>
        <v>6801.9000000000005</v>
      </c>
      <c r="J55" s="113">
        <f t="shared" si="21"/>
        <v>8162.2800000000007</v>
      </c>
      <c r="K55" s="113">
        <f t="shared" si="21"/>
        <v>8162.2800000000007</v>
      </c>
      <c r="L55" s="109"/>
      <c r="M55" s="109"/>
      <c r="N55" s="110"/>
      <c r="O55" s="108">
        <f>SUM(O54:O54)</f>
        <v>0</v>
      </c>
      <c r="P55" s="108" t="e">
        <f>SUM(P54:P54)</f>
        <v>#REF!</v>
      </c>
      <c r="Q55" s="111"/>
      <c r="R55" s="112">
        <f>SUM(R54:R54)</f>
        <v>0</v>
      </c>
      <c r="S55" s="112">
        <f>SUM(S54:S54)</f>
        <v>0</v>
      </c>
      <c r="T55" s="112">
        <f>SUM(T54:T54)</f>
        <v>0</v>
      </c>
      <c r="U55" s="112">
        <f>SUM(U54:U54)</f>
        <v>0</v>
      </c>
      <c r="V55" s="112">
        <f>SUM(V54:V54)</f>
        <v>0</v>
      </c>
    </row>
    <row r="56" spans="1:22" ht="19.5" customHeight="1">
      <c r="A56" s="41" t="s">
        <v>70</v>
      </c>
      <c r="B56" s="41"/>
      <c r="C56" s="43"/>
      <c r="D56" s="44"/>
      <c r="E56" s="36">
        <v>480082.32500000007</v>
      </c>
      <c r="F56" s="36">
        <f>-E56*$F$10</f>
        <v>0</v>
      </c>
      <c r="G56" s="36">
        <f>E56*$G$10</f>
        <v>0</v>
      </c>
      <c r="H56" s="36"/>
      <c r="I56" s="36">
        <f>+E56+F56-G56-H56</f>
        <v>480082.32500000007</v>
      </c>
      <c r="J56" s="36">
        <f>+I56+(I56*$I$4)</f>
        <v>576098.79</v>
      </c>
      <c r="K56" s="36">
        <v>576098.79</v>
      </c>
      <c r="L56" s="37"/>
      <c r="M56" s="37"/>
      <c r="N56" s="92">
        <f>-IF(L56=0,,IF(M56=0,($C$10-L56),M56-L56))</f>
        <v>0</v>
      </c>
      <c r="O56" s="36">
        <f>+J56-K56</f>
        <v>0</v>
      </c>
      <c r="P56" s="36" t="e">
        <f>+IF($C$10&lt;L56,0,O56)</f>
        <v>#REF!</v>
      </c>
      <c r="Q56" s="39"/>
      <c r="R56" s="40">
        <f>IF(N56&gt;=0,0,(IF(-N56&lt;=60,O56,0)))</f>
        <v>0</v>
      </c>
      <c r="S56" s="40">
        <f>IF(N56&gt;=0,0,(IF(N56&gt;=-60,0,IF(-60&gt;=N56,IF(N56&gt;=-120,O56,0)))))</f>
        <v>0</v>
      </c>
      <c r="T56" s="40">
        <f>IF(N56&gt;=0,0,(IF(N56&gt;-60,0,IF(-60&gt;=N56,IF(N56&gt;=-120,0,IF(N56&gt;=-180,O56,0))))))</f>
        <v>0</v>
      </c>
      <c r="U56" s="40">
        <f>IF(N56&gt;=0,0,(IF(N56&gt;-60,0,IF(-60&gt;=N56,IF(N56&gt;-120,0,IF(N56&gt;=-180,0,IF(N56&gt;=-365,O56,0)))))))</f>
        <v>0</v>
      </c>
      <c r="V56" s="40">
        <f>IF(N56&gt;=0,0,IF(365&lt;-N56,O56,0))</f>
        <v>0</v>
      </c>
    </row>
    <row r="57" spans="1:22" s="99" customFormat="1" ht="15">
      <c r="A57" s="104"/>
      <c r="B57" s="105"/>
      <c r="C57" s="106"/>
      <c r="D57" s="107"/>
      <c r="E57" s="108">
        <f t="shared" ref="E57:K57" si="22">SUM(E56:E56)</f>
        <v>480082.32500000007</v>
      </c>
      <c r="F57" s="108">
        <f t="shared" si="22"/>
        <v>0</v>
      </c>
      <c r="G57" s="108">
        <f t="shared" si="22"/>
        <v>0</v>
      </c>
      <c r="H57" s="108">
        <f t="shared" si="22"/>
        <v>0</v>
      </c>
      <c r="I57" s="108">
        <f t="shared" si="22"/>
        <v>480082.32500000007</v>
      </c>
      <c r="J57" s="113">
        <f t="shared" si="22"/>
        <v>576098.79</v>
      </c>
      <c r="K57" s="113">
        <f t="shared" si="22"/>
        <v>576098.79</v>
      </c>
      <c r="L57" s="109"/>
      <c r="M57" s="109"/>
      <c r="N57" s="110"/>
      <c r="O57" s="108">
        <f>SUM(O56:O56)</f>
        <v>0</v>
      </c>
      <c r="P57" s="108" t="e">
        <f>SUM(P56:P56)</f>
        <v>#REF!</v>
      </c>
      <c r="Q57" s="111"/>
      <c r="R57" s="112">
        <f>SUM(R56:R56)</f>
        <v>0</v>
      </c>
      <c r="S57" s="112">
        <f>SUM(S56:S56)</f>
        <v>0</v>
      </c>
      <c r="T57" s="112">
        <f>SUM(T56:T56)</f>
        <v>0</v>
      </c>
      <c r="U57" s="112">
        <f>SUM(U56:U56)</f>
        <v>0</v>
      </c>
      <c r="V57" s="112">
        <f>SUM(V56:V56)</f>
        <v>0</v>
      </c>
    </row>
    <row r="58" spans="1:22" ht="19.5" customHeight="1">
      <c r="A58" s="41" t="s">
        <v>85</v>
      </c>
      <c r="B58" s="41"/>
      <c r="C58" s="43"/>
      <c r="D58" s="44"/>
      <c r="E58" s="36">
        <v>12355</v>
      </c>
      <c r="F58" s="36">
        <f>-E58*$F$10</f>
        <v>0</v>
      </c>
      <c r="G58" s="36">
        <f>E58*$G$10</f>
        <v>0</v>
      </c>
      <c r="H58" s="36"/>
      <c r="I58" s="36">
        <f>+E58+F58-G58-H58</f>
        <v>12355</v>
      </c>
      <c r="J58" s="36">
        <f>+I58+(I58*$I$4)</f>
        <v>14826</v>
      </c>
      <c r="K58" s="36">
        <v>14826</v>
      </c>
      <c r="L58" s="37"/>
      <c r="M58" s="37"/>
      <c r="N58" s="92">
        <f>-IF(L58=0,,IF(M58=0,($C$10-L58),M58-L58))</f>
        <v>0</v>
      </c>
      <c r="O58" s="36">
        <f>+J58-K58</f>
        <v>0</v>
      </c>
      <c r="P58" s="36" t="e">
        <f>+IF($C$10&lt;L58,0,O58)</f>
        <v>#REF!</v>
      </c>
      <c r="Q58" s="39"/>
      <c r="R58" s="40">
        <f>IF(N58&gt;=0,0,(IF(-N58&lt;=60,O58,0)))</f>
        <v>0</v>
      </c>
      <c r="S58" s="40">
        <f>IF(N58&gt;=0,0,(IF(N58&gt;=-60,0,IF(-60&gt;=N58,IF(N58&gt;=-120,O58,0)))))</f>
        <v>0</v>
      </c>
      <c r="T58" s="40">
        <f>IF(N58&gt;=0,0,(IF(N58&gt;-60,0,IF(-60&gt;=N58,IF(N58&gt;=-120,0,IF(N58&gt;=-180,O58,0))))))</f>
        <v>0</v>
      </c>
      <c r="U58" s="40">
        <f>IF(N58&gt;=0,0,(IF(N58&gt;-60,0,IF(-60&gt;=N58,IF(N58&gt;-120,0,IF(N58&gt;=-180,0,IF(N58&gt;=-365,O58,0)))))))</f>
        <v>0</v>
      </c>
      <c r="V58" s="40">
        <f>IF(N58&gt;=0,0,IF(365&lt;-N58,O58,0))</f>
        <v>0</v>
      </c>
    </row>
    <row r="59" spans="1:22" s="99" customFormat="1" ht="15">
      <c r="A59" s="104"/>
      <c r="B59" s="105"/>
      <c r="C59" s="106"/>
      <c r="D59" s="107"/>
      <c r="E59" s="108">
        <f t="shared" ref="E59:K59" si="23">SUM(E58:E58)</f>
        <v>12355</v>
      </c>
      <c r="F59" s="108">
        <f t="shared" si="23"/>
        <v>0</v>
      </c>
      <c r="G59" s="108">
        <f t="shared" si="23"/>
        <v>0</v>
      </c>
      <c r="H59" s="108">
        <f t="shared" si="23"/>
        <v>0</v>
      </c>
      <c r="I59" s="108">
        <f t="shared" si="23"/>
        <v>12355</v>
      </c>
      <c r="J59" s="113">
        <f t="shared" si="23"/>
        <v>14826</v>
      </c>
      <c r="K59" s="113">
        <f t="shared" si="23"/>
        <v>14826</v>
      </c>
      <c r="L59" s="109"/>
      <c r="M59" s="109"/>
      <c r="N59" s="110"/>
      <c r="O59" s="108">
        <f>SUM(O58:O58)</f>
        <v>0</v>
      </c>
      <c r="P59" s="108" t="e">
        <f>SUM(P58:P58)</f>
        <v>#REF!</v>
      </c>
      <c r="Q59" s="111"/>
      <c r="R59" s="112">
        <f>SUM(R58:R58)</f>
        <v>0</v>
      </c>
      <c r="S59" s="112">
        <f>SUM(S58:S58)</f>
        <v>0</v>
      </c>
      <c r="T59" s="112">
        <f>SUM(T58:T58)</f>
        <v>0</v>
      </c>
      <c r="U59" s="112">
        <f>SUM(U58:U58)</f>
        <v>0</v>
      </c>
      <c r="V59" s="112">
        <f>SUM(V58:V58)</f>
        <v>0</v>
      </c>
    </row>
    <row r="60" spans="1:22" ht="19.5" customHeight="1">
      <c r="A60" s="41" t="s">
        <v>104</v>
      </c>
      <c r="B60" s="41"/>
      <c r="C60" s="43"/>
      <c r="D60" s="44"/>
      <c r="E60" s="36">
        <v>2508</v>
      </c>
      <c r="F60" s="36">
        <f>-E60*$F$10</f>
        <v>0</v>
      </c>
      <c r="G60" s="36">
        <f>E60*$G$10</f>
        <v>0</v>
      </c>
      <c r="H60" s="36"/>
      <c r="I60" s="36">
        <f>+E60+F60-G60-H60</f>
        <v>2508</v>
      </c>
      <c r="J60" s="36">
        <f>+I60+(I60*$I$4)</f>
        <v>3009.6</v>
      </c>
      <c r="K60" s="36">
        <v>3009.6</v>
      </c>
      <c r="L60" s="37"/>
      <c r="M60" s="37"/>
      <c r="N60" s="92">
        <f>-IF(L60=0,,IF(M60=0,($C$10-L60),M60-L60))</f>
        <v>0</v>
      </c>
      <c r="O60" s="36">
        <f>+J60-K60</f>
        <v>0</v>
      </c>
      <c r="P60" s="36" t="e">
        <f>+IF($C$10&lt;L60,0,O60)</f>
        <v>#REF!</v>
      </c>
      <c r="Q60" s="39"/>
      <c r="R60" s="40">
        <f>IF(N60&gt;=0,0,(IF(-N60&lt;=60,O60,0)))</f>
        <v>0</v>
      </c>
      <c r="S60" s="40">
        <f>IF(N60&gt;=0,0,(IF(N60&gt;=-60,0,IF(-60&gt;=N60,IF(N60&gt;=-120,O60,0)))))</f>
        <v>0</v>
      </c>
      <c r="T60" s="40">
        <f>IF(N60&gt;=0,0,(IF(N60&gt;-60,0,IF(-60&gt;=N60,IF(N60&gt;=-120,0,IF(N60&gt;=-180,O60,0))))))</f>
        <v>0</v>
      </c>
      <c r="U60" s="40">
        <f>IF(N60&gt;=0,0,(IF(N60&gt;-60,0,IF(-60&gt;=N60,IF(N60&gt;-120,0,IF(N60&gt;=-180,0,IF(N60&gt;=-365,O60,0)))))))</f>
        <v>0</v>
      </c>
      <c r="V60" s="40">
        <f>IF(N60&gt;=0,0,IF(365&lt;-N60,O60,0))</f>
        <v>0</v>
      </c>
    </row>
    <row r="61" spans="1:22" s="99" customFormat="1" ht="12.75" customHeight="1">
      <c r="A61" s="104"/>
      <c r="B61" s="104"/>
      <c r="C61" s="106"/>
      <c r="D61" s="107"/>
      <c r="E61" s="108">
        <f t="shared" ref="E61:K61" si="24">SUM(E60:E60)</f>
        <v>2508</v>
      </c>
      <c r="F61" s="108">
        <f t="shared" si="24"/>
        <v>0</v>
      </c>
      <c r="G61" s="108">
        <f t="shared" si="24"/>
        <v>0</v>
      </c>
      <c r="H61" s="108">
        <f t="shared" si="24"/>
        <v>0</v>
      </c>
      <c r="I61" s="108">
        <f t="shared" si="24"/>
        <v>2508</v>
      </c>
      <c r="J61" s="113">
        <f t="shared" si="24"/>
        <v>3009.6</v>
      </c>
      <c r="K61" s="113">
        <f t="shared" si="24"/>
        <v>3009.6</v>
      </c>
      <c r="L61" s="109"/>
      <c r="M61" s="109"/>
      <c r="N61" s="110"/>
      <c r="O61" s="108">
        <f>SUM(O60:O60)</f>
        <v>0</v>
      </c>
      <c r="P61" s="108" t="e">
        <f>SUM(P60:P60)</f>
        <v>#REF!</v>
      </c>
      <c r="Q61" s="111"/>
      <c r="R61" s="112">
        <f>SUM(R60:R60)</f>
        <v>0</v>
      </c>
      <c r="S61" s="112">
        <f>SUM(S60:S60)</f>
        <v>0</v>
      </c>
      <c r="T61" s="112">
        <f>SUM(T60:T60)</f>
        <v>0</v>
      </c>
      <c r="U61" s="112">
        <f>SUM(U60:U60)</f>
        <v>0</v>
      </c>
      <c r="V61" s="112">
        <f>SUM(V60:V60)</f>
        <v>0</v>
      </c>
    </row>
    <row r="62" spans="1:22" ht="19.5" customHeight="1" thickBot="1">
      <c r="A62" s="41"/>
      <c r="B62" s="42"/>
      <c r="C62" s="43"/>
      <c r="D62" s="44"/>
      <c r="E62" s="36"/>
      <c r="F62" s="36"/>
      <c r="G62" s="36"/>
      <c r="H62" s="36"/>
      <c r="I62" s="36"/>
      <c r="J62" s="36"/>
      <c r="K62" s="36"/>
      <c r="L62" s="37"/>
      <c r="M62" s="37"/>
      <c r="N62" s="38"/>
      <c r="O62" s="36"/>
      <c r="P62" s="42" t="e">
        <f>+IF($C$10&lt;L62,0,O62)</f>
        <v>#REF!</v>
      </c>
      <c r="Q62" s="39"/>
      <c r="R62" s="97"/>
      <c r="S62" s="97"/>
      <c r="T62" s="97"/>
      <c r="U62" s="97"/>
      <c r="V62" s="97"/>
    </row>
    <row r="63" spans="1:22" s="111" customFormat="1" ht="28.5" customHeight="1" thickBot="1">
      <c r="A63" s="120"/>
      <c r="B63" s="121" t="s">
        <v>43</v>
      </c>
      <c r="C63" s="121"/>
      <c r="D63" s="121"/>
      <c r="E63" s="122">
        <f>SUM(E12:E62)/2</f>
        <v>14188647.514466664</v>
      </c>
      <c r="F63" s="122">
        <f t="shared" ref="F63:K63" si="25">SUM(F12:F62)/2</f>
        <v>0</v>
      </c>
      <c r="G63" s="122">
        <f t="shared" si="25"/>
        <v>0</v>
      </c>
      <c r="H63" s="122">
        <f t="shared" si="25"/>
        <v>0</v>
      </c>
      <c r="I63" s="122">
        <f t="shared" si="25"/>
        <v>14188647.514466664</v>
      </c>
      <c r="J63" s="122">
        <f t="shared" si="25"/>
        <v>17026377.017360002</v>
      </c>
      <c r="K63" s="122">
        <f t="shared" si="25"/>
        <v>17026377.017360002</v>
      </c>
      <c r="L63" s="123"/>
      <c r="M63" s="123"/>
      <c r="N63" s="123"/>
      <c r="O63" s="122">
        <f>SUM(O14:O62)/2</f>
        <v>0</v>
      </c>
      <c r="P63" s="122" t="e">
        <f>SUM(P14:P62)/2</f>
        <v>#REF!</v>
      </c>
      <c r="R63" s="124">
        <f>SUM(R14:R62)/2</f>
        <v>0</v>
      </c>
      <c r="S63" s="124">
        <f>SUM(S14:S62)/2</f>
        <v>0</v>
      </c>
      <c r="T63" s="124">
        <f>SUM(T14:T62)/2</f>
        <v>0</v>
      </c>
      <c r="U63" s="124">
        <f>SUM(U14:U62)/2</f>
        <v>0</v>
      </c>
      <c r="V63" s="124">
        <f>SUM(V14:V62)/2</f>
        <v>0</v>
      </c>
    </row>
    <row r="64" spans="1:22" ht="21" customHeight="1">
      <c r="A64" s="45"/>
      <c r="B64" s="46"/>
      <c r="C64" s="46"/>
      <c r="D64" s="47" t="s">
        <v>44</v>
      </c>
      <c r="E64" s="48">
        <f>+E63/$M$7</f>
        <v>0.99999955488847558</v>
      </c>
      <c r="F64" s="46"/>
      <c r="G64" s="46"/>
      <c r="H64" s="46"/>
      <c r="I64" s="46"/>
      <c r="J64" s="47" t="s">
        <v>45</v>
      </c>
      <c r="K64" s="48">
        <f>+K63/J63</f>
        <v>1</v>
      </c>
      <c r="L64" s="46"/>
      <c r="M64" s="46">
        <v>14195827.879466666</v>
      </c>
      <c r="N64" s="46"/>
      <c r="O64" s="46"/>
      <c r="P64" s="49"/>
      <c r="Q64" s="39"/>
      <c r="R64" s="39"/>
      <c r="S64" s="39"/>
      <c r="T64" s="39"/>
      <c r="U64" s="39"/>
      <c r="V64" s="39"/>
    </row>
    <row r="65" spans="1:22" ht="21" customHeight="1" thickBot="1">
      <c r="A65" s="50"/>
      <c r="B65" s="51"/>
      <c r="C65" s="51"/>
      <c r="D65" s="52" t="s">
        <v>46</v>
      </c>
      <c r="E65" s="53">
        <f>+$M$7-$E$63</f>
        <v>6.3155333362519741</v>
      </c>
      <c r="F65" s="54">
        <f>+E65/M7</f>
        <v>4.4511152445615585E-7</v>
      </c>
      <c r="G65" s="51"/>
      <c r="H65" s="51"/>
      <c r="I65" s="51"/>
      <c r="J65" s="117"/>
      <c r="K65" s="51"/>
      <c r="L65" s="51"/>
      <c r="M65" s="51">
        <f>+M64-14188653.83</f>
        <v>7174.0494666658342</v>
      </c>
      <c r="N65" s="51"/>
      <c r="O65" s="51"/>
      <c r="P65" s="55"/>
      <c r="Q65" s="39"/>
      <c r="R65" s="39"/>
      <c r="S65" s="39"/>
      <c r="T65" s="39"/>
      <c r="U65" s="39"/>
      <c r="V65" s="39"/>
    </row>
    <row r="66" spans="1:22">
      <c r="A66" s="39"/>
      <c r="B66" s="45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9"/>
      <c r="O66" s="39"/>
      <c r="P66" s="39"/>
      <c r="Q66" s="39"/>
      <c r="R66" s="39"/>
      <c r="S66" s="39"/>
      <c r="T66" s="39"/>
      <c r="U66" s="39"/>
      <c r="V66" s="39"/>
    </row>
    <row r="67" spans="1:22" ht="21">
      <c r="A67" s="39"/>
      <c r="B67" s="56"/>
      <c r="C67" s="91" t="s">
        <v>47</v>
      </c>
      <c r="D67" s="91"/>
      <c r="E67" s="91"/>
      <c r="F67" s="91"/>
      <c r="G67" s="91"/>
      <c r="H67" s="91" t="s">
        <v>105</v>
      </c>
      <c r="I67" s="57"/>
      <c r="J67" s="57"/>
      <c r="K67" s="57"/>
      <c r="L67" s="57"/>
      <c r="M67" s="57"/>
      <c r="N67" s="58"/>
      <c r="O67" s="39"/>
      <c r="P67" s="39"/>
      <c r="Q67" s="39"/>
      <c r="R67" s="39"/>
      <c r="S67" s="39"/>
      <c r="T67" s="39"/>
      <c r="U67" s="39"/>
      <c r="V67" s="39"/>
    </row>
    <row r="68" spans="1:22" ht="17.25" thickBot="1">
      <c r="A68" s="39"/>
      <c r="B68" s="56"/>
      <c r="C68" s="57"/>
      <c r="D68" s="57"/>
      <c r="E68" s="57"/>
      <c r="F68" s="57"/>
      <c r="G68" s="59"/>
      <c r="H68" s="57"/>
      <c r="I68" s="57"/>
      <c r="J68" s="57"/>
      <c r="K68" s="57"/>
      <c r="L68" s="57"/>
      <c r="M68" s="57"/>
      <c r="N68" s="58"/>
      <c r="O68" s="39"/>
      <c r="P68" s="39"/>
      <c r="Q68" s="39"/>
      <c r="R68" s="39"/>
      <c r="S68" s="39"/>
      <c r="T68" s="39"/>
      <c r="U68" s="39"/>
      <c r="V68" s="39"/>
    </row>
    <row r="69" spans="1:22" ht="18" customHeight="1" thickBot="1">
      <c r="A69" s="39"/>
      <c r="B69" s="56"/>
      <c r="C69" s="158" t="s">
        <v>48</v>
      </c>
      <c r="D69" s="159"/>
      <c r="E69" s="160"/>
      <c r="F69" s="79" t="s">
        <v>57</v>
      </c>
      <c r="G69" s="61">
        <f>+M7</f>
        <v>14188653.83</v>
      </c>
      <c r="H69" s="60"/>
      <c r="I69" s="62"/>
      <c r="J69" s="60"/>
      <c r="K69" s="60"/>
      <c r="L69" s="60"/>
      <c r="M69" s="60"/>
      <c r="N69" s="63"/>
      <c r="O69" s="39"/>
      <c r="P69" s="39"/>
      <c r="Q69" s="39"/>
      <c r="R69" s="39"/>
      <c r="S69" s="39"/>
      <c r="T69" s="39"/>
      <c r="U69" s="39"/>
      <c r="V69" s="39"/>
    </row>
    <row r="70" spans="1:22" ht="17.25" thickBot="1">
      <c r="A70" s="39"/>
      <c r="B70" s="56"/>
      <c r="C70" s="79"/>
      <c r="D70" s="79"/>
      <c r="E70" s="79"/>
      <c r="F70" s="79"/>
      <c r="G70" s="60"/>
      <c r="H70" s="60"/>
      <c r="I70" s="60"/>
      <c r="J70" s="60"/>
      <c r="K70" s="60"/>
      <c r="L70" s="60"/>
      <c r="M70" s="60"/>
      <c r="N70" s="63"/>
      <c r="O70" s="39"/>
      <c r="P70" s="39"/>
      <c r="Q70" s="39"/>
      <c r="R70" s="39"/>
      <c r="S70" s="39"/>
      <c r="T70" s="39"/>
      <c r="U70" s="39"/>
      <c r="V70" s="39"/>
    </row>
    <row r="71" spans="1:22" ht="18" customHeight="1" thickBot="1">
      <c r="A71" s="39"/>
      <c r="B71" s="56"/>
      <c r="C71" s="149" t="s">
        <v>49</v>
      </c>
      <c r="D71" s="150"/>
      <c r="E71" s="151"/>
      <c r="F71" s="79" t="s">
        <v>57</v>
      </c>
      <c r="G71" s="64">
        <f>+E63</f>
        <v>14188647.514466664</v>
      </c>
      <c r="H71" s="60"/>
      <c r="I71" s="60"/>
      <c r="J71" s="65">
        <f>G71/G69</f>
        <v>0.99999955488847558</v>
      </c>
      <c r="K71" s="100" t="s">
        <v>50</v>
      </c>
      <c r="L71" s="66"/>
      <c r="M71" s="66"/>
      <c r="N71" s="63"/>
      <c r="O71" s="39"/>
      <c r="P71" s="39"/>
      <c r="Q71" s="39"/>
      <c r="R71" s="39"/>
      <c r="S71" s="39"/>
      <c r="T71" s="39"/>
      <c r="U71" s="39"/>
      <c r="V71" s="39"/>
    </row>
    <row r="72" spans="1:22" ht="17.25" thickBot="1">
      <c r="B72" s="67"/>
      <c r="C72" s="79"/>
      <c r="D72" s="79"/>
      <c r="E72" s="79"/>
      <c r="F72" s="79"/>
      <c r="G72" s="60"/>
      <c r="H72" s="60"/>
      <c r="I72" s="60"/>
      <c r="J72" s="60"/>
      <c r="K72" s="101"/>
      <c r="L72" s="60"/>
      <c r="M72" s="60"/>
      <c r="N72" s="63"/>
    </row>
    <row r="73" spans="1:22" ht="18" customHeight="1" thickBot="1">
      <c r="B73" s="67"/>
      <c r="C73" s="152" t="s">
        <v>58</v>
      </c>
      <c r="D73" s="153"/>
      <c r="E73" s="154"/>
      <c r="F73" s="79" t="s">
        <v>56</v>
      </c>
      <c r="G73" s="68">
        <f>+K63</f>
        <v>17026377.017360002</v>
      </c>
      <c r="H73" s="60"/>
      <c r="I73" s="60"/>
      <c r="J73" s="69">
        <f>+G73/J63</f>
        <v>1</v>
      </c>
      <c r="K73" s="102" t="s">
        <v>51</v>
      </c>
      <c r="L73" s="70"/>
      <c r="M73" s="70"/>
      <c r="N73" s="63"/>
    </row>
    <row r="74" spans="1:22" ht="17.25" thickBot="1">
      <c r="B74" s="67"/>
      <c r="C74" s="79"/>
      <c r="D74" s="79"/>
      <c r="E74" s="79"/>
      <c r="F74" s="79"/>
      <c r="G74" s="60"/>
      <c r="H74" s="60"/>
      <c r="I74" s="60"/>
      <c r="J74" s="60"/>
      <c r="K74" s="101"/>
      <c r="L74" s="60"/>
      <c r="M74" s="60"/>
      <c r="N74" s="63"/>
    </row>
    <row r="75" spans="1:22" ht="18" customHeight="1" thickBot="1">
      <c r="B75" s="67"/>
      <c r="C75" s="152" t="s">
        <v>52</v>
      </c>
      <c r="D75" s="153"/>
      <c r="E75" s="154"/>
      <c r="F75" s="79" t="s">
        <v>56</v>
      </c>
      <c r="G75" s="71">
        <f>+O63</f>
        <v>0</v>
      </c>
      <c r="H75" s="60"/>
      <c r="I75" s="60"/>
      <c r="J75" s="72">
        <f>+G75/J63</f>
        <v>0</v>
      </c>
      <c r="K75" s="102" t="s">
        <v>51</v>
      </c>
      <c r="L75" s="73"/>
      <c r="M75" s="73"/>
      <c r="N75" s="63"/>
    </row>
    <row r="76" spans="1:22" ht="17.25" thickBot="1">
      <c r="B76" s="67"/>
      <c r="C76" s="79"/>
      <c r="D76" s="79"/>
      <c r="E76" s="79"/>
      <c r="F76" s="79"/>
      <c r="G76" s="60"/>
      <c r="H76" s="60"/>
      <c r="I76" s="60"/>
      <c r="J76" s="60"/>
      <c r="K76" s="101"/>
      <c r="L76" s="60"/>
      <c r="M76" s="60"/>
      <c r="N76" s="63"/>
    </row>
    <row r="77" spans="1:22" ht="18" customHeight="1" thickBot="1">
      <c r="B77" s="67"/>
      <c r="C77" s="152" t="s">
        <v>54</v>
      </c>
      <c r="D77" s="153"/>
      <c r="E77" s="154"/>
      <c r="F77" s="79" t="s">
        <v>56</v>
      </c>
      <c r="G77" s="74" t="e">
        <f>+P63</f>
        <v>#REF!</v>
      </c>
      <c r="H77" s="60"/>
      <c r="I77" s="60"/>
      <c r="J77" s="75" t="e">
        <f>+G77/J63</f>
        <v>#REF!</v>
      </c>
      <c r="K77" s="102" t="s">
        <v>51</v>
      </c>
      <c r="L77" s="70"/>
      <c r="M77" s="70"/>
      <c r="N77" s="63"/>
    </row>
    <row r="78" spans="1:22" ht="5.25" customHeight="1" thickBot="1">
      <c r="B78" s="76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8"/>
    </row>
  </sheetData>
  <mergeCells count="18">
    <mergeCell ref="C71:E71"/>
    <mergeCell ref="C73:E73"/>
    <mergeCell ref="C75:E75"/>
    <mergeCell ref="C77:E77"/>
    <mergeCell ref="M5:N5"/>
    <mergeCell ref="M6:N6"/>
    <mergeCell ref="M7:N7"/>
    <mergeCell ref="M8:N8"/>
    <mergeCell ref="O10:P10"/>
    <mergeCell ref="C69:E69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55" fitToHeight="4" orientation="landscape" r:id="rId1"/>
  <rowBreaks count="1" manualBreakCount="1">
    <brk id="6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205"/>
  <sheetViews>
    <sheetView workbookViewId="0">
      <selection activeCell="I20" sqref="I20"/>
    </sheetView>
  </sheetViews>
  <sheetFormatPr baseColWidth="10" defaultColWidth="11.42578125" defaultRowHeight="16.5"/>
  <cols>
    <col min="1" max="1" width="19.85546875" style="7" customWidth="1"/>
    <col min="2" max="2" width="11.140625" style="7" customWidth="1"/>
    <col min="3" max="3" width="10.425781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0.5703125" style="7" bestFit="1" customWidth="1"/>
    <col min="9" max="9" width="13.28515625" style="7" customWidth="1"/>
    <col min="10" max="10" width="14.7109375" style="7" bestFit="1" customWidth="1"/>
    <col min="11" max="12" width="13.7109375" style="7" customWidth="1"/>
    <col min="13" max="13" width="11.42578125" style="7"/>
    <col min="14" max="14" width="10.42578125" style="7" bestFit="1" customWidth="1"/>
    <col min="15" max="15" width="13.42578125" style="7" customWidth="1"/>
    <col min="16" max="16" width="13.5703125" style="7" customWidth="1"/>
    <col min="17" max="17" width="6.140625" style="7" customWidth="1"/>
    <col min="18" max="18" width="12.28515625" style="7" bestFit="1" customWidth="1"/>
    <col min="19" max="19" width="9.42578125" style="7" bestFit="1" customWidth="1"/>
    <col min="20" max="20" width="8.7109375" style="7" bestFit="1" customWidth="1"/>
    <col min="21" max="21" width="10.5703125" style="7" bestFit="1" customWidth="1"/>
    <col min="22" max="22" width="7.5703125" style="7" bestFit="1" customWidth="1"/>
    <col min="23" max="16384" width="11.42578125" style="7"/>
  </cols>
  <sheetData>
    <row r="1" spans="1:22" ht="21" customHeight="1">
      <c r="A1" s="1" t="s">
        <v>0</v>
      </c>
      <c r="B1" s="2"/>
      <c r="C1" s="138" t="s">
        <v>59</v>
      </c>
      <c r="D1" s="138"/>
      <c r="E1" s="138"/>
      <c r="F1" s="139"/>
      <c r="G1" s="141" t="s">
        <v>1</v>
      </c>
      <c r="H1" s="142"/>
      <c r="I1" s="142"/>
      <c r="J1" s="143"/>
      <c r="K1" s="3" t="s">
        <v>2</v>
      </c>
      <c r="L1" s="4"/>
      <c r="M1" s="144">
        <v>23848877.48</v>
      </c>
      <c r="N1" s="144"/>
      <c r="O1" s="5" t="s">
        <v>3</v>
      </c>
      <c r="P1" s="6"/>
    </row>
    <row r="2" spans="1:22" ht="21">
      <c r="A2" s="8"/>
      <c r="B2" s="9"/>
      <c r="C2" s="136"/>
      <c r="D2" s="136"/>
      <c r="E2" s="136"/>
      <c r="F2" s="140"/>
      <c r="G2" s="80" t="s">
        <v>4</v>
      </c>
      <c r="H2" s="81"/>
      <c r="I2" s="82">
        <v>90</v>
      </c>
      <c r="J2" s="93"/>
      <c r="K2" s="10" t="s">
        <v>5</v>
      </c>
      <c r="L2" s="11"/>
      <c r="M2" s="137"/>
      <c r="N2" s="137"/>
      <c r="O2" s="11"/>
      <c r="P2" s="12"/>
    </row>
    <row r="3" spans="1:22" ht="21" customHeight="1">
      <c r="A3" s="8" t="s">
        <v>6</v>
      </c>
      <c r="B3" s="9"/>
      <c r="C3" s="136"/>
      <c r="D3" s="136"/>
      <c r="E3" s="136"/>
      <c r="F3" s="13"/>
      <c r="G3" s="80" t="s">
        <v>7</v>
      </c>
      <c r="H3" s="81"/>
      <c r="I3" s="83" t="s">
        <v>8</v>
      </c>
      <c r="J3" s="84"/>
      <c r="K3" s="10" t="s">
        <v>60</v>
      </c>
      <c r="L3" s="11"/>
      <c r="M3" s="137"/>
      <c r="N3" s="137"/>
      <c r="O3" s="11"/>
      <c r="P3" s="12"/>
    </row>
    <row r="4" spans="1:22">
      <c r="A4" s="8"/>
      <c r="B4" s="9"/>
      <c r="C4" s="136"/>
      <c r="D4" s="136"/>
      <c r="E4" s="136"/>
      <c r="F4" s="14"/>
      <c r="G4" s="80" t="s">
        <v>9</v>
      </c>
      <c r="H4" s="81"/>
      <c r="I4" s="85">
        <v>0.2</v>
      </c>
      <c r="J4" s="84"/>
      <c r="K4" s="10"/>
      <c r="L4" s="11"/>
      <c r="M4" s="137"/>
      <c r="N4" s="137"/>
      <c r="O4" s="11"/>
      <c r="P4" s="12"/>
    </row>
    <row r="5" spans="1:22">
      <c r="A5" s="8" t="s">
        <v>10</v>
      </c>
      <c r="B5" s="9"/>
      <c r="C5" s="9"/>
      <c r="D5" s="15"/>
      <c r="E5" s="16"/>
      <c r="F5" s="17"/>
      <c r="G5" s="80" t="s">
        <v>11</v>
      </c>
      <c r="H5" s="81"/>
      <c r="I5" s="83"/>
      <c r="J5" s="84" t="s">
        <v>12</v>
      </c>
      <c r="K5" s="10"/>
      <c r="L5" s="11"/>
      <c r="M5" s="137"/>
      <c r="N5" s="137"/>
      <c r="O5" s="11"/>
      <c r="P5" s="12"/>
    </row>
    <row r="6" spans="1:22">
      <c r="A6" s="8" t="s">
        <v>13</v>
      </c>
      <c r="B6" s="9"/>
      <c r="C6" s="9"/>
      <c r="D6" s="18"/>
      <c r="E6" s="19"/>
      <c r="F6" s="20"/>
      <c r="G6" s="80"/>
      <c r="H6" s="83" t="s">
        <v>14</v>
      </c>
      <c r="I6" s="94">
        <v>0</v>
      </c>
      <c r="J6" s="84" t="s">
        <v>53</v>
      </c>
      <c r="K6" s="10" t="s">
        <v>55</v>
      </c>
      <c r="L6" s="11"/>
      <c r="M6" s="137"/>
      <c r="N6" s="137"/>
      <c r="O6" s="11"/>
      <c r="P6" s="12"/>
    </row>
    <row r="7" spans="1:22">
      <c r="A7" s="8" t="s">
        <v>15</v>
      </c>
      <c r="B7" s="9"/>
      <c r="C7" s="9"/>
      <c r="D7" s="18"/>
      <c r="E7" s="19"/>
      <c r="F7" s="20"/>
      <c r="G7" s="80"/>
      <c r="H7" s="83" t="s">
        <v>16</v>
      </c>
      <c r="I7" s="94">
        <v>0</v>
      </c>
      <c r="J7" s="84" t="s">
        <v>53</v>
      </c>
      <c r="K7" s="21" t="s">
        <v>17</v>
      </c>
      <c r="L7" s="22"/>
      <c r="M7" s="145">
        <f>SUM(M1:M6)</f>
        <v>23848877.48</v>
      </c>
      <c r="N7" s="145"/>
      <c r="O7" s="11"/>
      <c r="P7" s="12"/>
    </row>
    <row r="8" spans="1:22">
      <c r="A8" s="23" t="s">
        <v>18</v>
      </c>
      <c r="B8" s="24"/>
      <c r="C8" s="24"/>
      <c r="D8" s="25" t="s">
        <v>81</v>
      </c>
      <c r="E8" s="26"/>
      <c r="F8" s="27"/>
      <c r="G8" s="86"/>
      <c r="H8" s="87" t="s">
        <v>19</v>
      </c>
      <c r="I8" s="95">
        <v>0</v>
      </c>
      <c r="J8" s="88" t="s">
        <v>53</v>
      </c>
      <c r="K8" s="28" t="s">
        <v>20</v>
      </c>
      <c r="L8" s="29"/>
      <c r="M8" s="146">
        <f>+M7*(1+$I$4)</f>
        <v>28618652.976</v>
      </c>
      <c r="N8" s="146"/>
      <c r="O8" s="30"/>
      <c r="P8" s="31"/>
    </row>
    <row r="10" spans="1:22" ht="21" customHeight="1">
      <c r="B10" s="7" t="s">
        <v>21</v>
      </c>
      <c r="C10" s="32" t="e">
        <f>+#REF!</f>
        <v>#REF!</v>
      </c>
      <c r="E10" s="33"/>
      <c r="F10" s="34">
        <v>0</v>
      </c>
      <c r="G10" s="35"/>
      <c r="O10" s="147" t="s">
        <v>22</v>
      </c>
      <c r="P10" s="148"/>
    </row>
    <row r="11" spans="1:22" ht="60">
      <c r="A11" s="89" t="s">
        <v>61</v>
      </c>
      <c r="B11" s="90" t="s">
        <v>23</v>
      </c>
      <c r="C11" s="90" t="s">
        <v>24</v>
      </c>
      <c r="D11" s="89" t="s">
        <v>25</v>
      </c>
      <c r="E11" s="90" t="s">
        <v>26</v>
      </c>
      <c r="F11" s="90" t="s">
        <v>27</v>
      </c>
      <c r="G11" s="90" t="s">
        <v>28</v>
      </c>
      <c r="H11" s="90" t="s">
        <v>29</v>
      </c>
      <c r="I11" s="90" t="s">
        <v>30</v>
      </c>
      <c r="J11" s="90" t="s">
        <v>31</v>
      </c>
      <c r="K11" s="90" t="s">
        <v>32</v>
      </c>
      <c r="L11" s="90" t="s">
        <v>33</v>
      </c>
      <c r="M11" s="90" t="s">
        <v>34</v>
      </c>
      <c r="N11" s="90" t="s">
        <v>35</v>
      </c>
      <c r="O11" s="90" t="s">
        <v>36</v>
      </c>
      <c r="P11" s="90" t="s">
        <v>37</v>
      </c>
      <c r="R11" s="96" t="s">
        <v>38</v>
      </c>
      <c r="S11" s="96" t="s">
        <v>39</v>
      </c>
      <c r="T11" s="96" t="s">
        <v>40</v>
      </c>
      <c r="U11" s="96" t="s">
        <v>41</v>
      </c>
      <c r="V11" s="96" t="s">
        <v>42</v>
      </c>
    </row>
    <row r="12" spans="1:22" ht="19.5" customHeight="1">
      <c r="A12" s="41" t="s">
        <v>62</v>
      </c>
      <c r="B12" s="41"/>
      <c r="C12" s="43">
        <v>40939</v>
      </c>
      <c r="D12" s="44"/>
      <c r="E12" s="36">
        <v>31377.39166666667</v>
      </c>
      <c r="F12" s="36">
        <f t="shared" ref="F12:F20" si="0">-E12*$F$10</f>
        <v>0</v>
      </c>
      <c r="G12" s="36">
        <f t="shared" ref="G12:G20" si="1">E12*$G$10</f>
        <v>0</v>
      </c>
      <c r="H12" s="36"/>
      <c r="I12" s="36">
        <f t="shared" ref="I12:I20" si="2">+E12+F12-G12-H12</f>
        <v>31377.39166666667</v>
      </c>
      <c r="J12" s="36">
        <f t="shared" ref="J12:J20" si="3">+I12+(I12*$I$4)</f>
        <v>37652.870000000003</v>
      </c>
      <c r="K12" s="36">
        <v>37652.870000000003</v>
      </c>
      <c r="L12" s="37">
        <v>41014</v>
      </c>
      <c r="M12" s="37">
        <v>41077</v>
      </c>
      <c r="N12" s="92">
        <f t="shared" ref="N12:N20" si="4">-IF(L12=0,,IF(M12=0,($C$10-L12),M12-L12))</f>
        <v>-63</v>
      </c>
      <c r="O12" s="36">
        <f t="shared" ref="O12:O20" si="5">+J12-K12</f>
        <v>0</v>
      </c>
      <c r="P12" s="36" t="e">
        <f t="shared" ref="P12:P20" si="6">+IF($C$10&lt;L12,0,O12)</f>
        <v>#REF!</v>
      </c>
      <c r="Q12" s="39"/>
      <c r="R12" s="40">
        <f t="shared" ref="R12:R20" si="7">IF(N12&gt;=0,0,(IF(-N12&lt;=60,O12,0)))</f>
        <v>0</v>
      </c>
      <c r="S12" s="40">
        <f t="shared" ref="S12:S20" si="8">IF(N12&gt;=0,0,(IF(N12&gt;=-60,0,IF(-60&gt;=N12,IF(N12&gt;=-120,O12,0)))))</f>
        <v>0</v>
      </c>
      <c r="T12" s="40">
        <f t="shared" ref="T12:T20" si="9">IF(N12&gt;=0,0,(IF(N12&gt;-60,0,IF(-60&gt;=N12,IF(N12&gt;=-120,0,IF(N12&gt;=-180,O12,0))))))</f>
        <v>0</v>
      </c>
      <c r="U12" s="40">
        <f t="shared" ref="U12:U20" si="10">IF(N12&gt;=0,0,(IF(N12&gt;-60,0,IF(-60&gt;=N12,IF(N12&gt;-120,0,IF(N12&gt;=-180,0,IF(N12&gt;=-365,O12,0)))))))</f>
        <v>0</v>
      </c>
      <c r="V12" s="40">
        <f t="shared" ref="V12:V20" si="11">IF(N12&gt;=0,0,IF(365&lt;-N12,O12,0))</f>
        <v>0</v>
      </c>
    </row>
    <row r="13" spans="1:22" ht="19.5" customHeight="1">
      <c r="A13" s="41" t="s">
        <v>62</v>
      </c>
      <c r="B13" s="42"/>
      <c r="C13" s="43">
        <v>40968</v>
      </c>
      <c r="D13" s="44"/>
      <c r="E13" s="36">
        <v>63146.225000000006</v>
      </c>
      <c r="F13" s="36">
        <f t="shared" si="0"/>
        <v>0</v>
      </c>
      <c r="G13" s="36">
        <f t="shared" si="1"/>
        <v>0</v>
      </c>
      <c r="H13" s="36"/>
      <c r="I13" s="36">
        <f t="shared" si="2"/>
        <v>63146.225000000006</v>
      </c>
      <c r="J13" s="36">
        <f t="shared" si="3"/>
        <v>75775.47</v>
      </c>
      <c r="K13" s="36">
        <v>75775.47</v>
      </c>
      <c r="L13" s="37">
        <v>41044</v>
      </c>
      <c r="M13" s="37">
        <v>41098</v>
      </c>
      <c r="N13" s="92">
        <f t="shared" si="4"/>
        <v>-54</v>
      </c>
      <c r="O13" s="36">
        <f t="shared" si="5"/>
        <v>0</v>
      </c>
      <c r="P13" s="36" t="e">
        <f t="shared" si="6"/>
        <v>#REF!</v>
      </c>
      <c r="Q13" s="39"/>
      <c r="R13" s="40">
        <f t="shared" si="7"/>
        <v>0</v>
      </c>
      <c r="S13" s="40">
        <f t="shared" si="8"/>
        <v>0</v>
      </c>
      <c r="T13" s="40">
        <f t="shared" si="9"/>
        <v>0</v>
      </c>
      <c r="U13" s="40">
        <f t="shared" si="10"/>
        <v>0</v>
      </c>
      <c r="V13" s="40">
        <f t="shared" si="11"/>
        <v>0</v>
      </c>
    </row>
    <row r="14" spans="1:22" ht="19.5" customHeight="1">
      <c r="A14" s="41" t="s">
        <v>62</v>
      </c>
      <c r="B14" s="41"/>
      <c r="C14" s="43">
        <v>40999</v>
      </c>
      <c r="D14" s="44"/>
      <c r="E14" s="36">
        <v>114553.07500000001</v>
      </c>
      <c r="F14" s="36">
        <f t="shared" si="0"/>
        <v>0</v>
      </c>
      <c r="G14" s="36">
        <f t="shared" si="1"/>
        <v>0</v>
      </c>
      <c r="H14" s="36"/>
      <c r="I14" s="36">
        <f t="shared" si="2"/>
        <v>114553.07500000001</v>
      </c>
      <c r="J14" s="36">
        <f t="shared" si="3"/>
        <v>137463.69</v>
      </c>
      <c r="K14" s="36">
        <v>137463.69</v>
      </c>
      <c r="L14" s="37">
        <v>41075</v>
      </c>
      <c r="M14" s="37">
        <v>41161</v>
      </c>
      <c r="N14" s="92">
        <f t="shared" si="4"/>
        <v>-86</v>
      </c>
      <c r="O14" s="36">
        <f t="shared" si="5"/>
        <v>0</v>
      </c>
      <c r="P14" s="36" t="e">
        <f t="shared" si="6"/>
        <v>#REF!</v>
      </c>
      <c r="Q14" s="39"/>
      <c r="R14" s="40">
        <f t="shared" si="7"/>
        <v>0</v>
      </c>
      <c r="S14" s="40">
        <f t="shared" si="8"/>
        <v>0</v>
      </c>
      <c r="T14" s="40">
        <f t="shared" si="9"/>
        <v>0</v>
      </c>
      <c r="U14" s="40">
        <f t="shared" si="10"/>
        <v>0</v>
      </c>
      <c r="V14" s="40">
        <f t="shared" si="11"/>
        <v>0</v>
      </c>
    </row>
    <row r="15" spans="1:22" ht="19.5" customHeight="1">
      <c r="A15" s="41" t="s">
        <v>62</v>
      </c>
      <c r="B15" s="42"/>
      <c r="C15" s="43">
        <v>41029</v>
      </c>
      <c r="D15" s="44"/>
      <c r="E15" s="36">
        <v>152136.19166666668</v>
      </c>
      <c r="F15" s="36">
        <f t="shared" si="0"/>
        <v>0</v>
      </c>
      <c r="G15" s="36">
        <f t="shared" si="1"/>
        <v>0</v>
      </c>
      <c r="H15" s="36"/>
      <c r="I15" s="36">
        <f t="shared" si="2"/>
        <v>152136.19166666668</v>
      </c>
      <c r="J15" s="36">
        <f t="shared" si="3"/>
        <v>182563.43000000002</v>
      </c>
      <c r="K15" s="36">
        <v>182563.43000000002</v>
      </c>
      <c r="L15" s="37">
        <v>41105</v>
      </c>
      <c r="M15" s="37">
        <v>41182</v>
      </c>
      <c r="N15" s="92">
        <f t="shared" si="4"/>
        <v>-77</v>
      </c>
      <c r="O15" s="36">
        <f t="shared" si="5"/>
        <v>0</v>
      </c>
      <c r="P15" s="36" t="e">
        <f t="shared" si="6"/>
        <v>#REF!</v>
      </c>
      <c r="Q15" s="39"/>
      <c r="R15" s="40">
        <f t="shared" si="7"/>
        <v>0</v>
      </c>
      <c r="S15" s="40">
        <f t="shared" si="8"/>
        <v>0</v>
      </c>
      <c r="T15" s="40">
        <f t="shared" si="9"/>
        <v>0</v>
      </c>
      <c r="U15" s="40">
        <f t="shared" si="10"/>
        <v>0</v>
      </c>
      <c r="V15" s="40">
        <f t="shared" si="11"/>
        <v>0</v>
      </c>
    </row>
    <row r="16" spans="1:22" ht="19.5" customHeight="1">
      <c r="A16" s="41" t="s">
        <v>62</v>
      </c>
      <c r="B16" s="42"/>
      <c r="C16" s="43">
        <v>41060</v>
      </c>
      <c r="D16" s="44"/>
      <c r="E16" s="36">
        <v>93330.716666666674</v>
      </c>
      <c r="F16" s="36">
        <f t="shared" si="0"/>
        <v>0</v>
      </c>
      <c r="G16" s="36">
        <f t="shared" si="1"/>
        <v>0</v>
      </c>
      <c r="H16" s="36"/>
      <c r="I16" s="36">
        <f t="shared" si="2"/>
        <v>93330.716666666674</v>
      </c>
      <c r="J16" s="36">
        <f t="shared" si="3"/>
        <v>111996.86000000002</v>
      </c>
      <c r="K16" s="36">
        <v>111996.86000000002</v>
      </c>
      <c r="L16" s="37">
        <v>41136</v>
      </c>
      <c r="M16" s="37">
        <v>41171</v>
      </c>
      <c r="N16" s="92">
        <f t="shared" si="4"/>
        <v>-35</v>
      </c>
      <c r="O16" s="36">
        <f t="shared" si="5"/>
        <v>0</v>
      </c>
      <c r="P16" s="36" t="e">
        <f t="shared" si="6"/>
        <v>#REF!</v>
      </c>
      <c r="Q16" s="39"/>
      <c r="R16" s="40">
        <f t="shared" si="7"/>
        <v>0</v>
      </c>
      <c r="S16" s="40">
        <f t="shared" si="8"/>
        <v>0</v>
      </c>
      <c r="T16" s="40">
        <f t="shared" si="9"/>
        <v>0</v>
      </c>
      <c r="U16" s="40">
        <f t="shared" si="10"/>
        <v>0</v>
      </c>
      <c r="V16" s="40">
        <f t="shared" si="11"/>
        <v>0</v>
      </c>
    </row>
    <row r="17" spans="1:22" ht="19.5" customHeight="1">
      <c r="A17" s="41" t="s">
        <v>62</v>
      </c>
      <c r="B17" s="41"/>
      <c r="C17" s="43">
        <v>41182</v>
      </c>
      <c r="D17" s="44"/>
      <c r="E17" s="36">
        <v>43021.55</v>
      </c>
      <c r="F17" s="36">
        <f t="shared" si="0"/>
        <v>0</v>
      </c>
      <c r="G17" s="36">
        <f t="shared" si="1"/>
        <v>0</v>
      </c>
      <c r="H17" s="36"/>
      <c r="I17" s="36">
        <f t="shared" si="2"/>
        <v>43021.55</v>
      </c>
      <c r="J17" s="36">
        <f t="shared" si="3"/>
        <v>51625.86</v>
      </c>
      <c r="K17" s="36">
        <v>51625.86</v>
      </c>
      <c r="L17" s="37">
        <v>41274</v>
      </c>
      <c r="M17" s="37">
        <v>41286</v>
      </c>
      <c r="N17" s="92">
        <f t="shared" si="4"/>
        <v>-12</v>
      </c>
      <c r="O17" s="36">
        <f t="shared" si="5"/>
        <v>0</v>
      </c>
      <c r="P17" s="36" t="e">
        <f t="shared" si="6"/>
        <v>#REF!</v>
      </c>
      <c r="Q17" s="39"/>
      <c r="R17" s="40">
        <f t="shared" si="7"/>
        <v>0</v>
      </c>
      <c r="S17" s="40">
        <f t="shared" si="8"/>
        <v>0</v>
      </c>
      <c r="T17" s="40">
        <f t="shared" si="9"/>
        <v>0</v>
      </c>
      <c r="U17" s="40">
        <f t="shared" si="10"/>
        <v>0</v>
      </c>
      <c r="V17" s="40">
        <f t="shared" si="11"/>
        <v>0</v>
      </c>
    </row>
    <row r="18" spans="1:22" ht="19.5" customHeight="1">
      <c r="A18" s="41" t="s">
        <v>62</v>
      </c>
      <c r="B18" s="42"/>
      <c r="C18" s="43">
        <v>41213</v>
      </c>
      <c r="D18" s="44"/>
      <c r="E18" s="36">
        <v>61510.250000000007</v>
      </c>
      <c r="F18" s="36">
        <f t="shared" si="0"/>
        <v>0</v>
      </c>
      <c r="G18" s="36">
        <f t="shared" si="1"/>
        <v>0</v>
      </c>
      <c r="H18" s="36"/>
      <c r="I18" s="36">
        <f t="shared" si="2"/>
        <v>61510.250000000007</v>
      </c>
      <c r="J18" s="36">
        <f t="shared" si="3"/>
        <v>73812.300000000017</v>
      </c>
      <c r="K18" s="36">
        <v>73812.300000000017</v>
      </c>
      <c r="L18" s="37">
        <v>41305</v>
      </c>
      <c r="M18" s="37">
        <v>41300</v>
      </c>
      <c r="N18" s="92">
        <f t="shared" si="4"/>
        <v>5</v>
      </c>
      <c r="O18" s="36">
        <f t="shared" si="5"/>
        <v>0</v>
      </c>
      <c r="P18" s="36" t="e">
        <f t="shared" si="6"/>
        <v>#REF!</v>
      </c>
      <c r="Q18" s="39"/>
      <c r="R18" s="40">
        <f t="shared" si="7"/>
        <v>0</v>
      </c>
      <c r="S18" s="40">
        <f t="shared" si="8"/>
        <v>0</v>
      </c>
      <c r="T18" s="40">
        <f t="shared" si="9"/>
        <v>0</v>
      </c>
      <c r="U18" s="40">
        <f t="shared" si="10"/>
        <v>0</v>
      </c>
      <c r="V18" s="40">
        <f t="shared" si="11"/>
        <v>0</v>
      </c>
    </row>
    <row r="19" spans="1:22" ht="19.5" customHeight="1">
      <c r="A19" s="41" t="s">
        <v>62</v>
      </c>
      <c r="B19" s="41"/>
      <c r="C19" s="43">
        <v>41243</v>
      </c>
      <c r="D19" s="44"/>
      <c r="E19" s="36">
        <v>1619.175</v>
      </c>
      <c r="F19" s="36">
        <f t="shared" si="0"/>
        <v>0</v>
      </c>
      <c r="G19" s="36">
        <f t="shared" si="1"/>
        <v>0</v>
      </c>
      <c r="H19" s="36"/>
      <c r="I19" s="36">
        <f t="shared" si="2"/>
        <v>1619.175</v>
      </c>
      <c r="J19" s="36">
        <f t="shared" si="3"/>
        <v>1943.01</v>
      </c>
      <c r="K19" s="36">
        <v>1943.01</v>
      </c>
      <c r="L19" s="37">
        <v>41333</v>
      </c>
      <c r="M19" s="37">
        <v>41372</v>
      </c>
      <c r="N19" s="92">
        <f t="shared" si="4"/>
        <v>-39</v>
      </c>
      <c r="O19" s="36">
        <f t="shared" si="5"/>
        <v>0</v>
      </c>
      <c r="P19" s="36" t="e">
        <f t="shared" si="6"/>
        <v>#REF!</v>
      </c>
      <c r="Q19" s="39"/>
      <c r="R19" s="40">
        <f t="shared" si="7"/>
        <v>0</v>
      </c>
      <c r="S19" s="40">
        <f t="shared" si="8"/>
        <v>0</v>
      </c>
      <c r="T19" s="40">
        <f t="shared" si="9"/>
        <v>0</v>
      </c>
      <c r="U19" s="40">
        <f t="shared" si="10"/>
        <v>0</v>
      </c>
      <c r="V19" s="40">
        <f t="shared" si="11"/>
        <v>0</v>
      </c>
    </row>
    <row r="20" spans="1:22" ht="19.5" customHeight="1">
      <c r="A20" s="41" t="s">
        <v>62</v>
      </c>
      <c r="B20" s="42"/>
      <c r="C20" s="43">
        <v>41274</v>
      </c>
      <c r="D20" s="44"/>
      <c r="E20" s="36">
        <v>40732.600000000006</v>
      </c>
      <c r="F20" s="36">
        <f t="shared" si="0"/>
        <v>0</v>
      </c>
      <c r="G20" s="36">
        <f t="shared" si="1"/>
        <v>0</v>
      </c>
      <c r="H20" s="36"/>
      <c r="I20" s="36">
        <f t="shared" si="2"/>
        <v>40732.600000000006</v>
      </c>
      <c r="J20" s="36">
        <f t="shared" si="3"/>
        <v>48879.12000000001</v>
      </c>
      <c r="K20" s="36">
        <v>48879.12000000001</v>
      </c>
      <c r="L20" s="37">
        <v>41364</v>
      </c>
      <c r="M20" s="37">
        <v>41372</v>
      </c>
      <c r="N20" s="92">
        <f t="shared" si="4"/>
        <v>-8</v>
      </c>
      <c r="O20" s="36">
        <f t="shared" si="5"/>
        <v>0</v>
      </c>
      <c r="P20" s="36" t="e">
        <f t="shared" si="6"/>
        <v>#REF!</v>
      </c>
      <c r="Q20" s="39"/>
      <c r="R20" s="40">
        <f t="shared" si="7"/>
        <v>0</v>
      </c>
      <c r="S20" s="40">
        <f t="shared" si="8"/>
        <v>0</v>
      </c>
      <c r="T20" s="40">
        <f t="shared" si="9"/>
        <v>0</v>
      </c>
      <c r="U20" s="40">
        <f t="shared" si="10"/>
        <v>0</v>
      </c>
      <c r="V20" s="40">
        <f t="shared" si="11"/>
        <v>0</v>
      </c>
    </row>
    <row r="21" spans="1:22" s="99" customFormat="1" ht="19.5" customHeight="1">
      <c r="A21" s="104"/>
      <c r="B21" s="105"/>
      <c r="C21" s="106"/>
      <c r="D21" s="107"/>
      <c r="E21" s="108">
        <f t="shared" ref="E21:K21" si="12">SUM(E12:E20)</f>
        <v>601427.17500000005</v>
      </c>
      <c r="F21" s="108">
        <f t="shared" si="12"/>
        <v>0</v>
      </c>
      <c r="G21" s="108">
        <f t="shared" si="12"/>
        <v>0</v>
      </c>
      <c r="H21" s="108">
        <f t="shared" si="12"/>
        <v>0</v>
      </c>
      <c r="I21" s="108">
        <f t="shared" si="12"/>
        <v>601427.17500000005</v>
      </c>
      <c r="J21" s="113">
        <f t="shared" si="12"/>
        <v>721712.6100000001</v>
      </c>
      <c r="K21" s="113">
        <f t="shared" si="12"/>
        <v>721712.6100000001</v>
      </c>
      <c r="L21" s="109"/>
      <c r="M21" s="109"/>
      <c r="N21" s="110"/>
      <c r="O21" s="108">
        <f>SUM(O12:O20)</f>
        <v>0</v>
      </c>
      <c r="P21" s="108" t="e">
        <f>SUM(P12:P20)</f>
        <v>#REF!</v>
      </c>
      <c r="Q21" s="114"/>
      <c r="R21" s="115">
        <f>SUM(R12:R20)</f>
        <v>0</v>
      </c>
      <c r="S21" s="115">
        <f>SUM(S12:S20)</f>
        <v>0</v>
      </c>
      <c r="T21" s="115">
        <f>SUM(T12:T20)</f>
        <v>0</v>
      </c>
      <c r="U21" s="115">
        <f>SUM(U12:U20)</f>
        <v>0</v>
      </c>
      <c r="V21" s="115">
        <f>SUM(V12:V20)</f>
        <v>0</v>
      </c>
    </row>
    <row r="22" spans="1:22" ht="19.5" customHeight="1">
      <c r="A22" s="41" t="s">
        <v>63</v>
      </c>
      <c r="B22" s="41"/>
      <c r="C22" s="43">
        <v>40939</v>
      </c>
      <c r="D22" s="44"/>
      <c r="E22" s="36">
        <v>49212.675000000003</v>
      </c>
      <c r="F22" s="36">
        <f t="shared" ref="F22:F33" si="13">-E22*$F$10</f>
        <v>0</v>
      </c>
      <c r="G22" s="36">
        <f t="shared" ref="G22:G33" si="14">E22*$G$10</f>
        <v>0</v>
      </c>
      <c r="H22" s="36"/>
      <c r="I22" s="36">
        <f t="shared" ref="I22:I33" si="15">+E22+F22-G22-H22</f>
        <v>49212.675000000003</v>
      </c>
      <c r="J22" s="36">
        <f t="shared" ref="J22:J33" si="16">+I22+(I22*$I$4)</f>
        <v>59055.210000000006</v>
      </c>
      <c r="K22" s="36">
        <v>59055.210000000006</v>
      </c>
      <c r="L22" s="37">
        <v>41009</v>
      </c>
      <c r="M22" s="37">
        <v>41046</v>
      </c>
      <c r="N22" s="92">
        <f t="shared" ref="N22:N33" si="17">-IF(L22=0,,IF(M22=0,($C$10-L22),M22-L22))</f>
        <v>-37</v>
      </c>
      <c r="O22" s="36">
        <f t="shared" ref="O22:O33" si="18">+J22-K22</f>
        <v>0</v>
      </c>
      <c r="P22" s="36" t="e">
        <f t="shared" ref="P22:P33" si="19">+IF($C$10&lt;L22,0,O22)</f>
        <v>#REF!</v>
      </c>
      <c r="Q22" s="39"/>
      <c r="R22" s="40">
        <f t="shared" ref="R22:R33" si="20">IF(N22&gt;=0,0,(IF(-N22&lt;=60,O22,0)))</f>
        <v>0</v>
      </c>
      <c r="S22" s="40">
        <f t="shared" ref="S22:S33" si="21">IF(N22&gt;=0,0,(IF(N22&gt;=-60,0,IF(-60&gt;=N22,IF(N22&gt;=-120,O22,0)))))</f>
        <v>0</v>
      </c>
      <c r="T22" s="40">
        <f t="shared" ref="T22:T33" si="22">IF(N22&gt;=0,0,(IF(N22&gt;-60,0,IF(-60&gt;=N22,IF(N22&gt;=-120,0,IF(N22&gt;=-180,O22,0))))))</f>
        <v>0</v>
      </c>
      <c r="U22" s="40">
        <f t="shared" ref="U22:U33" si="23">IF(N22&gt;=0,0,(IF(N22&gt;-60,0,IF(-60&gt;=N22,IF(N22&gt;-120,0,IF(N22&gt;=-180,0,IF(N22&gt;=-365,O22,0)))))))</f>
        <v>0</v>
      </c>
      <c r="V22" s="40">
        <f t="shared" ref="V22:V33" si="24">IF(N22&gt;=0,0,IF(365&lt;-N22,O22,0))</f>
        <v>0</v>
      </c>
    </row>
    <row r="23" spans="1:22" ht="19.5" customHeight="1">
      <c r="A23" s="41" t="s">
        <v>63</v>
      </c>
      <c r="B23" s="42"/>
      <c r="C23" s="43">
        <v>40968</v>
      </c>
      <c r="D23" s="44"/>
      <c r="E23" s="36">
        <v>108867.40000000001</v>
      </c>
      <c r="F23" s="36">
        <f t="shared" si="13"/>
        <v>0</v>
      </c>
      <c r="G23" s="36">
        <f t="shared" si="14"/>
        <v>0</v>
      </c>
      <c r="H23" s="36"/>
      <c r="I23" s="36">
        <f t="shared" si="15"/>
        <v>108867.40000000001</v>
      </c>
      <c r="J23" s="36">
        <f t="shared" si="16"/>
        <v>130640.88</v>
      </c>
      <c r="K23" s="36">
        <v>130640.88</v>
      </c>
      <c r="L23" s="37">
        <v>41039</v>
      </c>
      <c r="M23" s="37">
        <v>41046</v>
      </c>
      <c r="N23" s="92">
        <f t="shared" si="17"/>
        <v>-7</v>
      </c>
      <c r="O23" s="36">
        <f t="shared" si="18"/>
        <v>0</v>
      </c>
      <c r="P23" s="36" t="e">
        <f t="shared" si="19"/>
        <v>#REF!</v>
      </c>
      <c r="Q23" s="39"/>
      <c r="R23" s="40">
        <f t="shared" si="20"/>
        <v>0</v>
      </c>
      <c r="S23" s="40">
        <f t="shared" si="21"/>
        <v>0</v>
      </c>
      <c r="T23" s="40">
        <f t="shared" si="22"/>
        <v>0</v>
      </c>
      <c r="U23" s="40">
        <f t="shared" si="23"/>
        <v>0</v>
      </c>
      <c r="V23" s="40">
        <f t="shared" si="24"/>
        <v>0</v>
      </c>
    </row>
    <row r="24" spans="1:22" ht="19.5" customHeight="1">
      <c r="A24" s="41" t="s">
        <v>63</v>
      </c>
      <c r="B24" s="41"/>
      <c r="C24" s="43">
        <v>40999</v>
      </c>
      <c r="D24" s="44"/>
      <c r="E24" s="36">
        <v>158855.55000000002</v>
      </c>
      <c r="F24" s="36">
        <f t="shared" si="13"/>
        <v>0</v>
      </c>
      <c r="G24" s="36">
        <f t="shared" si="14"/>
        <v>0</v>
      </c>
      <c r="H24" s="36"/>
      <c r="I24" s="36">
        <f t="shared" si="15"/>
        <v>158855.55000000002</v>
      </c>
      <c r="J24" s="36">
        <f t="shared" si="16"/>
        <v>190626.66000000003</v>
      </c>
      <c r="K24" s="36">
        <v>190626.66000000003</v>
      </c>
      <c r="L24" s="37">
        <v>41070</v>
      </c>
      <c r="M24" s="37">
        <v>41099</v>
      </c>
      <c r="N24" s="92">
        <f t="shared" si="17"/>
        <v>-29</v>
      </c>
      <c r="O24" s="36">
        <f t="shared" si="18"/>
        <v>0</v>
      </c>
      <c r="P24" s="36" t="e">
        <f t="shared" si="19"/>
        <v>#REF!</v>
      </c>
      <c r="Q24" s="39"/>
      <c r="R24" s="40">
        <f t="shared" si="20"/>
        <v>0</v>
      </c>
      <c r="S24" s="40">
        <f t="shared" si="21"/>
        <v>0</v>
      </c>
      <c r="T24" s="40">
        <f t="shared" si="22"/>
        <v>0</v>
      </c>
      <c r="U24" s="40">
        <f t="shared" si="23"/>
        <v>0</v>
      </c>
      <c r="V24" s="40">
        <f t="shared" si="24"/>
        <v>0</v>
      </c>
    </row>
    <row r="25" spans="1:22" ht="19.5" customHeight="1">
      <c r="A25" s="41" t="s">
        <v>63</v>
      </c>
      <c r="B25" s="41"/>
      <c r="C25" s="43">
        <v>41029</v>
      </c>
      <c r="D25" s="44"/>
      <c r="E25" s="36">
        <v>92645.45</v>
      </c>
      <c r="F25" s="36">
        <f t="shared" si="13"/>
        <v>0</v>
      </c>
      <c r="G25" s="36">
        <f t="shared" si="14"/>
        <v>0</v>
      </c>
      <c r="H25" s="36"/>
      <c r="I25" s="36">
        <f t="shared" si="15"/>
        <v>92645.45</v>
      </c>
      <c r="J25" s="36">
        <f t="shared" si="16"/>
        <v>111174.54</v>
      </c>
      <c r="K25" s="36">
        <v>111174.54</v>
      </c>
      <c r="L25" s="37">
        <v>41100</v>
      </c>
      <c r="M25" s="37">
        <v>41185</v>
      </c>
      <c r="N25" s="92">
        <f t="shared" si="17"/>
        <v>-85</v>
      </c>
      <c r="O25" s="36">
        <f t="shared" si="18"/>
        <v>0</v>
      </c>
      <c r="P25" s="36" t="e">
        <f t="shared" si="19"/>
        <v>#REF!</v>
      </c>
      <c r="Q25" s="39"/>
      <c r="R25" s="40">
        <f t="shared" si="20"/>
        <v>0</v>
      </c>
      <c r="S25" s="40">
        <f t="shared" si="21"/>
        <v>0</v>
      </c>
      <c r="T25" s="40">
        <f t="shared" si="22"/>
        <v>0</v>
      </c>
      <c r="U25" s="40">
        <f t="shared" si="23"/>
        <v>0</v>
      </c>
      <c r="V25" s="40">
        <f t="shared" si="24"/>
        <v>0</v>
      </c>
    </row>
    <row r="26" spans="1:22" ht="19.5" customHeight="1">
      <c r="A26" s="41" t="s">
        <v>63</v>
      </c>
      <c r="B26" s="42"/>
      <c r="C26" s="43">
        <v>41060</v>
      </c>
      <c r="D26" s="44"/>
      <c r="E26" s="36">
        <v>82030.883333333331</v>
      </c>
      <c r="F26" s="36">
        <f t="shared" si="13"/>
        <v>0</v>
      </c>
      <c r="G26" s="36">
        <f t="shared" si="14"/>
        <v>0</v>
      </c>
      <c r="H26" s="36"/>
      <c r="I26" s="36">
        <f t="shared" si="15"/>
        <v>82030.883333333331</v>
      </c>
      <c r="J26" s="36">
        <f t="shared" si="16"/>
        <v>98437.06</v>
      </c>
      <c r="K26" s="36">
        <v>98437.06</v>
      </c>
      <c r="L26" s="37">
        <v>41131</v>
      </c>
      <c r="M26" s="37">
        <v>41185</v>
      </c>
      <c r="N26" s="92">
        <f t="shared" si="17"/>
        <v>-54</v>
      </c>
      <c r="O26" s="36">
        <f t="shared" si="18"/>
        <v>0</v>
      </c>
      <c r="P26" s="36" t="e">
        <f t="shared" si="19"/>
        <v>#REF!</v>
      </c>
      <c r="Q26" s="39"/>
      <c r="R26" s="40">
        <f t="shared" si="20"/>
        <v>0</v>
      </c>
      <c r="S26" s="40">
        <f t="shared" si="21"/>
        <v>0</v>
      </c>
      <c r="T26" s="40">
        <f t="shared" si="22"/>
        <v>0</v>
      </c>
      <c r="U26" s="40">
        <f t="shared" si="23"/>
        <v>0</v>
      </c>
      <c r="V26" s="40">
        <f t="shared" si="24"/>
        <v>0</v>
      </c>
    </row>
    <row r="27" spans="1:22" ht="19.5" customHeight="1">
      <c r="A27" s="41" t="s">
        <v>63</v>
      </c>
      <c r="B27" s="41"/>
      <c r="C27" s="43">
        <v>41090</v>
      </c>
      <c r="D27" s="44"/>
      <c r="E27" s="36">
        <v>61773.90833333334</v>
      </c>
      <c r="F27" s="36">
        <f t="shared" si="13"/>
        <v>0</v>
      </c>
      <c r="G27" s="36">
        <f t="shared" si="14"/>
        <v>0</v>
      </c>
      <c r="H27" s="36"/>
      <c r="I27" s="36">
        <f t="shared" si="15"/>
        <v>61773.90833333334</v>
      </c>
      <c r="J27" s="36">
        <f t="shared" si="16"/>
        <v>74128.69</v>
      </c>
      <c r="K27" s="36">
        <v>74128.69</v>
      </c>
      <c r="L27" s="37">
        <v>41162</v>
      </c>
      <c r="M27" s="37">
        <v>41187</v>
      </c>
      <c r="N27" s="92">
        <f t="shared" si="17"/>
        <v>-25</v>
      </c>
      <c r="O27" s="36">
        <f t="shared" si="18"/>
        <v>0</v>
      </c>
      <c r="P27" s="36" t="e">
        <f t="shared" si="19"/>
        <v>#REF!</v>
      </c>
      <c r="Q27" s="39"/>
      <c r="R27" s="40">
        <f t="shared" si="20"/>
        <v>0</v>
      </c>
      <c r="S27" s="40">
        <f t="shared" si="21"/>
        <v>0</v>
      </c>
      <c r="T27" s="40">
        <f t="shared" si="22"/>
        <v>0</v>
      </c>
      <c r="U27" s="40">
        <f t="shared" si="23"/>
        <v>0</v>
      </c>
      <c r="V27" s="40">
        <f t="shared" si="24"/>
        <v>0</v>
      </c>
    </row>
    <row r="28" spans="1:22" ht="19.5" customHeight="1">
      <c r="A28" s="41" t="s">
        <v>63</v>
      </c>
      <c r="B28" s="41"/>
      <c r="C28" s="43">
        <v>41121</v>
      </c>
      <c r="D28" s="44"/>
      <c r="E28" s="36">
        <v>43736.583333333336</v>
      </c>
      <c r="F28" s="36">
        <f t="shared" si="13"/>
        <v>0</v>
      </c>
      <c r="G28" s="36">
        <f t="shared" si="14"/>
        <v>0</v>
      </c>
      <c r="H28" s="36"/>
      <c r="I28" s="36">
        <f t="shared" si="15"/>
        <v>43736.583333333336</v>
      </c>
      <c r="J28" s="36">
        <f t="shared" si="16"/>
        <v>52483.9</v>
      </c>
      <c r="K28" s="36">
        <v>52483.9</v>
      </c>
      <c r="L28" s="37">
        <v>41192</v>
      </c>
      <c r="M28" s="37">
        <v>41187</v>
      </c>
      <c r="N28" s="92">
        <f t="shared" si="17"/>
        <v>5</v>
      </c>
      <c r="O28" s="36">
        <f t="shared" si="18"/>
        <v>0</v>
      </c>
      <c r="P28" s="36" t="e">
        <f t="shared" si="19"/>
        <v>#REF!</v>
      </c>
      <c r="Q28" s="39"/>
      <c r="R28" s="40">
        <f t="shared" si="20"/>
        <v>0</v>
      </c>
      <c r="S28" s="40">
        <f t="shared" si="21"/>
        <v>0</v>
      </c>
      <c r="T28" s="40">
        <f t="shared" si="22"/>
        <v>0</v>
      </c>
      <c r="U28" s="40">
        <f t="shared" si="23"/>
        <v>0</v>
      </c>
      <c r="V28" s="40">
        <f t="shared" si="24"/>
        <v>0</v>
      </c>
    </row>
    <row r="29" spans="1:22" ht="19.5" customHeight="1">
      <c r="A29" s="41" t="s">
        <v>63</v>
      </c>
      <c r="B29" s="41"/>
      <c r="C29" s="43">
        <v>41152</v>
      </c>
      <c r="D29" s="44"/>
      <c r="E29" s="36">
        <v>49250.458333333336</v>
      </c>
      <c r="F29" s="36">
        <f t="shared" si="13"/>
        <v>0</v>
      </c>
      <c r="G29" s="36">
        <f t="shared" si="14"/>
        <v>0</v>
      </c>
      <c r="H29" s="36"/>
      <c r="I29" s="36">
        <f t="shared" si="15"/>
        <v>49250.458333333336</v>
      </c>
      <c r="J29" s="36">
        <f t="shared" si="16"/>
        <v>59100.55</v>
      </c>
      <c r="K29" s="36">
        <v>59100.55</v>
      </c>
      <c r="L29" s="37">
        <v>41223</v>
      </c>
      <c r="M29" s="37">
        <v>41187</v>
      </c>
      <c r="N29" s="92">
        <f t="shared" si="17"/>
        <v>36</v>
      </c>
      <c r="O29" s="36">
        <f t="shared" si="18"/>
        <v>0</v>
      </c>
      <c r="P29" s="36" t="e">
        <f t="shared" si="19"/>
        <v>#REF!</v>
      </c>
      <c r="Q29" s="39"/>
      <c r="R29" s="40">
        <f t="shared" si="20"/>
        <v>0</v>
      </c>
      <c r="S29" s="40">
        <f t="shared" si="21"/>
        <v>0</v>
      </c>
      <c r="T29" s="40">
        <f t="shared" si="22"/>
        <v>0</v>
      </c>
      <c r="U29" s="40">
        <f t="shared" si="23"/>
        <v>0</v>
      </c>
      <c r="V29" s="40">
        <f t="shared" si="24"/>
        <v>0</v>
      </c>
    </row>
    <row r="30" spans="1:22" ht="19.5" customHeight="1">
      <c r="A30" s="41" t="s">
        <v>63</v>
      </c>
      <c r="B30" s="42"/>
      <c r="C30" s="43">
        <v>41182</v>
      </c>
      <c r="D30" s="44"/>
      <c r="E30" s="36">
        <v>94289.991666666669</v>
      </c>
      <c r="F30" s="36">
        <f t="shared" si="13"/>
        <v>0</v>
      </c>
      <c r="G30" s="36">
        <f t="shared" si="14"/>
        <v>0</v>
      </c>
      <c r="H30" s="36"/>
      <c r="I30" s="36">
        <f t="shared" si="15"/>
        <v>94289.991666666669</v>
      </c>
      <c r="J30" s="36">
        <f t="shared" si="16"/>
        <v>113147.99</v>
      </c>
      <c r="K30" s="36">
        <v>113147.99</v>
      </c>
      <c r="L30" s="37">
        <v>41253</v>
      </c>
      <c r="M30" s="37">
        <v>41278</v>
      </c>
      <c r="N30" s="92">
        <f t="shared" si="17"/>
        <v>-25</v>
      </c>
      <c r="O30" s="36">
        <f t="shared" si="18"/>
        <v>0</v>
      </c>
      <c r="P30" s="36" t="e">
        <f t="shared" si="19"/>
        <v>#REF!</v>
      </c>
      <c r="Q30" s="39"/>
      <c r="R30" s="40">
        <f t="shared" si="20"/>
        <v>0</v>
      </c>
      <c r="S30" s="40">
        <f t="shared" si="21"/>
        <v>0</v>
      </c>
      <c r="T30" s="40">
        <f t="shared" si="22"/>
        <v>0</v>
      </c>
      <c r="U30" s="40">
        <f t="shared" si="23"/>
        <v>0</v>
      </c>
      <c r="V30" s="40">
        <f t="shared" si="24"/>
        <v>0</v>
      </c>
    </row>
    <row r="31" spans="1:22" ht="19.5" customHeight="1">
      <c r="A31" s="41" t="s">
        <v>63</v>
      </c>
      <c r="B31" s="41"/>
      <c r="C31" s="43">
        <v>41213</v>
      </c>
      <c r="D31" s="44"/>
      <c r="E31" s="36">
        <v>49261.1</v>
      </c>
      <c r="F31" s="36">
        <f t="shared" si="13"/>
        <v>0</v>
      </c>
      <c r="G31" s="36">
        <f t="shared" si="14"/>
        <v>0</v>
      </c>
      <c r="H31" s="36"/>
      <c r="I31" s="36">
        <f t="shared" si="15"/>
        <v>49261.1</v>
      </c>
      <c r="J31" s="36">
        <f t="shared" si="16"/>
        <v>59113.32</v>
      </c>
      <c r="K31" s="36">
        <v>59113.32</v>
      </c>
      <c r="L31" s="37">
        <v>41284</v>
      </c>
      <c r="M31" s="37">
        <v>41278</v>
      </c>
      <c r="N31" s="92">
        <f t="shared" si="17"/>
        <v>6</v>
      </c>
      <c r="O31" s="36">
        <f t="shared" si="18"/>
        <v>0</v>
      </c>
      <c r="P31" s="36" t="e">
        <f t="shared" si="19"/>
        <v>#REF!</v>
      </c>
      <c r="Q31" s="39"/>
      <c r="R31" s="40">
        <f t="shared" si="20"/>
        <v>0</v>
      </c>
      <c r="S31" s="40">
        <f t="shared" si="21"/>
        <v>0</v>
      </c>
      <c r="T31" s="40">
        <f t="shared" si="22"/>
        <v>0</v>
      </c>
      <c r="U31" s="40">
        <f t="shared" si="23"/>
        <v>0</v>
      </c>
      <c r="V31" s="40">
        <f t="shared" si="24"/>
        <v>0</v>
      </c>
    </row>
    <row r="32" spans="1:22" ht="19.5" customHeight="1">
      <c r="A32" s="41" t="s">
        <v>63</v>
      </c>
      <c r="B32" s="41"/>
      <c r="C32" s="43">
        <v>41243</v>
      </c>
      <c r="D32" s="44"/>
      <c r="E32" s="36">
        <v>9715.2166666666672</v>
      </c>
      <c r="F32" s="36">
        <f t="shared" si="13"/>
        <v>0</v>
      </c>
      <c r="G32" s="36">
        <f t="shared" si="14"/>
        <v>0</v>
      </c>
      <c r="H32" s="36"/>
      <c r="I32" s="36">
        <f t="shared" si="15"/>
        <v>9715.2166666666672</v>
      </c>
      <c r="J32" s="36">
        <f t="shared" si="16"/>
        <v>11658.26</v>
      </c>
      <c r="K32" s="36">
        <v>11658.26</v>
      </c>
      <c r="L32" s="37">
        <v>41315</v>
      </c>
      <c r="M32" s="37">
        <v>41315</v>
      </c>
      <c r="N32" s="92">
        <f t="shared" si="17"/>
        <v>0</v>
      </c>
      <c r="O32" s="36">
        <f t="shared" si="18"/>
        <v>0</v>
      </c>
      <c r="P32" s="36" t="e">
        <f t="shared" si="19"/>
        <v>#REF!</v>
      </c>
      <c r="Q32" s="39"/>
      <c r="R32" s="40">
        <f t="shared" si="20"/>
        <v>0</v>
      </c>
      <c r="S32" s="40">
        <f t="shared" si="21"/>
        <v>0</v>
      </c>
      <c r="T32" s="40">
        <f t="shared" si="22"/>
        <v>0</v>
      </c>
      <c r="U32" s="40">
        <f t="shared" si="23"/>
        <v>0</v>
      </c>
      <c r="V32" s="40">
        <f t="shared" si="24"/>
        <v>0</v>
      </c>
    </row>
    <row r="33" spans="1:22" ht="19.5" customHeight="1">
      <c r="A33" s="41" t="s">
        <v>63</v>
      </c>
      <c r="B33" s="42"/>
      <c r="C33" s="43">
        <v>41274</v>
      </c>
      <c r="D33" s="44"/>
      <c r="E33" s="36">
        <v>134448.38333333333</v>
      </c>
      <c r="F33" s="36">
        <f t="shared" si="13"/>
        <v>0</v>
      </c>
      <c r="G33" s="36">
        <f t="shared" si="14"/>
        <v>0</v>
      </c>
      <c r="H33" s="36"/>
      <c r="I33" s="36">
        <f t="shared" si="15"/>
        <v>134448.38333333333</v>
      </c>
      <c r="J33" s="36">
        <f t="shared" si="16"/>
        <v>161338.06</v>
      </c>
      <c r="K33" s="36">
        <v>161338.06</v>
      </c>
      <c r="L33" s="37">
        <v>41343</v>
      </c>
      <c r="M33" s="37">
        <v>41343</v>
      </c>
      <c r="N33" s="92">
        <f t="shared" si="17"/>
        <v>0</v>
      </c>
      <c r="O33" s="36">
        <f t="shared" si="18"/>
        <v>0</v>
      </c>
      <c r="P33" s="36" t="e">
        <f t="shared" si="19"/>
        <v>#REF!</v>
      </c>
      <c r="Q33" s="39"/>
      <c r="R33" s="40">
        <f t="shared" si="20"/>
        <v>0</v>
      </c>
      <c r="S33" s="40">
        <f t="shared" si="21"/>
        <v>0</v>
      </c>
      <c r="T33" s="40">
        <f t="shared" si="22"/>
        <v>0</v>
      </c>
      <c r="U33" s="40">
        <f t="shared" si="23"/>
        <v>0</v>
      </c>
      <c r="V33" s="40">
        <f t="shared" si="24"/>
        <v>0</v>
      </c>
    </row>
    <row r="34" spans="1:22" s="99" customFormat="1" ht="19.5" customHeight="1">
      <c r="A34" s="104"/>
      <c r="B34" s="104"/>
      <c r="C34" s="106"/>
      <c r="D34" s="107"/>
      <c r="E34" s="108">
        <f t="shared" ref="E34:K34" si="25">SUM(E22:E33)</f>
        <v>934087.60000000009</v>
      </c>
      <c r="F34" s="108">
        <f t="shared" si="25"/>
        <v>0</v>
      </c>
      <c r="G34" s="108">
        <f t="shared" si="25"/>
        <v>0</v>
      </c>
      <c r="H34" s="108">
        <f t="shared" si="25"/>
        <v>0</v>
      </c>
      <c r="I34" s="108">
        <f t="shared" si="25"/>
        <v>934087.60000000009</v>
      </c>
      <c r="J34" s="113">
        <f t="shared" si="25"/>
        <v>1120905.1200000001</v>
      </c>
      <c r="K34" s="113">
        <f t="shared" si="25"/>
        <v>1120905.1200000001</v>
      </c>
      <c r="L34" s="109"/>
      <c r="M34" s="109"/>
      <c r="N34" s="110"/>
      <c r="O34" s="108">
        <f>SUM(O32:O33)</f>
        <v>0</v>
      </c>
      <c r="P34" s="108" t="e">
        <f>SUM(P32:P33)</f>
        <v>#REF!</v>
      </c>
      <c r="Q34" s="111"/>
      <c r="R34" s="112">
        <f>SUM(R32:R33)</f>
        <v>0</v>
      </c>
      <c r="S34" s="112">
        <f>SUM(S32:S33)</f>
        <v>0</v>
      </c>
      <c r="T34" s="112">
        <f>SUM(T32:T33)</f>
        <v>0</v>
      </c>
      <c r="U34" s="112">
        <f>SUM(U32:U33)</f>
        <v>0</v>
      </c>
      <c r="V34" s="112">
        <f>SUM(V32:V33)</f>
        <v>0</v>
      </c>
    </row>
    <row r="35" spans="1:22" ht="19.5" customHeight="1">
      <c r="A35" s="41" t="s">
        <v>72</v>
      </c>
      <c r="B35" s="41"/>
      <c r="C35" s="43">
        <v>40999</v>
      </c>
      <c r="D35" s="44"/>
      <c r="E35" s="36">
        <v>967890</v>
      </c>
      <c r="F35" s="36">
        <f>-E35*$F$10</f>
        <v>0</v>
      </c>
      <c r="G35" s="36">
        <f>E35*$G$10</f>
        <v>0</v>
      </c>
      <c r="H35" s="36"/>
      <c r="I35" s="36">
        <f>+E35+F35-G35-H35</f>
        <v>967890</v>
      </c>
      <c r="J35" s="36">
        <f>+I35+(I35*$I$4)</f>
        <v>1161468</v>
      </c>
      <c r="K35" s="36">
        <v>1161468</v>
      </c>
      <c r="L35" s="37">
        <v>41090</v>
      </c>
      <c r="M35" s="37">
        <v>41100</v>
      </c>
      <c r="N35" s="92">
        <f>-IF(L35=0,,IF(M35=0,($C$10-L35),M35-L35))</f>
        <v>-10</v>
      </c>
      <c r="O35" s="36">
        <f>+J35-K35</f>
        <v>0</v>
      </c>
      <c r="P35" s="36" t="e">
        <f>+IF($C$10&lt;L35,0,O35)</f>
        <v>#REF!</v>
      </c>
      <c r="Q35" s="39"/>
      <c r="R35" s="40">
        <f>IF(N35&gt;=0,0,(IF(-N35&lt;=60,O35,0)))</f>
        <v>0</v>
      </c>
      <c r="S35" s="40">
        <f>IF(N35&gt;=0,0,(IF(N35&gt;=-60,0,IF(-60&gt;=N35,IF(N35&gt;=-120,O35,0)))))</f>
        <v>0</v>
      </c>
      <c r="T35" s="40">
        <f>IF(N35&gt;=0,0,(IF(N35&gt;-60,0,IF(-60&gt;=N35,IF(N35&gt;=-120,0,IF(N35&gt;=-180,O35,0))))))</f>
        <v>0</v>
      </c>
      <c r="U35" s="40">
        <f>IF(N35&gt;=0,0,(IF(N35&gt;-60,0,IF(-60&gt;=N35,IF(N35&gt;-120,0,IF(N35&gt;=-180,0,IF(N35&gt;=-365,O35,0)))))))</f>
        <v>0</v>
      </c>
      <c r="V35" s="40">
        <f>IF(N35&gt;=0,0,IF(365&lt;-N35,O35,0))</f>
        <v>0</v>
      </c>
    </row>
    <row r="36" spans="1:22" ht="19.5" customHeight="1">
      <c r="A36" s="41" t="s">
        <v>72</v>
      </c>
      <c r="B36" s="41"/>
      <c r="C36" s="43">
        <v>41248</v>
      </c>
      <c r="D36" s="44"/>
      <c r="E36" s="36">
        <v>-431.20000000000005</v>
      </c>
      <c r="F36" s="36">
        <f>-E36*$F$10</f>
        <v>0</v>
      </c>
      <c r="G36" s="36">
        <f>E36*$G$10</f>
        <v>0</v>
      </c>
      <c r="H36" s="36"/>
      <c r="I36" s="36">
        <f>+E36+F36-G36-H36</f>
        <v>-431.20000000000005</v>
      </c>
      <c r="J36" s="36">
        <f>+I36+(I36*$I$4)</f>
        <v>-517.44000000000005</v>
      </c>
      <c r="K36" s="36">
        <v>-517.44000000000005</v>
      </c>
      <c r="L36" s="37">
        <v>41090</v>
      </c>
      <c r="M36" s="37">
        <v>41100</v>
      </c>
      <c r="N36" s="92">
        <f>-IF(L36=0,,IF(M36=0,($C$10-L36),M36-L36))</f>
        <v>-10</v>
      </c>
      <c r="O36" s="36">
        <f>+J36-K36</f>
        <v>0</v>
      </c>
      <c r="P36" s="36" t="e">
        <f>+IF($C$10&lt;L36,0,O36)</f>
        <v>#REF!</v>
      </c>
      <c r="Q36" s="39"/>
      <c r="R36" s="40">
        <f>IF(N36&gt;=0,0,(IF(-N36&lt;=60,O36,0)))</f>
        <v>0</v>
      </c>
      <c r="S36" s="40">
        <f>IF(N36&gt;=0,0,(IF(N36&gt;=-60,0,IF(-60&gt;=N36,IF(N36&gt;=-120,O36,0)))))</f>
        <v>0</v>
      </c>
      <c r="T36" s="40">
        <f>IF(N36&gt;=0,0,(IF(N36&gt;-60,0,IF(-60&gt;=N36,IF(N36&gt;=-120,0,IF(N36&gt;=-180,O36,0))))))</f>
        <v>0</v>
      </c>
      <c r="U36" s="40">
        <f>IF(N36&gt;=0,0,(IF(N36&gt;-60,0,IF(-60&gt;=N36,IF(N36&gt;-120,0,IF(N36&gt;=-180,0,IF(N36&gt;=-365,O36,0)))))))</f>
        <v>0</v>
      </c>
      <c r="V36" s="40">
        <f>IF(N36&gt;=0,0,IF(365&lt;-N36,O36,0))</f>
        <v>0</v>
      </c>
    </row>
    <row r="37" spans="1:22" ht="19.5" customHeight="1">
      <c r="A37" s="41" t="s">
        <v>72</v>
      </c>
      <c r="B37" s="41"/>
      <c r="C37" s="43">
        <v>41029</v>
      </c>
      <c r="D37" s="44"/>
      <c r="E37" s="36">
        <v>430500</v>
      </c>
      <c r="F37" s="36">
        <f>-E37*$F$10</f>
        <v>0</v>
      </c>
      <c r="G37" s="36">
        <f>E37*$G$10</f>
        <v>0</v>
      </c>
      <c r="H37" s="36"/>
      <c r="I37" s="36">
        <f>+E37+F37-G37-H37</f>
        <v>430500</v>
      </c>
      <c r="J37" s="36">
        <f>+I37+(I37*$I$4)</f>
        <v>516600</v>
      </c>
      <c r="K37" s="36">
        <v>516600</v>
      </c>
      <c r="L37" s="37">
        <v>41121</v>
      </c>
      <c r="M37" s="37">
        <v>41194</v>
      </c>
      <c r="N37" s="92">
        <f>-IF(L37=0,,IF(M37=0,($C$10-L37),M37-L37))</f>
        <v>-73</v>
      </c>
      <c r="O37" s="36">
        <f>+J37-K37</f>
        <v>0</v>
      </c>
      <c r="P37" s="36" t="e">
        <f>+IF($C$10&lt;L37,0,O37)</f>
        <v>#REF!</v>
      </c>
      <c r="Q37" s="39"/>
      <c r="R37" s="40">
        <f>IF(N37&gt;=0,0,(IF(-N37&lt;=60,O37,0)))</f>
        <v>0</v>
      </c>
      <c r="S37" s="40">
        <f>IF(N37&gt;=0,0,(IF(N37&gt;=-60,0,IF(-60&gt;=N37,IF(N37&gt;=-120,O37,0)))))</f>
        <v>0</v>
      </c>
      <c r="T37" s="40">
        <f>IF(N37&gt;=0,0,(IF(N37&gt;-60,0,IF(-60&gt;=N37,IF(N37&gt;=-120,0,IF(N37&gt;=-180,O37,0))))))</f>
        <v>0</v>
      </c>
      <c r="U37" s="40">
        <f>IF(N37&gt;=0,0,(IF(N37&gt;-60,0,IF(-60&gt;=N37,IF(N37&gt;-120,0,IF(N37&gt;=-180,0,IF(N37&gt;=-365,O37,0)))))))</f>
        <v>0</v>
      </c>
      <c r="V37" s="40">
        <f>IF(N37&gt;=0,0,IF(365&lt;-N37,O37,0))</f>
        <v>0</v>
      </c>
    </row>
    <row r="38" spans="1:22" ht="19.5" customHeight="1">
      <c r="A38" s="41" t="s">
        <v>72</v>
      </c>
      <c r="B38" s="41"/>
      <c r="C38" s="43">
        <v>41274</v>
      </c>
      <c r="D38" s="44"/>
      <c r="E38" s="36">
        <v>2758.9</v>
      </c>
      <c r="F38" s="36">
        <f>-E38*$F$10</f>
        <v>0</v>
      </c>
      <c r="G38" s="36">
        <f>E38*$G$10</f>
        <v>0</v>
      </c>
      <c r="H38" s="36"/>
      <c r="I38" s="36">
        <f>+E38+F38-G38-H38</f>
        <v>2758.9</v>
      </c>
      <c r="J38" s="36">
        <f>+I38+(I38*$I$4)</f>
        <v>3310.6800000000003</v>
      </c>
      <c r="K38" s="36">
        <v>3310.6800000000003</v>
      </c>
      <c r="L38" s="37">
        <v>41274</v>
      </c>
      <c r="M38" s="37">
        <v>41274</v>
      </c>
      <c r="N38" s="92">
        <f>-IF(L38=0,,IF(M38=0,($C$10-L38),M38-L38))</f>
        <v>0</v>
      </c>
      <c r="O38" s="36">
        <f>+J38-K38</f>
        <v>0</v>
      </c>
      <c r="P38" s="36" t="e">
        <f>+IF($C$10&lt;L38,0,O38)</f>
        <v>#REF!</v>
      </c>
      <c r="Q38" s="39"/>
      <c r="R38" s="40">
        <f>IF(N38&gt;=0,0,(IF(-N38&lt;=60,O38,0)))</f>
        <v>0</v>
      </c>
      <c r="S38" s="40">
        <f>IF(N38&gt;=0,0,(IF(N38&gt;=-60,0,IF(-60&gt;=N38,IF(N38&gt;=-120,O38,0)))))</f>
        <v>0</v>
      </c>
      <c r="T38" s="40">
        <f>IF(N38&gt;=0,0,(IF(N38&gt;-60,0,IF(-60&gt;=N38,IF(N38&gt;=-120,0,IF(N38&gt;=-180,O38,0))))))</f>
        <v>0</v>
      </c>
      <c r="U38" s="40">
        <f>IF(N38&gt;=0,0,(IF(N38&gt;-60,0,IF(-60&gt;=N38,IF(N38&gt;-120,0,IF(N38&gt;=-180,0,IF(N38&gt;=-365,O38,0)))))))</f>
        <v>0</v>
      </c>
      <c r="V38" s="40">
        <f>IF(N38&gt;=0,0,IF(365&lt;-N38,O38,0))</f>
        <v>0</v>
      </c>
    </row>
    <row r="39" spans="1:22" s="99" customFormat="1" ht="19.5" customHeight="1">
      <c r="A39" s="104"/>
      <c r="B39" s="104"/>
      <c r="C39" s="106"/>
      <c r="D39" s="107"/>
      <c r="E39" s="108">
        <f>SUM(E35:E38)</f>
        <v>1400717.7</v>
      </c>
      <c r="F39" s="108">
        <f t="shared" ref="F39:K39" si="26">SUM(F35:F38)</f>
        <v>0</v>
      </c>
      <c r="G39" s="108">
        <f t="shared" si="26"/>
        <v>0</v>
      </c>
      <c r="H39" s="108">
        <f t="shared" si="26"/>
        <v>0</v>
      </c>
      <c r="I39" s="108">
        <f t="shared" si="26"/>
        <v>1400717.7</v>
      </c>
      <c r="J39" s="113">
        <f t="shared" si="26"/>
        <v>1680861.24</v>
      </c>
      <c r="K39" s="113">
        <f t="shared" si="26"/>
        <v>1680861.24</v>
      </c>
      <c r="L39" s="109"/>
      <c r="M39" s="109"/>
      <c r="N39" s="110"/>
      <c r="O39" s="108">
        <f>SUM(O38:O38)</f>
        <v>0</v>
      </c>
      <c r="P39" s="108" t="e">
        <f>SUM(P38:P38)</f>
        <v>#REF!</v>
      </c>
      <c r="Q39" s="111"/>
      <c r="R39" s="112">
        <f>SUM(R38:R38)</f>
        <v>0</v>
      </c>
      <c r="S39" s="112">
        <f>SUM(S38:S38)</f>
        <v>0</v>
      </c>
      <c r="T39" s="112">
        <f>SUM(T38:T38)</f>
        <v>0</v>
      </c>
      <c r="U39" s="112">
        <f>SUM(U38:U38)</f>
        <v>0</v>
      </c>
      <c r="V39" s="112">
        <f>SUM(V38:V38)</f>
        <v>0</v>
      </c>
    </row>
    <row r="40" spans="1:22" ht="19.5" customHeight="1">
      <c r="A40" s="41" t="s">
        <v>82</v>
      </c>
      <c r="B40" s="41"/>
      <c r="C40" s="43">
        <v>41090</v>
      </c>
      <c r="D40" s="44"/>
      <c r="E40" s="36">
        <v>4581.5</v>
      </c>
      <c r="F40" s="36">
        <f>-E40*$F$10</f>
        <v>0</v>
      </c>
      <c r="G40" s="36">
        <f>E40*$G$10</f>
        <v>0</v>
      </c>
      <c r="H40" s="36"/>
      <c r="I40" s="36">
        <f>+E40+F40-G40-H40</f>
        <v>4581.5</v>
      </c>
      <c r="J40" s="36">
        <f>+I40+(I40*$I$4)</f>
        <v>5497.8</v>
      </c>
      <c r="K40" s="36">
        <v>5497.8</v>
      </c>
      <c r="L40" s="37">
        <v>41090</v>
      </c>
      <c r="M40" s="37">
        <v>41071</v>
      </c>
      <c r="N40" s="92">
        <f>-IF(L40=0,,IF(M40=0,($C$10-L40),M40-L40))</f>
        <v>19</v>
      </c>
      <c r="O40" s="36">
        <f>+J40-K40</f>
        <v>0</v>
      </c>
      <c r="P40" s="36" t="e">
        <f>+IF($C$10&lt;L40,0,O40)</f>
        <v>#REF!</v>
      </c>
      <c r="Q40" s="39"/>
      <c r="R40" s="40">
        <f>IF(N40&gt;=0,0,(IF(-N40&lt;=60,O40,0)))</f>
        <v>0</v>
      </c>
      <c r="S40" s="40">
        <f>IF(N40&gt;=0,0,(IF(N40&gt;=-60,0,IF(-60&gt;=N40,IF(N40&gt;=-120,O40,0)))))</f>
        <v>0</v>
      </c>
      <c r="T40" s="40">
        <f>IF(N40&gt;=0,0,(IF(N40&gt;-60,0,IF(-60&gt;=N40,IF(N40&gt;=-120,0,IF(N40&gt;=-180,O40,0))))))</f>
        <v>0</v>
      </c>
      <c r="U40" s="40">
        <f>IF(N40&gt;=0,0,(IF(N40&gt;-60,0,IF(-60&gt;=N40,IF(N40&gt;-120,0,IF(N40&gt;=-180,0,IF(N40&gt;=-365,O40,0)))))))</f>
        <v>0</v>
      </c>
      <c r="V40" s="40">
        <f>IF(N40&gt;=0,0,IF(365&lt;-N40,O40,0))</f>
        <v>0</v>
      </c>
    </row>
    <row r="41" spans="1:22" s="99" customFormat="1" ht="19.5" customHeight="1">
      <c r="A41" s="104"/>
      <c r="B41" s="104"/>
      <c r="C41" s="106"/>
      <c r="D41" s="107"/>
      <c r="E41" s="108">
        <f t="shared" ref="E41:K41" si="27">SUM(E40:E40)</f>
        <v>4581.5</v>
      </c>
      <c r="F41" s="108">
        <f t="shared" si="27"/>
        <v>0</v>
      </c>
      <c r="G41" s="108">
        <f t="shared" si="27"/>
        <v>0</v>
      </c>
      <c r="H41" s="108">
        <f t="shared" si="27"/>
        <v>0</v>
      </c>
      <c r="I41" s="108">
        <f t="shared" si="27"/>
        <v>4581.5</v>
      </c>
      <c r="J41" s="108">
        <f t="shared" si="27"/>
        <v>5497.8</v>
      </c>
      <c r="K41" s="108">
        <f t="shared" si="27"/>
        <v>5497.8</v>
      </c>
      <c r="L41" s="109"/>
      <c r="M41" s="109"/>
      <c r="N41" s="110"/>
      <c r="O41" s="108">
        <f>SUM(O40:O40)</f>
        <v>0</v>
      </c>
      <c r="P41" s="108" t="e">
        <f>SUM(P40:P40)</f>
        <v>#REF!</v>
      </c>
      <c r="Q41" s="111"/>
      <c r="R41" s="112">
        <f>SUM(R40:R40)</f>
        <v>0</v>
      </c>
      <c r="S41" s="112">
        <f>SUM(S40:S40)</f>
        <v>0</v>
      </c>
      <c r="T41" s="112">
        <f>SUM(T40:T40)</f>
        <v>0</v>
      </c>
      <c r="U41" s="112">
        <f>SUM(U40:U40)</f>
        <v>0</v>
      </c>
      <c r="V41" s="112">
        <f>SUM(V40:V40)</f>
        <v>0</v>
      </c>
    </row>
    <row r="42" spans="1:22" ht="19.5" customHeight="1">
      <c r="A42" s="41" t="s">
        <v>73</v>
      </c>
      <c r="B42" s="41"/>
      <c r="C42" s="43">
        <v>40908</v>
      </c>
      <c r="D42" s="44"/>
      <c r="E42" s="36">
        <v>6990.1000000000013</v>
      </c>
      <c r="F42" s="36">
        <f t="shared" ref="F42:F79" si="28">-E42*$F$10</f>
        <v>0</v>
      </c>
      <c r="G42" s="36">
        <f t="shared" ref="G42:G79" si="29">E42*$G$10</f>
        <v>0</v>
      </c>
      <c r="H42" s="36"/>
      <c r="I42" s="36">
        <f t="shared" ref="I42:I79" si="30">+E42+F42-G42-H42</f>
        <v>6990.1000000000013</v>
      </c>
      <c r="J42" s="36">
        <f t="shared" ref="J42:J79" si="31">+I42+(I42*$I$4)</f>
        <v>8388.1200000000026</v>
      </c>
      <c r="K42" s="36">
        <v>8388.1200000000008</v>
      </c>
      <c r="L42" s="37">
        <v>41029</v>
      </c>
      <c r="M42" s="37">
        <v>41029</v>
      </c>
      <c r="N42" s="92">
        <f t="shared" ref="N42:N79" si="32">-IF(L42=0,,IF(M42=0,($C$10-L42),M42-L42))</f>
        <v>0</v>
      </c>
      <c r="O42" s="36">
        <f t="shared" ref="O42:O79" si="33">+J42-K42</f>
        <v>0</v>
      </c>
      <c r="P42" s="36" t="e">
        <f t="shared" ref="P42:P79" si="34">+IF($C$10&lt;L42,0,O42)</f>
        <v>#REF!</v>
      </c>
      <c r="Q42" s="39"/>
      <c r="R42" s="40">
        <f t="shared" ref="R42:R79" si="35">IF(N42&gt;=0,0,(IF(-N42&lt;=60,O42,0)))</f>
        <v>0</v>
      </c>
      <c r="S42" s="40">
        <f t="shared" ref="S42:S79" si="36">IF(N42&gt;=0,0,(IF(N42&gt;=-60,0,IF(-60&gt;=N42,IF(N42&gt;=-120,O42,0)))))</f>
        <v>0</v>
      </c>
      <c r="T42" s="40">
        <f t="shared" ref="T42:T79" si="37">IF(N42&gt;=0,0,(IF(N42&gt;-60,0,IF(-60&gt;=N42,IF(N42&gt;=-120,0,IF(N42&gt;=-180,O42,0))))))</f>
        <v>0</v>
      </c>
      <c r="U42" s="40">
        <f t="shared" ref="U42:U79" si="38">IF(N42&gt;=0,0,(IF(N42&gt;-60,0,IF(-60&gt;=N42,IF(N42&gt;-120,0,IF(N42&gt;=-180,0,IF(N42&gt;=-365,O42,0)))))))</f>
        <v>0</v>
      </c>
      <c r="V42" s="40">
        <f t="shared" ref="V42:V79" si="39">IF(N42&gt;=0,0,IF(365&lt;-N42,O42,0))</f>
        <v>0</v>
      </c>
    </row>
    <row r="43" spans="1:22" ht="19.5" customHeight="1">
      <c r="A43" s="41" t="s">
        <v>73</v>
      </c>
      <c r="B43" s="41"/>
      <c r="C43" s="43">
        <v>40939</v>
      </c>
      <c r="D43" s="44"/>
      <c r="E43" s="36">
        <v>951284.65833333344</v>
      </c>
      <c r="F43" s="36">
        <f t="shared" si="28"/>
        <v>0</v>
      </c>
      <c r="G43" s="36">
        <f t="shared" si="29"/>
        <v>0</v>
      </c>
      <c r="H43" s="36"/>
      <c r="I43" s="36">
        <f t="shared" si="30"/>
        <v>951284.65833333344</v>
      </c>
      <c r="J43" s="36">
        <f t="shared" si="31"/>
        <v>1141541.5900000001</v>
      </c>
      <c r="K43" s="36">
        <v>1141541.5900000001</v>
      </c>
      <c r="L43" s="37">
        <v>41029</v>
      </c>
      <c r="M43" s="37">
        <v>41029</v>
      </c>
      <c r="N43" s="92">
        <f t="shared" si="32"/>
        <v>0</v>
      </c>
      <c r="O43" s="36">
        <f t="shared" si="33"/>
        <v>0</v>
      </c>
      <c r="P43" s="36" t="e">
        <f t="shared" si="34"/>
        <v>#REF!</v>
      </c>
      <c r="Q43" s="39"/>
      <c r="R43" s="40">
        <f t="shared" si="35"/>
        <v>0</v>
      </c>
      <c r="S43" s="40">
        <f t="shared" si="36"/>
        <v>0</v>
      </c>
      <c r="T43" s="40">
        <f t="shared" si="37"/>
        <v>0</v>
      </c>
      <c r="U43" s="40">
        <f t="shared" si="38"/>
        <v>0</v>
      </c>
      <c r="V43" s="40">
        <f t="shared" si="39"/>
        <v>0</v>
      </c>
    </row>
    <row r="44" spans="1:22" ht="19.5" customHeight="1">
      <c r="A44" s="41" t="s">
        <v>73</v>
      </c>
      <c r="B44" s="41"/>
      <c r="C44" s="43">
        <v>40939</v>
      </c>
      <c r="D44" s="44"/>
      <c r="E44" s="36">
        <v>693139.3583333334</v>
      </c>
      <c r="F44" s="36">
        <f t="shared" si="28"/>
        <v>0</v>
      </c>
      <c r="G44" s="36">
        <f t="shared" si="29"/>
        <v>0</v>
      </c>
      <c r="H44" s="36"/>
      <c r="I44" s="36">
        <f t="shared" si="30"/>
        <v>693139.3583333334</v>
      </c>
      <c r="J44" s="36">
        <f t="shared" si="31"/>
        <v>831767.2300000001</v>
      </c>
      <c r="K44" s="36">
        <v>831767.23</v>
      </c>
      <c r="L44" s="37">
        <v>41029</v>
      </c>
      <c r="M44" s="37">
        <v>41029</v>
      </c>
      <c r="N44" s="92">
        <f t="shared" si="32"/>
        <v>0</v>
      </c>
      <c r="O44" s="36">
        <f t="shared" si="33"/>
        <v>0</v>
      </c>
      <c r="P44" s="36" t="e">
        <f t="shared" si="34"/>
        <v>#REF!</v>
      </c>
      <c r="Q44" s="39"/>
      <c r="R44" s="40">
        <f t="shared" si="35"/>
        <v>0</v>
      </c>
      <c r="S44" s="40">
        <f t="shared" si="36"/>
        <v>0</v>
      </c>
      <c r="T44" s="40">
        <f t="shared" si="37"/>
        <v>0</v>
      </c>
      <c r="U44" s="40">
        <f t="shared" si="38"/>
        <v>0</v>
      </c>
      <c r="V44" s="40">
        <f t="shared" si="39"/>
        <v>0</v>
      </c>
    </row>
    <row r="45" spans="1:22" ht="19.5" customHeight="1">
      <c r="A45" s="41" t="s">
        <v>73</v>
      </c>
      <c r="B45" s="41"/>
      <c r="C45" s="43">
        <v>40939</v>
      </c>
      <c r="D45" s="44"/>
      <c r="E45" s="36">
        <v>8235.5416666666661</v>
      </c>
      <c r="F45" s="36">
        <f t="shared" si="28"/>
        <v>0</v>
      </c>
      <c r="G45" s="36">
        <f t="shared" si="29"/>
        <v>0</v>
      </c>
      <c r="H45" s="36"/>
      <c r="I45" s="36">
        <f t="shared" si="30"/>
        <v>8235.5416666666661</v>
      </c>
      <c r="J45" s="36">
        <f t="shared" si="31"/>
        <v>9882.65</v>
      </c>
      <c r="K45" s="36">
        <v>9882.65</v>
      </c>
      <c r="L45" s="37">
        <v>41029</v>
      </c>
      <c r="M45" s="37">
        <v>41029</v>
      </c>
      <c r="N45" s="92">
        <f t="shared" si="32"/>
        <v>0</v>
      </c>
      <c r="O45" s="36">
        <f t="shared" si="33"/>
        <v>0</v>
      </c>
      <c r="P45" s="36" t="e">
        <f t="shared" si="34"/>
        <v>#REF!</v>
      </c>
      <c r="Q45" s="39"/>
      <c r="R45" s="40">
        <f t="shared" si="35"/>
        <v>0</v>
      </c>
      <c r="S45" s="40">
        <f t="shared" si="36"/>
        <v>0</v>
      </c>
      <c r="T45" s="40">
        <f t="shared" si="37"/>
        <v>0</v>
      </c>
      <c r="U45" s="40">
        <f t="shared" si="38"/>
        <v>0</v>
      </c>
      <c r="V45" s="40">
        <f t="shared" si="39"/>
        <v>0</v>
      </c>
    </row>
    <row r="46" spans="1:22" ht="19.5" customHeight="1">
      <c r="A46" s="41" t="s">
        <v>73</v>
      </c>
      <c r="B46" s="41"/>
      <c r="C46" s="43">
        <v>40939</v>
      </c>
      <c r="D46" s="44"/>
      <c r="E46" s="36">
        <v>127819.61666666668</v>
      </c>
      <c r="F46" s="36">
        <f t="shared" si="28"/>
        <v>0</v>
      </c>
      <c r="G46" s="36">
        <f t="shared" si="29"/>
        <v>0</v>
      </c>
      <c r="H46" s="36"/>
      <c r="I46" s="36">
        <f t="shared" si="30"/>
        <v>127819.61666666668</v>
      </c>
      <c r="J46" s="36">
        <f t="shared" si="31"/>
        <v>153383.54000000004</v>
      </c>
      <c r="K46" s="36">
        <v>153383.54</v>
      </c>
      <c r="L46" s="37">
        <v>41029</v>
      </c>
      <c r="M46" s="37">
        <v>41029</v>
      </c>
      <c r="N46" s="92">
        <f t="shared" si="32"/>
        <v>0</v>
      </c>
      <c r="O46" s="36">
        <f t="shared" si="33"/>
        <v>0</v>
      </c>
      <c r="P46" s="36" t="e">
        <f t="shared" si="34"/>
        <v>#REF!</v>
      </c>
      <c r="Q46" s="39"/>
      <c r="R46" s="40">
        <f t="shared" si="35"/>
        <v>0</v>
      </c>
      <c r="S46" s="40">
        <f t="shared" si="36"/>
        <v>0</v>
      </c>
      <c r="T46" s="40">
        <f t="shared" si="37"/>
        <v>0</v>
      </c>
      <c r="U46" s="40">
        <f t="shared" si="38"/>
        <v>0</v>
      </c>
      <c r="V46" s="40">
        <f t="shared" si="39"/>
        <v>0</v>
      </c>
    </row>
    <row r="47" spans="1:22" ht="19.5" customHeight="1">
      <c r="A47" s="41" t="s">
        <v>73</v>
      </c>
      <c r="B47" s="41"/>
      <c r="C47" s="43">
        <v>40939</v>
      </c>
      <c r="D47" s="44"/>
      <c r="E47" s="36">
        <v>316866.2</v>
      </c>
      <c r="F47" s="36">
        <f t="shared" si="28"/>
        <v>0</v>
      </c>
      <c r="G47" s="36">
        <f t="shared" si="29"/>
        <v>0</v>
      </c>
      <c r="H47" s="36"/>
      <c r="I47" s="36">
        <f t="shared" si="30"/>
        <v>316866.2</v>
      </c>
      <c r="J47" s="36">
        <f t="shared" si="31"/>
        <v>380239.44</v>
      </c>
      <c r="K47" s="36">
        <v>380239.44</v>
      </c>
      <c r="L47" s="37">
        <v>41029</v>
      </c>
      <c r="M47" s="37">
        <v>41029</v>
      </c>
      <c r="N47" s="92">
        <f t="shared" si="32"/>
        <v>0</v>
      </c>
      <c r="O47" s="36">
        <f t="shared" si="33"/>
        <v>0</v>
      </c>
      <c r="P47" s="36" t="e">
        <f t="shared" si="34"/>
        <v>#REF!</v>
      </c>
      <c r="Q47" s="39"/>
      <c r="R47" s="40">
        <f t="shared" si="35"/>
        <v>0</v>
      </c>
      <c r="S47" s="40">
        <f t="shared" si="36"/>
        <v>0</v>
      </c>
      <c r="T47" s="40">
        <f t="shared" si="37"/>
        <v>0</v>
      </c>
      <c r="U47" s="40">
        <f t="shared" si="38"/>
        <v>0</v>
      </c>
      <c r="V47" s="40">
        <f t="shared" si="39"/>
        <v>0</v>
      </c>
    </row>
    <row r="48" spans="1:22" ht="19.5" customHeight="1">
      <c r="A48" s="41" t="s">
        <v>73</v>
      </c>
      <c r="B48" s="41"/>
      <c r="C48" s="43">
        <v>40968</v>
      </c>
      <c r="D48" s="44"/>
      <c r="E48" s="36">
        <v>427518.85833333334</v>
      </c>
      <c r="F48" s="36">
        <f t="shared" si="28"/>
        <v>0</v>
      </c>
      <c r="G48" s="36">
        <f t="shared" si="29"/>
        <v>0</v>
      </c>
      <c r="H48" s="36"/>
      <c r="I48" s="36">
        <f t="shared" si="30"/>
        <v>427518.85833333334</v>
      </c>
      <c r="J48" s="36">
        <f t="shared" si="31"/>
        <v>513022.63</v>
      </c>
      <c r="K48" s="36">
        <v>513022.63</v>
      </c>
      <c r="L48" s="37">
        <v>41060</v>
      </c>
      <c r="M48" s="37">
        <v>41060</v>
      </c>
      <c r="N48" s="92">
        <f t="shared" si="32"/>
        <v>0</v>
      </c>
      <c r="O48" s="36">
        <f t="shared" si="33"/>
        <v>0</v>
      </c>
      <c r="P48" s="36" t="e">
        <f t="shared" si="34"/>
        <v>#REF!</v>
      </c>
      <c r="Q48" s="39"/>
      <c r="R48" s="40">
        <f t="shared" si="35"/>
        <v>0</v>
      </c>
      <c r="S48" s="40">
        <f t="shared" si="36"/>
        <v>0</v>
      </c>
      <c r="T48" s="40">
        <f t="shared" si="37"/>
        <v>0</v>
      </c>
      <c r="U48" s="40">
        <f t="shared" si="38"/>
        <v>0</v>
      </c>
      <c r="V48" s="40">
        <f t="shared" si="39"/>
        <v>0</v>
      </c>
    </row>
    <row r="49" spans="1:22" ht="19.5" customHeight="1">
      <c r="A49" s="41" t="s">
        <v>73</v>
      </c>
      <c r="B49" s="41"/>
      <c r="C49" s="43">
        <v>40968</v>
      </c>
      <c r="D49" s="44"/>
      <c r="E49" s="36">
        <v>242059.04166666666</v>
      </c>
      <c r="F49" s="36">
        <f t="shared" si="28"/>
        <v>0</v>
      </c>
      <c r="G49" s="36">
        <f t="shared" si="29"/>
        <v>0</v>
      </c>
      <c r="H49" s="36"/>
      <c r="I49" s="36">
        <f t="shared" si="30"/>
        <v>242059.04166666666</v>
      </c>
      <c r="J49" s="36">
        <f t="shared" si="31"/>
        <v>290470.84999999998</v>
      </c>
      <c r="K49" s="36">
        <v>290470.84999999998</v>
      </c>
      <c r="L49" s="37">
        <v>41060</v>
      </c>
      <c r="M49" s="37">
        <v>41060</v>
      </c>
      <c r="N49" s="92">
        <f t="shared" si="32"/>
        <v>0</v>
      </c>
      <c r="O49" s="36">
        <f t="shared" si="33"/>
        <v>0</v>
      </c>
      <c r="P49" s="36" t="e">
        <f t="shared" si="34"/>
        <v>#REF!</v>
      </c>
      <c r="Q49" s="39"/>
      <c r="R49" s="40">
        <f t="shared" si="35"/>
        <v>0</v>
      </c>
      <c r="S49" s="40">
        <f t="shared" si="36"/>
        <v>0</v>
      </c>
      <c r="T49" s="40">
        <f t="shared" si="37"/>
        <v>0</v>
      </c>
      <c r="U49" s="40">
        <f t="shared" si="38"/>
        <v>0</v>
      </c>
      <c r="V49" s="40">
        <f t="shared" si="39"/>
        <v>0</v>
      </c>
    </row>
    <row r="50" spans="1:22" ht="19.5" customHeight="1">
      <c r="A50" s="41" t="s">
        <v>73</v>
      </c>
      <c r="B50" s="41"/>
      <c r="C50" s="43">
        <v>40968</v>
      </c>
      <c r="D50" s="44"/>
      <c r="E50" s="36">
        <v>103252.31666666667</v>
      </c>
      <c r="F50" s="36">
        <f t="shared" si="28"/>
        <v>0</v>
      </c>
      <c r="G50" s="36">
        <f t="shared" si="29"/>
        <v>0</v>
      </c>
      <c r="H50" s="36"/>
      <c r="I50" s="36">
        <f t="shared" si="30"/>
        <v>103252.31666666667</v>
      </c>
      <c r="J50" s="36">
        <f t="shared" si="31"/>
        <v>123902.78</v>
      </c>
      <c r="K50" s="36">
        <v>123902.78</v>
      </c>
      <c r="L50" s="37">
        <v>41060</v>
      </c>
      <c r="M50" s="37">
        <v>41060</v>
      </c>
      <c r="N50" s="92">
        <f t="shared" si="32"/>
        <v>0</v>
      </c>
      <c r="O50" s="36">
        <f t="shared" si="33"/>
        <v>0</v>
      </c>
      <c r="P50" s="36" t="e">
        <f t="shared" si="34"/>
        <v>#REF!</v>
      </c>
      <c r="Q50" s="39"/>
      <c r="R50" s="40">
        <f t="shared" si="35"/>
        <v>0</v>
      </c>
      <c r="S50" s="40">
        <f t="shared" si="36"/>
        <v>0</v>
      </c>
      <c r="T50" s="40">
        <f t="shared" si="37"/>
        <v>0</v>
      </c>
      <c r="U50" s="40">
        <f t="shared" si="38"/>
        <v>0</v>
      </c>
      <c r="V50" s="40">
        <f t="shared" si="39"/>
        <v>0</v>
      </c>
    </row>
    <row r="51" spans="1:22" ht="19.5" customHeight="1">
      <c r="A51" s="41" t="s">
        <v>73</v>
      </c>
      <c r="B51" s="41"/>
      <c r="C51" s="43">
        <v>40968</v>
      </c>
      <c r="D51" s="44"/>
      <c r="E51" s="36">
        <v>65981.283333333326</v>
      </c>
      <c r="F51" s="36">
        <f t="shared" si="28"/>
        <v>0</v>
      </c>
      <c r="G51" s="36">
        <f t="shared" si="29"/>
        <v>0</v>
      </c>
      <c r="H51" s="36"/>
      <c r="I51" s="36">
        <f t="shared" si="30"/>
        <v>65981.283333333326</v>
      </c>
      <c r="J51" s="36">
        <f t="shared" si="31"/>
        <v>79177.539999999994</v>
      </c>
      <c r="K51" s="36">
        <v>79177.539999999994</v>
      </c>
      <c r="L51" s="37">
        <v>41060</v>
      </c>
      <c r="M51" s="37">
        <v>41060</v>
      </c>
      <c r="N51" s="92">
        <f t="shared" si="32"/>
        <v>0</v>
      </c>
      <c r="O51" s="36">
        <f t="shared" si="33"/>
        <v>0</v>
      </c>
      <c r="P51" s="36" t="e">
        <f t="shared" si="34"/>
        <v>#REF!</v>
      </c>
      <c r="Q51" s="39"/>
      <c r="R51" s="40">
        <f t="shared" si="35"/>
        <v>0</v>
      </c>
      <c r="S51" s="40">
        <f t="shared" si="36"/>
        <v>0</v>
      </c>
      <c r="T51" s="40">
        <f t="shared" si="37"/>
        <v>0</v>
      </c>
      <c r="U51" s="40">
        <f t="shared" si="38"/>
        <v>0</v>
      </c>
      <c r="V51" s="40">
        <f t="shared" si="39"/>
        <v>0</v>
      </c>
    </row>
    <row r="52" spans="1:22" ht="19.5" customHeight="1">
      <c r="A52" s="41" t="s">
        <v>73</v>
      </c>
      <c r="B52" s="41"/>
      <c r="C52" s="43">
        <v>40968</v>
      </c>
      <c r="D52" s="44"/>
      <c r="E52" s="36">
        <v>291837.00000000006</v>
      </c>
      <c r="F52" s="36">
        <f t="shared" si="28"/>
        <v>0</v>
      </c>
      <c r="G52" s="36">
        <f t="shared" si="29"/>
        <v>0</v>
      </c>
      <c r="H52" s="36"/>
      <c r="I52" s="36">
        <f t="shared" si="30"/>
        <v>291837.00000000006</v>
      </c>
      <c r="J52" s="36">
        <f t="shared" si="31"/>
        <v>350204.40000000008</v>
      </c>
      <c r="K52" s="36">
        <v>350204.4</v>
      </c>
      <c r="L52" s="37">
        <v>41060</v>
      </c>
      <c r="M52" s="37">
        <v>41060</v>
      </c>
      <c r="N52" s="92">
        <f t="shared" si="32"/>
        <v>0</v>
      </c>
      <c r="O52" s="36">
        <f t="shared" si="33"/>
        <v>0</v>
      </c>
      <c r="P52" s="36" t="e">
        <f t="shared" si="34"/>
        <v>#REF!</v>
      </c>
      <c r="Q52" s="39"/>
      <c r="R52" s="40">
        <f t="shared" si="35"/>
        <v>0</v>
      </c>
      <c r="S52" s="40">
        <f t="shared" si="36"/>
        <v>0</v>
      </c>
      <c r="T52" s="40">
        <f t="shared" si="37"/>
        <v>0</v>
      </c>
      <c r="U52" s="40">
        <f t="shared" si="38"/>
        <v>0</v>
      </c>
      <c r="V52" s="40">
        <f t="shared" si="39"/>
        <v>0</v>
      </c>
    </row>
    <row r="53" spans="1:22" ht="19.5" customHeight="1">
      <c r="A53" s="41" t="s">
        <v>73</v>
      </c>
      <c r="B53" s="41"/>
      <c r="C53" s="43">
        <v>41029</v>
      </c>
      <c r="D53" s="44"/>
      <c r="E53" s="36">
        <v>1500</v>
      </c>
      <c r="F53" s="36">
        <f t="shared" si="28"/>
        <v>0</v>
      </c>
      <c r="G53" s="36">
        <f t="shared" si="29"/>
        <v>0</v>
      </c>
      <c r="H53" s="36"/>
      <c r="I53" s="36">
        <f t="shared" si="30"/>
        <v>1500</v>
      </c>
      <c r="J53" s="36">
        <f t="shared" si="31"/>
        <v>1800</v>
      </c>
      <c r="K53" s="36">
        <v>1800</v>
      </c>
      <c r="L53" s="37">
        <v>41090</v>
      </c>
      <c r="M53" s="37">
        <v>41170</v>
      </c>
      <c r="N53" s="92">
        <f t="shared" si="32"/>
        <v>-80</v>
      </c>
      <c r="O53" s="36">
        <f t="shared" si="33"/>
        <v>0</v>
      </c>
      <c r="P53" s="36" t="e">
        <f t="shared" si="34"/>
        <v>#REF!</v>
      </c>
      <c r="Q53" s="39"/>
      <c r="R53" s="40">
        <f t="shared" si="35"/>
        <v>0</v>
      </c>
      <c r="S53" s="40">
        <f t="shared" si="36"/>
        <v>0</v>
      </c>
      <c r="T53" s="40">
        <f t="shared" si="37"/>
        <v>0</v>
      </c>
      <c r="U53" s="40">
        <f t="shared" si="38"/>
        <v>0</v>
      </c>
      <c r="V53" s="40">
        <f t="shared" si="39"/>
        <v>0</v>
      </c>
    </row>
    <row r="54" spans="1:22" ht="19.5" customHeight="1">
      <c r="A54" s="41" t="s">
        <v>73</v>
      </c>
      <c r="B54" s="41"/>
      <c r="C54" s="43">
        <v>41029</v>
      </c>
      <c r="D54" s="44"/>
      <c r="E54" s="36">
        <v>6000</v>
      </c>
      <c r="F54" s="36">
        <f t="shared" si="28"/>
        <v>0</v>
      </c>
      <c r="G54" s="36">
        <f t="shared" si="29"/>
        <v>0</v>
      </c>
      <c r="H54" s="36"/>
      <c r="I54" s="36">
        <f t="shared" si="30"/>
        <v>6000</v>
      </c>
      <c r="J54" s="36">
        <f t="shared" si="31"/>
        <v>7200</v>
      </c>
      <c r="K54" s="36">
        <v>7200</v>
      </c>
      <c r="L54" s="37">
        <v>41090</v>
      </c>
      <c r="M54" s="37">
        <v>41170</v>
      </c>
      <c r="N54" s="92">
        <f t="shared" si="32"/>
        <v>-80</v>
      </c>
      <c r="O54" s="36">
        <f t="shared" si="33"/>
        <v>0</v>
      </c>
      <c r="P54" s="36" t="e">
        <f t="shared" si="34"/>
        <v>#REF!</v>
      </c>
      <c r="Q54" s="39"/>
      <c r="R54" s="40">
        <f t="shared" si="35"/>
        <v>0</v>
      </c>
      <c r="S54" s="40">
        <f t="shared" si="36"/>
        <v>0</v>
      </c>
      <c r="T54" s="40">
        <f t="shared" si="37"/>
        <v>0</v>
      </c>
      <c r="U54" s="40">
        <f t="shared" si="38"/>
        <v>0</v>
      </c>
      <c r="V54" s="40">
        <f t="shared" si="39"/>
        <v>0</v>
      </c>
    </row>
    <row r="55" spans="1:22" ht="19.5" customHeight="1">
      <c r="A55" s="41" t="s">
        <v>73</v>
      </c>
      <c r="B55" s="41"/>
      <c r="C55" s="43">
        <v>41029</v>
      </c>
      <c r="D55" s="44"/>
      <c r="E55" s="36">
        <v>2500</v>
      </c>
      <c r="F55" s="36">
        <f t="shared" si="28"/>
        <v>0</v>
      </c>
      <c r="G55" s="36">
        <f t="shared" si="29"/>
        <v>0</v>
      </c>
      <c r="H55" s="36"/>
      <c r="I55" s="36">
        <f t="shared" si="30"/>
        <v>2500</v>
      </c>
      <c r="J55" s="36">
        <f t="shared" si="31"/>
        <v>3000</v>
      </c>
      <c r="K55" s="36">
        <v>3000</v>
      </c>
      <c r="L55" s="37">
        <v>41090</v>
      </c>
      <c r="M55" s="37">
        <v>41170</v>
      </c>
      <c r="N55" s="92">
        <f t="shared" si="32"/>
        <v>-80</v>
      </c>
      <c r="O55" s="36">
        <f t="shared" si="33"/>
        <v>0</v>
      </c>
      <c r="P55" s="36" t="e">
        <f t="shared" si="34"/>
        <v>#REF!</v>
      </c>
      <c r="Q55" s="39"/>
      <c r="R55" s="40">
        <f t="shared" si="35"/>
        <v>0</v>
      </c>
      <c r="S55" s="40">
        <f t="shared" si="36"/>
        <v>0</v>
      </c>
      <c r="T55" s="40">
        <f t="shared" si="37"/>
        <v>0</v>
      </c>
      <c r="U55" s="40">
        <f t="shared" si="38"/>
        <v>0</v>
      </c>
      <c r="V55" s="40">
        <f t="shared" si="39"/>
        <v>0</v>
      </c>
    </row>
    <row r="56" spans="1:22" ht="19.5" customHeight="1">
      <c r="A56" s="41" t="s">
        <v>73</v>
      </c>
      <c r="B56" s="41"/>
      <c r="C56" s="43">
        <v>41029</v>
      </c>
      <c r="D56" s="44"/>
      <c r="E56" s="36">
        <v>6000</v>
      </c>
      <c r="F56" s="36">
        <f t="shared" si="28"/>
        <v>0</v>
      </c>
      <c r="G56" s="36">
        <f t="shared" si="29"/>
        <v>0</v>
      </c>
      <c r="H56" s="36"/>
      <c r="I56" s="36">
        <f t="shared" si="30"/>
        <v>6000</v>
      </c>
      <c r="J56" s="36">
        <f t="shared" si="31"/>
        <v>7200</v>
      </c>
      <c r="K56" s="36">
        <v>7200</v>
      </c>
      <c r="L56" s="37">
        <v>41090</v>
      </c>
      <c r="M56" s="37">
        <v>41090</v>
      </c>
      <c r="N56" s="92">
        <f t="shared" si="32"/>
        <v>0</v>
      </c>
      <c r="O56" s="36">
        <f t="shared" si="33"/>
        <v>0</v>
      </c>
      <c r="P56" s="36" t="e">
        <f t="shared" si="34"/>
        <v>#REF!</v>
      </c>
      <c r="Q56" s="39"/>
      <c r="R56" s="40">
        <f t="shared" si="35"/>
        <v>0</v>
      </c>
      <c r="S56" s="40">
        <f t="shared" si="36"/>
        <v>0</v>
      </c>
      <c r="T56" s="40">
        <f t="shared" si="37"/>
        <v>0</v>
      </c>
      <c r="U56" s="40">
        <f t="shared" si="38"/>
        <v>0</v>
      </c>
      <c r="V56" s="40">
        <f t="shared" si="39"/>
        <v>0</v>
      </c>
    </row>
    <row r="57" spans="1:22" ht="19.5" customHeight="1">
      <c r="A57" s="41" t="s">
        <v>73</v>
      </c>
      <c r="B57" s="41"/>
      <c r="C57" s="43">
        <v>40999</v>
      </c>
      <c r="D57" s="44"/>
      <c r="E57" s="36">
        <v>654065.9</v>
      </c>
      <c r="F57" s="36">
        <f t="shared" si="28"/>
        <v>0</v>
      </c>
      <c r="G57" s="36">
        <f t="shared" si="29"/>
        <v>0</v>
      </c>
      <c r="H57" s="36"/>
      <c r="I57" s="36">
        <f t="shared" si="30"/>
        <v>654065.9</v>
      </c>
      <c r="J57" s="36">
        <f t="shared" si="31"/>
        <v>784879.08000000007</v>
      </c>
      <c r="K57" s="36">
        <v>784879.08</v>
      </c>
      <c r="L57" s="37">
        <v>41090</v>
      </c>
      <c r="M57" s="37">
        <v>41090</v>
      </c>
      <c r="N57" s="92">
        <f t="shared" si="32"/>
        <v>0</v>
      </c>
      <c r="O57" s="36">
        <f t="shared" si="33"/>
        <v>0</v>
      </c>
      <c r="P57" s="36" t="e">
        <f t="shared" si="34"/>
        <v>#REF!</v>
      </c>
      <c r="Q57" s="39"/>
      <c r="R57" s="40">
        <f t="shared" si="35"/>
        <v>0</v>
      </c>
      <c r="S57" s="40">
        <f t="shared" si="36"/>
        <v>0</v>
      </c>
      <c r="T57" s="40">
        <f t="shared" si="37"/>
        <v>0</v>
      </c>
      <c r="U57" s="40">
        <f t="shared" si="38"/>
        <v>0</v>
      </c>
      <c r="V57" s="40">
        <f t="shared" si="39"/>
        <v>0</v>
      </c>
    </row>
    <row r="58" spans="1:22" ht="19.5" customHeight="1">
      <c r="A58" s="41" t="s">
        <v>73</v>
      </c>
      <c r="B58" s="41"/>
      <c r="C58" s="43">
        <v>40999</v>
      </c>
      <c r="D58" s="44"/>
      <c r="E58" s="36">
        <v>454196.95833333331</v>
      </c>
      <c r="F58" s="36">
        <f t="shared" si="28"/>
        <v>0</v>
      </c>
      <c r="G58" s="36">
        <f t="shared" si="29"/>
        <v>0</v>
      </c>
      <c r="H58" s="36"/>
      <c r="I58" s="36">
        <f t="shared" si="30"/>
        <v>454196.95833333331</v>
      </c>
      <c r="J58" s="36">
        <f t="shared" si="31"/>
        <v>545036.35</v>
      </c>
      <c r="K58" s="36">
        <v>545036.35</v>
      </c>
      <c r="L58" s="37">
        <v>41090</v>
      </c>
      <c r="M58" s="37">
        <v>41090</v>
      </c>
      <c r="N58" s="92">
        <f t="shared" si="32"/>
        <v>0</v>
      </c>
      <c r="O58" s="36">
        <f t="shared" si="33"/>
        <v>0</v>
      </c>
      <c r="P58" s="36" t="e">
        <f t="shared" si="34"/>
        <v>#REF!</v>
      </c>
      <c r="Q58" s="39"/>
      <c r="R58" s="40">
        <f t="shared" si="35"/>
        <v>0</v>
      </c>
      <c r="S58" s="40">
        <f t="shared" si="36"/>
        <v>0</v>
      </c>
      <c r="T58" s="40">
        <f t="shared" si="37"/>
        <v>0</v>
      </c>
      <c r="U58" s="40">
        <f t="shared" si="38"/>
        <v>0</v>
      </c>
      <c r="V58" s="40">
        <f t="shared" si="39"/>
        <v>0</v>
      </c>
    </row>
    <row r="59" spans="1:22" ht="19.5" customHeight="1">
      <c r="A59" s="41" t="s">
        <v>73</v>
      </c>
      <c r="B59" s="41"/>
      <c r="C59" s="43">
        <v>40999</v>
      </c>
      <c r="D59" s="44"/>
      <c r="E59" s="36">
        <v>2789.6166666666668</v>
      </c>
      <c r="F59" s="36">
        <f t="shared" si="28"/>
        <v>0</v>
      </c>
      <c r="G59" s="36">
        <f t="shared" si="29"/>
        <v>0</v>
      </c>
      <c r="H59" s="36"/>
      <c r="I59" s="36">
        <f t="shared" si="30"/>
        <v>2789.6166666666668</v>
      </c>
      <c r="J59" s="36">
        <f t="shared" si="31"/>
        <v>3347.54</v>
      </c>
      <c r="K59" s="36">
        <v>3347.54</v>
      </c>
      <c r="L59" s="37">
        <v>41090</v>
      </c>
      <c r="M59" s="37">
        <v>41090</v>
      </c>
      <c r="N59" s="92">
        <f t="shared" si="32"/>
        <v>0</v>
      </c>
      <c r="O59" s="36">
        <f t="shared" si="33"/>
        <v>0</v>
      </c>
      <c r="P59" s="36" t="e">
        <f t="shared" si="34"/>
        <v>#REF!</v>
      </c>
      <c r="Q59" s="39"/>
      <c r="R59" s="40">
        <f t="shared" si="35"/>
        <v>0</v>
      </c>
      <c r="S59" s="40">
        <f t="shared" si="36"/>
        <v>0</v>
      </c>
      <c r="T59" s="40">
        <f t="shared" si="37"/>
        <v>0</v>
      </c>
      <c r="U59" s="40">
        <f t="shared" si="38"/>
        <v>0</v>
      </c>
      <c r="V59" s="40">
        <f t="shared" si="39"/>
        <v>0</v>
      </c>
    </row>
    <row r="60" spans="1:22" ht="19.5" customHeight="1">
      <c r="A60" s="41" t="s">
        <v>73</v>
      </c>
      <c r="B60" s="41"/>
      <c r="C60" s="43">
        <v>40999</v>
      </c>
      <c r="D60" s="44"/>
      <c r="E60" s="36">
        <v>123967.25833333333</v>
      </c>
      <c r="F60" s="36">
        <f t="shared" si="28"/>
        <v>0</v>
      </c>
      <c r="G60" s="36">
        <f t="shared" si="29"/>
        <v>0</v>
      </c>
      <c r="H60" s="36"/>
      <c r="I60" s="36">
        <f t="shared" si="30"/>
        <v>123967.25833333333</v>
      </c>
      <c r="J60" s="36">
        <f t="shared" si="31"/>
        <v>148760.71</v>
      </c>
      <c r="K60" s="36">
        <v>148760.71</v>
      </c>
      <c r="L60" s="37">
        <v>41090</v>
      </c>
      <c r="M60" s="37">
        <v>41090</v>
      </c>
      <c r="N60" s="92">
        <f t="shared" si="32"/>
        <v>0</v>
      </c>
      <c r="O60" s="36">
        <f t="shared" si="33"/>
        <v>0</v>
      </c>
      <c r="P60" s="36" t="e">
        <f t="shared" si="34"/>
        <v>#REF!</v>
      </c>
      <c r="Q60" s="39"/>
      <c r="R60" s="40">
        <f t="shared" si="35"/>
        <v>0</v>
      </c>
      <c r="S60" s="40">
        <f t="shared" si="36"/>
        <v>0</v>
      </c>
      <c r="T60" s="40">
        <f t="shared" si="37"/>
        <v>0</v>
      </c>
      <c r="U60" s="40">
        <f t="shared" si="38"/>
        <v>0</v>
      </c>
      <c r="V60" s="40">
        <f t="shared" si="39"/>
        <v>0</v>
      </c>
    </row>
    <row r="61" spans="1:22" ht="19.5" customHeight="1">
      <c r="A61" s="41" t="s">
        <v>73</v>
      </c>
      <c r="B61" s="41"/>
      <c r="C61" s="43">
        <v>40999</v>
      </c>
      <c r="D61" s="44"/>
      <c r="E61" s="36">
        <v>262022.6</v>
      </c>
      <c r="F61" s="36">
        <f t="shared" si="28"/>
        <v>0</v>
      </c>
      <c r="G61" s="36">
        <f t="shared" si="29"/>
        <v>0</v>
      </c>
      <c r="H61" s="36"/>
      <c r="I61" s="36">
        <f t="shared" si="30"/>
        <v>262022.6</v>
      </c>
      <c r="J61" s="36">
        <f t="shared" si="31"/>
        <v>314427.12</v>
      </c>
      <c r="K61" s="36">
        <v>314427.12</v>
      </c>
      <c r="L61" s="37">
        <v>41090</v>
      </c>
      <c r="M61" s="37">
        <v>41121</v>
      </c>
      <c r="N61" s="92">
        <f t="shared" si="32"/>
        <v>-31</v>
      </c>
      <c r="O61" s="36">
        <f t="shared" si="33"/>
        <v>0</v>
      </c>
      <c r="P61" s="36" t="e">
        <f t="shared" si="34"/>
        <v>#REF!</v>
      </c>
      <c r="Q61" s="39"/>
      <c r="R61" s="40">
        <f t="shared" si="35"/>
        <v>0</v>
      </c>
      <c r="S61" s="40">
        <f t="shared" si="36"/>
        <v>0</v>
      </c>
      <c r="T61" s="40">
        <f t="shared" si="37"/>
        <v>0</v>
      </c>
      <c r="U61" s="40">
        <f t="shared" si="38"/>
        <v>0</v>
      </c>
      <c r="V61" s="40">
        <f t="shared" si="39"/>
        <v>0</v>
      </c>
    </row>
    <row r="62" spans="1:22" ht="19.5" customHeight="1">
      <c r="A62" s="41" t="s">
        <v>73</v>
      </c>
      <c r="B62" s="41"/>
      <c r="C62" s="43">
        <v>41029</v>
      </c>
      <c r="D62" s="44"/>
      <c r="E62" s="36">
        <v>521396.34166666667</v>
      </c>
      <c r="F62" s="36">
        <f t="shared" si="28"/>
        <v>0</v>
      </c>
      <c r="G62" s="36">
        <f t="shared" si="29"/>
        <v>0</v>
      </c>
      <c r="H62" s="36"/>
      <c r="I62" s="36">
        <f t="shared" si="30"/>
        <v>521396.34166666667</v>
      </c>
      <c r="J62" s="36">
        <f t="shared" si="31"/>
        <v>625675.61</v>
      </c>
      <c r="K62" s="36">
        <v>625675.61</v>
      </c>
      <c r="L62" s="37">
        <v>41090</v>
      </c>
      <c r="M62" s="37">
        <v>41121</v>
      </c>
      <c r="N62" s="92">
        <f t="shared" si="32"/>
        <v>-31</v>
      </c>
      <c r="O62" s="36">
        <f t="shared" si="33"/>
        <v>0</v>
      </c>
      <c r="P62" s="36" t="e">
        <f t="shared" si="34"/>
        <v>#REF!</v>
      </c>
      <c r="Q62" s="39"/>
      <c r="R62" s="40">
        <f t="shared" si="35"/>
        <v>0</v>
      </c>
      <c r="S62" s="40">
        <f t="shared" si="36"/>
        <v>0</v>
      </c>
      <c r="T62" s="40">
        <f t="shared" si="37"/>
        <v>0</v>
      </c>
      <c r="U62" s="40">
        <f t="shared" si="38"/>
        <v>0</v>
      </c>
      <c r="V62" s="40">
        <f t="shared" si="39"/>
        <v>0</v>
      </c>
    </row>
    <row r="63" spans="1:22" ht="19.5" customHeight="1">
      <c r="A63" s="41" t="s">
        <v>73</v>
      </c>
      <c r="B63" s="41"/>
      <c r="C63" s="43">
        <v>41029</v>
      </c>
      <c r="D63" s="44"/>
      <c r="E63" s="36">
        <v>365766.6</v>
      </c>
      <c r="F63" s="36">
        <f t="shared" si="28"/>
        <v>0</v>
      </c>
      <c r="G63" s="36">
        <f t="shared" si="29"/>
        <v>0</v>
      </c>
      <c r="H63" s="36"/>
      <c r="I63" s="36">
        <f t="shared" si="30"/>
        <v>365766.6</v>
      </c>
      <c r="J63" s="36">
        <f t="shared" si="31"/>
        <v>438919.92</v>
      </c>
      <c r="K63" s="36">
        <v>438919.92</v>
      </c>
      <c r="L63" s="37">
        <v>41090</v>
      </c>
      <c r="M63" s="37">
        <v>41121</v>
      </c>
      <c r="N63" s="92">
        <f t="shared" si="32"/>
        <v>-31</v>
      </c>
      <c r="O63" s="36">
        <f t="shared" si="33"/>
        <v>0</v>
      </c>
      <c r="P63" s="36" t="e">
        <f t="shared" si="34"/>
        <v>#REF!</v>
      </c>
      <c r="Q63" s="39"/>
      <c r="R63" s="40">
        <f t="shared" si="35"/>
        <v>0</v>
      </c>
      <c r="S63" s="40">
        <f t="shared" si="36"/>
        <v>0</v>
      </c>
      <c r="T63" s="40">
        <f t="shared" si="37"/>
        <v>0</v>
      </c>
      <c r="U63" s="40">
        <f t="shared" si="38"/>
        <v>0</v>
      </c>
      <c r="V63" s="40">
        <f t="shared" si="39"/>
        <v>0</v>
      </c>
    </row>
    <row r="64" spans="1:22" ht="19.5" customHeight="1">
      <c r="A64" s="41" t="s">
        <v>73</v>
      </c>
      <c r="B64" s="41"/>
      <c r="C64" s="43">
        <v>41029</v>
      </c>
      <c r="D64" s="44"/>
      <c r="E64" s="36">
        <v>138239.45833333334</v>
      </c>
      <c r="F64" s="36">
        <f t="shared" si="28"/>
        <v>0</v>
      </c>
      <c r="G64" s="36">
        <f t="shared" si="29"/>
        <v>0</v>
      </c>
      <c r="H64" s="36"/>
      <c r="I64" s="36">
        <f t="shared" si="30"/>
        <v>138239.45833333334</v>
      </c>
      <c r="J64" s="36">
        <f t="shared" si="31"/>
        <v>165887.35</v>
      </c>
      <c r="K64" s="36">
        <v>165887.35</v>
      </c>
      <c r="L64" s="37">
        <v>41090</v>
      </c>
      <c r="M64" s="37">
        <v>41121</v>
      </c>
      <c r="N64" s="92">
        <f t="shared" si="32"/>
        <v>-31</v>
      </c>
      <c r="O64" s="36">
        <f t="shared" si="33"/>
        <v>0</v>
      </c>
      <c r="P64" s="36" t="e">
        <f t="shared" si="34"/>
        <v>#REF!</v>
      </c>
      <c r="Q64" s="39"/>
      <c r="R64" s="40">
        <f t="shared" si="35"/>
        <v>0</v>
      </c>
      <c r="S64" s="40">
        <f t="shared" si="36"/>
        <v>0</v>
      </c>
      <c r="T64" s="40">
        <f t="shared" si="37"/>
        <v>0</v>
      </c>
      <c r="U64" s="40">
        <f t="shared" si="38"/>
        <v>0</v>
      </c>
      <c r="V64" s="40">
        <f t="shared" si="39"/>
        <v>0</v>
      </c>
    </row>
    <row r="65" spans="1:22" ht="19.5" customHeight="1">
      <c r="A65" s="41" t="s">
        <v>73</v>
      </c>
      <c r="B65" s="41"/>
      <c r="C65" s="43">
        <v>41029</v>
      </c>
      <c r="D65" s="44"/>
      <c r="E65" s="36">
        <v>199007.2</v>
      </c>
      <c r="F65" s="36">
        <f t="shared" si="28"/>
        <v>0</v>
      </c>
      <c r="G65" s="36">
        <f t="shared" si="29"/>
        <v>0</v>
      </c>
      <c r="H65" s="36"/>
      <c r="I65" s="36">
        <f t="shared" si="30"/>
        <v>199007.2</v>
      </c>
      <c r="J65" s="36">
        <f t="shared" si="31"/>
        <v>238808.64</v>
      </c>
      <c r="K65" s="36">
        <v>238808.64</v>
      </c>
      <c r="L65" s="37">
        <v>41090</v>
      </c>
      <c r="M65" s="37">
        <v>41170</v>
      </c>
      <c r="N65" s="92">
        <f t="shared" si="32"/>
        <v>-80</v>
      </c>
      <c r="O65" s="36">
        <f t="shared" si="33"/>
        <v>0</v>
      </c>
      <c r="P65" s="36" t="e">
        <f t="shared" si="34"/>
        <v>#REF!</v>
      </c>
      <c r="Q65" s="39"/>
      <c r="R65" s="40">
        <f t="shared" si="35"/>
        <v>0</v>
      </c>
      <c r="S65" s="40">
        <f t="shared" si="36"/>
        <v>0</v>
      </c>
      <c r="T65" s="40">
        <f t="shared" si="37"/>
        <v>0</v>
      </c>
      <c r="U65" s="40">
        <f t="shared" si="38"/>
        <v>0</v>
      </c>
      <c r="V65" s="40">
        <f t="shared" si="39"/>
        <v>0</v>
      </c>
    </row>
    <row r="66" spans="1:22" ht="19.5" customHeight="1">
      <c r="A66" s="41" t="s">
        <v>73</v>
      </c>
      <c r="B66" s="41"/>
      <c r="C66" s="43">
        <v>41029</v>
      </c>
      <c r="D66" s="44"/>
      <c r="E66" s="36">
        <v>5000</v>
      </c>
      <c r="F66" s="36">
        <f t="shared" si="28"/>
        <v>0</v>
      </c>
      <c r="G66" s="36">
        <f t="shared" si="29"/>
        <v>0</v>
      </c>
      <c r="H66" s="36"/>
      <c r="I66" s="36">
        <f t="shared" si="30"/>
        <v>5000</v>
      </c>
      <c r="J66" s="36">
        <f t="shared" si="31"/>
        <v>6000</v>
      </c>
      <c r="K66" s="36">
        <v>6000</v>
      </c>
      <c r="L66" s="37">
        <v>41090</v>
      </c>
      <c r="M66" s="37">
        <v>41170</v>
      </c>
      <c r="N66" s="92">
        <f t="shared" si="32"/>
        <v>-80</v>
      </c>
      <c r="O66" s="36">
        <f t="shared" si="33"/>
        <v>0</v>
      </c>
      <c r="P66" s="36" t="e">
        <f t="shared" si="34"/>
        <v>#REF!</v>
      </c>
      <c r="Q66" s="39"/>
      <c r="R66" s="40">
        <f t="shared" si="35"/>
        <v>0</v>
      </c>
      <c r="S66" s="40">
        <f t="shared" si="36"/>
        <v>0</v>
      </c>
      <c r="T66" s="40">
        <f t="shared" si="37"/>
        <v>0</v>
      </c>
      <c r="U66" s="40">
        <f t="shared" si="38"/>
        <v>0</v>
      </c>
      <c r="V66" s="40">
        <f t="shared" si="39"/>
        <v>0</v>
      </c>
    </row>
    <row r="67" spans="1:22" ht="19.5" customHeight="1">
      <c r="A67" s="41" t="s">
        <v>73</v>
      </c>
      <c r="B67" s="41"/>
      <c r="C67" s="43">
        <v>41029</v>
      </c>
      <c r="D67" s="44"/>
      <c r="E67" s="36">
        <v>7000</v>
      </c>
      <c r="F67" s="36">
        <f t="shared" si="28"/>
        <v>0</v>
      </c>
      <c r="G67" s="36">
        <f t="shared" si="29"/>
        <v>0</v>
      </c>
      <c r="H67" s="36"/>
      <c r="I67" s="36">
        <f t="shared" si="30"/>
        <v>7000</v>
      </c>
      <c r="J67" s="36">
        <f t="shared" si="31"/>
        <v>8400</v>
      </c>
      <c r="K67" s="36">
        <v>8400</v>
      </c>
      <c r="L67" s="37">
        <v>41090</v>
      </c>
      <c r="M67" s="37">
        <v>41170</v>
      </c>
      <c r="N67" s="92">
        <f t="shared" si="32"/>
        <v>-80</v>
      </c>
      <c r="O67" s="36">
        <f t="shared" si="33"/>
        <v>0</v>
      </c>
      <c r="P67" s="36" t="e">
        <f t="shared" si="34"/>
        <v>#REF!</v>
      </c>
      <c r="Q67" s="39"/>
      <c r="R67" s="40">
        <f t="shared" si="35"/>
        <v>0</v>
      </c>
      <c r="S67" s="40">
        <f t="shared" si="36"/>
        <v>0</v>
      </c>
      <c r="T67" s="40">
        <f t="shared" si="37"/>
        <v>0</v>
      </c>
      <c r="U67" s="40">
        <f t="shared" si="38"/>
        <v>0</v>
      </c>
      <c r="V67" s="40">
        <f t="shared" si="39"/>
        <v>0</v>
      </c>
    </row>
    <row r="68" spans="1:22" ht="19.5" customHeight="1">
      <c r="A68" s="41" t="s">
        <v>73</v>
      </c>
      <c r="B68" s="41"/>
      <c r="C68" s="43">
        <v>41045</v>
      </c>
      <c r="D68" s="44"/>
      <c r="E68" s="36">
        <v>3000</v>
      </c>
      <c r="F68" s="36">
        <f t="shared" si="28"/>
        <v>0</v>
      </c>
      <c r="G68" s="36">
        <f t="shared" si="29"/>
        <v>0</v>
      </c>
      <c r="H68" s="36"/>
      <c r="I68" s="36">
        <f t="shared" si="30"/>
        <v>3000</v>
      </c>
      <c r="J68" s="36">
        <f t="shared" si="31"/>
        <v>3600</v>
      </c>
      <c r="K68" s="36">
        <v>3600</v>
      </c>
      <c r="L68" s="37">
        <v>41090</v>
      </c>
      <c r="M68" s="37">
        <v>41170</v>
      </c>
      <c r="N68" s="92">
        <f t="shared" si="32"/>
        <v>-80</v>
      </c>
      <c r="O68" s="36">
        <f t="shared" si="33"/>
        <v>0</v>
      </c>
      <c r="P68" s="36" t="e">
        <f t="shared" si="34"/>
        <v>#REF!</v>
      </c>
      <c r="Q68" s="39"/>
      <c r="R68" s="40">
        <f t="shared" si="35"/>
        <v>0</v>
      </c>
      <c r="S68" s="40">
        <f t="shared" si="36"/>
        <v>0</v>
      </c>
      <c r="T68" s="40">
        <f t="shared" si="37"/>
        <v>0</v>
      </c>
      <c r="U68" s="40">
        <f t="shared" si="38"/>
        <v>0</v>
      </c>
      <c r="V68" s="40">
        <f t="shared" si="39"/>
        <v>0</v>
      </c>
    </row>
    <row r="69" spans="1:22" ht="19.5" customHeight="1">
      <c r="A69" s="41" t="s">
        <v>73</v>
      </c>
      <c r="B69" s="41"/>
      <c r="C69" s="43">
        <v>41060</v>
      </c>
      <c r="D69" s="44"/>
      <c r="E69" s="36">
        <v>517368.45833333337</v>
      </c>
      <c r="F69" s="36">
        <f t="shared" si="28"/>
        <v>0</v>
      </c>
      <c r="G69" s="36">
        <f t="shared" si="29"/>
        <v>0</v>
      </c>
      <c r="H69" s="36"/>
      <c r="I69" s="36">
        <f t="shared" si="30"/>
        <v>517368.45833333337</v>
      </c>
      <c r="J69" s="36">
        <f t="shared" si="31"/>
        <v>620842.15</v>
      </c>
      <c r="K69" s="36">
        <v>620842.15</v>
      </c>
      <c r="L69" s="37">
        <v>41090</v>
      </c>
      <c r="M69" s="37">
        <v>41170</v>
      </c>
      <c r="N69" s="92">
        <f t="shared" si="32"/>
        <v>-80</v>
      </c>
      <c r="O69" s="36">
        <f t="shared" si="33"/>
        <v>0</v>
      </c>
      <c r="P69" s="36" t="e">
        <f t="shared" si="34"/>
        <v>#REF!</v>
      </c>
      <c r="Q69" s="39"/>
      <c r="R69" s="40">
        <f t="shared" si="35"/>
        <v>0</v>
      </c>
      <c r="S69" s="40">
        <f t="shared" si="36"/>
        <v>0</v>
      </c>
      <c r="T69" s="40">
        <f t="shared" si="37"/>
        <v>0</v>
      </c>
      <c r="U69" s="40">
        <f t="shared" si="38"/>
        <v>0</v>
      </c>
      <c r="V69" s="40">
        <f t="shared" si="39"/>
        <v>0</v>
      </c>
    </row>
    <row r="70" spans="1:22" ht="19.5" customHeight="1">
      <c r="A70" s="41" t="s">
        <v>73</v>
      </c>
      <c r="B70" s="41"/>
      <c r="C70" s="43">
        <v>41060</v>
      </c>
      <c r="D70" s="44"/>
      <c r="E70" s="36">
        <v>509692.75833333342</v>
      </c>
      <c r="F70" s="36">
        <f t="shared" si="28"/>
        <v>0</v>
      </c>
      <c r="G70" s="36">
        <f t="shared" si="29"/>
        <v>0</v>
      </c>
      <c r="H70" s="36"/>
      <c r="I70" s="36">
        <f t="shared" si="30"/>
        <v>509692.75833333342</v>
      </c>
      <c r="J70" s="36">
        <f t="shared" si="31"/>
        <v>611631.31000000006</v>
      </c>
      <c r="K70" s="36">
        <v>611631.31000000006</v>
      </c>
      <c r="L70" s="37">
        <v>41121</v>
      </c>
      <c r="M70" s="37">
        <v>41170</v>
      </c>
      <c r="N70" s="92">
        <f t="shared" si="32"/>
        <v>-49</v>
      </c>
      <c r="O70" s="36">
        <f t="shared" si="33"/>
        <v>0</v>
      </c>
      <c r="P70" s="36" t="e">
        <f t="shared" si="34"/>
        <v>#REF!</v>
      </c>
      <c r="Q70" s="39"/>
      <c r="R70" s="40">
        <f t="shared" si="35"/>
        <v>0</v>
      </c>
      <c r="S70" s="40">
        <f t="shared" si="36"/>
        <v>0</v>
      </c>
      <c r="T70" s="40">
        <f t="shared" si="37"/>
        <v>0</v>
      </c>
      <c r="U70" s="40">
        <f t="shared" si="38"/>
        <v>0</v>
      </c>
      <c r="V70" s="40">
        <f t="shared" si="39"/>
        <v>0</v>
      </c>
    </row>
    <row r="71" spans="1:22" ht="19.5" customHeight="1">
      <c r="A71" s="41" t="s">
        <v>73</v>
      </c>
      <c r="B71" s="41"/>
      <c r="C71" s="43">
        <v>41060</v>
      </c>
      <c r="D71" s="44"/>
      <c r="E71" s="36">
        <v>62643.066666666666</v>
      </c>
      <c r="F71" s="36">
        <f t="shared" si="28"/>
        <v>0</v>
      </c>
      <c r="G71" s="36">
        <f t="shared" si="29"/>
        <v>0</v>
      </c>
      <c r="H71" s="36"/>
      <c r="I71" s="36">
        <f t="shared" si="30"/>
        <v>62643.066666666666</v>
      </c>
      <c r="J71" s="36">
        <f t="shared" si="31"/>
        <v>75171.679999999993</v>
      </c>
      <c r="K71" s="36">
        <v>75171.679999999993</v>
      </c>
      <c r="L71" s="37">
        <v>41121</v>
      </c>
      <c r="M71" s="37">
        <v>41170</v>
      </c>
      <c r="N71" s="92">
        <f t="shared" si="32"/>
        <v>-49</v>
      </c>
      <c r="O71" s="36">
        <f t="shared" si="33"/>
        <v>0</v>
      </c>
      <c r="P71" s="36" t="e">
        <f t="shared" si="34"/>
        <v>#REF!</v>
      </c>
      <c r="Q71" s="39"/>
      <c r="R71" s="40">
        <f t="shared" si="35"/>
        <v>0</v>
      </c>
      <c r="S71" s="40">
        <f t="shared" si="36"/>
        <v>0</v>
      </c>
      <c r="T71" s="40">
        <f t="shared" si="37"/>
        <v>0</v>
      </c>
      <c r="U71" s="40">
        <f t="shared" si="38"/>
        <v>0</v>
      </c>
      <c r="V71" s="40">
        <f t="shared" si="39"/>
        <v>0</v>
      </c>
    </row>
    <row r="72" spans="1:22" ht="19.5" customHeight="1">
      <c r="A72" s="41" t="s">
        <v>73</v>
      </c>
      <c r="B72" s="41"/>
      <c r="C72" s="43">
        <v>41060</v>
      </c>
      <c r="D72" s="44"/>
      <c r="E72" s="36">
        <v>208089</v>
      </c>
      <c r="F72" s="36">
        <f t="shared" si="28"/>
        <v>0</v>
      </c>
      <c r="G72" s="36">
        <f t="shared" si="29"/>
        <v>0</v>
      </c>
      <c r="H72" s="36"/>
      <c r="I72" s="36">
        <f t="shared" si="30"/>
        <v>208089</v>
      </c>
      <c r="J72" s="36">
        <f t="shared" si="31"/>
        <v>249706.8</v>
      </c>
      <c r="K72" s="36">
        <v>249706.8</v>
      </c>
      <c r="L72" s="37">
        <v>41121</v>
      </c>
      <c r="M72" s="37">
        <v>41182</v>
      </c>
      <c r="N72" s="92">
        <f t="shared" si="32"/>
        <v>-61</v>
      </c>
      <c r="O72" s="36">
        <f t="shared" si="33"/>
        <v>0</v>
      </c>
      <c r="P72" s="36" t="e">
        <f t="shared" si="34"/>
        <v>#REF!</v>
      </c>
      <c r="Q72" s="39"/>
      <c r="R72" s="40">
        <f t="shared" si="35"/>
        <v>0</v>
      </c>
      <c r="S72" s="40">
        <f t="shared" si="36"/>
        <v>0</v>
      </c>
      <c r="T72" s="40">
        <f t="shared" si="37"/>
        <v>0</v>
      </c>
      <c r="U72" s="40">
        <f t="shared" si="38"/>
        <v>0</v>
      </c>
      <c r="V72" s="40">
        <f t="shared" si="39"/>
        <v>0</v>
      </c>
    </row>
    <row r="73" spans="1:22" ht="19.5" customHeight="1">
      <c r="A73" s="41" t="s">
        <v>73</v>
      </c>
      <c r="B73" s="41"/>
      <c r="C73" s="43">
        <v>41060</v>
      </c>
      <c r="D73" s="44"/>
      <c r="E73" s="36">
        <v>4500</v>
      </c>
      <c r="F73" s="36">
        <f t="shared" si="28"/>
        <v>0</v>
      </c>
      <c r="G73" s="36">
        <f t="shared" si="29"/>
        <v>0</v>
      </c>
      <c r="H73" s="36"/>
      <c r="I73" s="36">
        <f t="shared" si="30"/>
        <v>4500</v>
      </c>
      <c r="J73" s="36">
        <f t="shared" si="31"/>
        <v>5400</v>
      </c>
      <c r="K73" s="36">
        <v>5400</v>
      </c>
      <c r="L73" s="37">
        <v>41121</v>
      </c>
      <c r="M73" s="37">
        <v>41182</v>
      </c>
      <c r="N73" s="92">
        <f t="shared" si="32"/>
        <v>-61</v>
      </c>
      <c r="O73" s="36">
        <f t="shared" si="33"/>
        <v>0</v>
      </c>
      <c r="P73" s="36" t="e">
        <f t="shared" si="34"/>
        <v>#REF!</v>
      </c>
      <c r="Q73" s="39"/>
      <c r="R73" s="40">
        <f t="shared" si="35"/>
        <v>0</v>
      </c>
      <c r="S73" s="40">
        <f t="shared" si="36"/>
        <v>0</v>
      </c>
      <c r="T73" s="40">
        <f t="shared" si="37"/>
        <v>0</v>
      </c>
      <c r="U73" s="40">
        <f t="shared" si="38"/>
        <v>0</v>
      </c>
      <c r="V73" s="40">
        <f t="shared" si="39"/>
        <v>0</v>
      </c>
    </row>
    <row r="74" spans="1:22" ht="19.5" customHeight="1">
      <c r="A74" s="41" t="s">
        <v>73</v>
      </c>
      <c r="B74" s="41"/>
      <c r="C74" s="43">
        <v>41060</v>
      </c>
      <c r="D74" s="44"/>
      <c r="E74" s="36">
        <v>4500</v>
      </c>
      <c r="F74" s="36">
        <f t="shared" si="28"/>
        <v>0</v>
      </c>
      <c r="G74" s="36">
        <f t="shared" si="29"/>
        <v>0</v>
      </c>
      <c r="H74" s="36"/>
      <c r="I74" s="36">
        <f t="shared" si="30"/>
        <v>4500</v>
      </c>
      <c r="J74" s="36">
        <f t="shared" si="31"/>
        <v>5400</v>
      </c>
      <c r="K74" s="36">
        <v>5400</v>
      </c>
      <c r="L74" s="37">
        <v>41121</v>
      </c>
      <c r="M74" s="37">
        <v>41182</v>
      </c>
      <c r="N74" s="92">
        <f t="shared" si="32"/>
        <v>-61</v>
      </c>
      <c r="O74" s="36">
        <f t="shared" si="33"/>
        <v>0</v>
      </c>
      <c r="P74" s="36" t="e">
        <f t="shared" si="34"/>
        <v>#REF!</v>
      </c>
      <c r="Q74" s="39"/>
      <c r="R74" s="40">
        <f t="shared" si="35"/>
        <v>0</v>
      </c>
      <c r="S74" s="40">
        <f t="shared" si="36"/>
        <v>0</v>
      </c>
      <c r="T74" s="40">
        <f t="shared" si="37"/>
        <v>0</v>
      </c>
      <c r="U74" s="40">
        <f t="shared" si="38"/>
        <v>0</v>
      </c>
      <c r="V74" s="40">
        <f t="shared" si="39"/>
        <v>0</v>
      </c>
    </row>
    <row r="75" spans="1:22" ht="19.5" customHeight="1">
      <c r="A75" s="41" t="s">
        <v>73</v>
      </c>
      <c r="B75" s="41"/>
      <c r="C75" s="43">
        <v>41090</v>
      </c>
      <c r="D75" s="44"/>
      <c r="E75" s="36">
        <v>245668.35833333337</v>
      </c>
      <c r="F75" s="36">
        <f t="shared" si="28"/>
        <v>0</v>
      </c>
      <c r="G75" s="36">
        <f t="shared" si="29"/>
        <v>0</v>
      </c>
      <c r="H75" s="36"/>
      <c r="I75" s="36">
        <f t="shared" si="30"/>
        <v>245668.35833333337</v>
      </c>
      <c r="J75" s="36">
        <f t="shared" si="31"/>
        <v>294802.03000000003</v>
      </c>
      <c r="K75" s="36">
        <v>294802.03000000003</v>
      </c>
      <c r="L75" s="37">
        <v>41121</v>
      </c>
      <c r="M75" s="37">
        <v>41182</v>
      </c>
      <c r="N75" s="92">
        <f t="shared" si="32"/>
        <v>-61</v>
      </c>
      <c r="O75" s="36">
        <f t="shared" si="33"/>
        <v>0</v>
      </c>
      <c r="P75" s="36" t="e">
        <f t="shared" si="34"/>
        <v>#REF!</v>
      </c>
      <c r="Q75" s="39"/>
      <c r="R75" s="40">
        <f t="shared" si="35"/>
        <v>0</v>
      </c>
      <c r="S75" s="40">
        <f t="shared" si="36"/>
        <v>0</v>
      </c>
      <c r="T75" s="40">
        <f t="shared" si="37"/>
        <v>0</v>
      </c>
      <c r="U75" s="40">
        <f t="shared" si="38"/>
        <v>0</v>
      </c>
      <c r="V75" s="40">
        <f t="shared" si="39"/>
        <v>0</v>
      </c>
    </row>
    <row r="76" spans="1:22" ht="19.5" customHeight="1">
      <c r="A76" s="41" t="s">
        <v>73</v>
      </c>
      <c r="B76" s="41"/>
      <c r="C76" s="43">
        <v>41090</v>
      </c>
      <c r="D76" s="44"/>
      <c r="E76" s="36">
        <v>258416.24166666667</v>
      </c>
      <c r="F76" s="36">
        <f t="shared" si="28"/>
        <v>0</v>
      </c>
      <c r="G76" s="36">
        <f t="shared" si="29"/>
        <v>0</v>
      </c>
      <c r="H76" s="36"/>
      <c r="I76" s="36">
        <f t="shared" si="30"/>
        <v>258416.24166666667</v>
      </c>
      <c r="J76" s="36">
        <f t="shared" si="31"/>
        <v>310099.49</v>
      </c>
      <c r="K76" s="36">
        <v>310099.49</v>
      </c>
      <c r="L76" s="37">
        <v>41121</v>
      </c>
      <c r="M76" s="37">
        <v>41182</v>
      </c>
      <c r="N76" s="92">
        <f t="shared" si="32"/>
        <v>-61</v>
      </c>
      <c r="O76" s="36">
        <f t="shared" si="33"/>
        <v>0</v>
      </c>
      <c r="P76" s="36" t="e">
        <f t="shared" si="34"/>
        <v>#REF!</v>
      </c>
      <c r="Q76" s="39"/>
      <c r="R76" s="40">
        <f t="shared" si="35"/>
        <v>0</v>
      </c>
      <c r="S76" s="40">
        <f t="shared" si="36"/>
        <v>0</v>
      </c>
      <c r="T76" s="40">
        <f t="shared" si="37"/>
        <v>0</v>
      </c>
      <c r="U76" s="40">
        <f t="shared" si="38"/>
        <v>0</v>
      </c>
      <c r="V76" s="40">
        <f t="shared" si="39"/>
        <v>0</v>
      </c>
    </row>
    <row r="77" spans="1:22" ht="19.5" customHeight="1">
      <c r="A77" s="41" t="s">
        <v>73</v>
      </c>
      <c r="B77" s="41"/>
      <c r="C77" s="43">
        <v>41090</v>
      </c>
      <c r="D77" s="44"/>
      <c r="E77" s="36">
        <v>28917.000000000004</v>
      </c>
      <c r="F77" s="36">
        <f t="shared" si="28"/>
        <v>0</v>
      </c>
      <c r="G77" s="36">
        <f t="shared" si="29"/>
        <v>0</v>
      </c>
      <c r="H77" s="36"/>
      <c r="I77" s="36">
        <f t="shared" si="30"/>
        <v>28917.000000000004</v>
      </c>
      <c r="J77" s="36">
        <f t="shared" si="31"/>
        <v>34700.400000000009</v>
      </c>
      <c r="K77" s="36">
        <v>34700.400000000001</v>
      </c>
      <c r="L77" s="37">
        <v>41152</v>
      </c>
      <c r="M77" s="37">
        <v>41182</v>
      </c>
      <c r="N77" s="92">
        <f t="shared" si="32"/>
        <v>-30</v>
      </c>
      <c r="O77" s="36">
        <f t="shared" si="33"/>
        <v>0</v>
      </c>
      <c r="P77" s="36" t="e">
        <f t="shared" si="34"/>
        <v>#REF!</v>
      </c>
      <c r="Q77" s="39"/>
      <c r="R77" s="40">
        <f t="shared" si="35"/>
        <v>0</v>
      </c>
      <c r="S77" s="40">
        <f t="shared" si="36"/>
        <v>0</v>
      </c>
      <c r="T77" s="40">
        <f t="shared" si="37"/>
        <v>0</v>
      </c>
      <c r="U77" s="40">
        <f t="shared" si="38"/>
        <v>0</v>
      </c>
      <c r="V77" s="40">
        <f t="shared" si="39"/>
        <v>0</v>
      </c>
    </row>
    <row r="78" spans="1:22" ht="19.5" customHeight="1">
      <c r="A78" s="41" t="s">
        <v>73</v>
      </c>
      <c r="B78" s="41"/>
      <c r="C78" s="43">
        <v>41090</v>
      </c>
      <c r="D78" s="44"/>
      <c r="E78" s="36">
        <v>127611.4</v>
      </c>
      <c r="F78" s="36">
        <f t="shared" si="28"/>
        <v>0</v>
      </c>
      <c r="G78" s="36">
        <f t="shared" si="29"/>
        <v>0</v>
      </c>
      <c r="H78" s="36"/>
      <c r="I78" s="36">
        <f t="shared" si="30"/>
        <v>127611.4</v>
      </c>
      <c r="J78" s="36">
        <f t="shared" si="31"/>
        <v>153133.68</v>
      </c>
      <c r="K78" s="36">
        <v>153133.68</v>
      </c>
      <c r="L78" s="37">
        <v>41152</v>
      </c>
      <c r="M78" s="37">
        <v>41182</v>
      </c>
      <c r="N78" s="92">
        <f t="shared" si="32"/>
        <v>-30</v>
      </c>
      <c r="O78" s="36">
        <f t="shared" si="33"/>
        <v>0</v>
      </c>
      <c r="P78" s="36" t="e">
        <f t="shared" si="34"/>
        <v>#REF!</v>
      </c>
      <c r="Q78" s="39"/>
      <c r="R78" s="40">
        <f t="shared" si="35"/>
        <v>0</v>
      </c>
      <c r="S78" s="40">
        <f t="shared" si="36"/>
        <v>0</v>
      </c>
      <c r="T78" s="40">
        <f t="shared" si="37"/>
        <v>0</v>
      </c>
      <c r="U78" s="40">
        <f t="shared" si="38"/>
        <v>0</v>
      </c>
      <c r="V78" s="40">
        <f t="shared" si="39"/>
        <v>0</v>
      </c>
    </row>
    <row r="79" spans="1:22" ht="19.5" customHeight="1">
      <c r="A79" s="41" t="s">
        <v>73</v>
      </c>
      <c r="B79" s="41"/>
      <c r="C79" s="43">
        <v>41090</v>
      </c>
      <c r="D79" s="44"/>
      <c r="E79" s="36">
        <v>2500</v>
      </c>
      <c r="F79" s="36">
        <f t="shared" si="28"/>
        <v>0</v>
      </c>
      <c r="G79" s="36">
        <f t="shared" si="29"/>
        <v>0</v>
      </c>
      <c r="H79" s="36"/>
      <c r="I79" s="36">
        <f t="shared" si="30"/>
        <v>2500</v>
      </c>
      <c r="J79" s="36">
        <f t="shared" si="31"/>
        <v>3000</v>
      </c>
      <c r="K79" s="36">
        <v>3000</v>
      </c>
      <c r="L79" s="37">
        <v>41152</v>
      </c>
      <c r="M79" s="37">
        <v>41487</v>
      </c>
      <c r="N79" s="92">
        <f t="shared" si="32"/>
        <v>-335</v>
      </c>
      <c r="O79" s="36">
        <f t="shared" si="33"/>
        <v>0</v>
      </c>
      <c r="P79" s="36" t="e">
        <f t="shared" si="34"/>
        <v>#REF!</v>
      </c>
      <c r="Q79" s="39"/>
      <c r="R79" s="40">
        <f t="shared" si="35"/>
        <v>0</v>
      </c>
      <c r="S79" s="40">
        <f t="shared" si="36"/>
        <v>0</v>
      </c>
      <c r="T79" s="40">
        <f t="shared" si="37"/>
        <v>0</v>
      </c>
      <c r="U79" s="40">
        <f t="shared" si="38"/>
        <v>0</v>
      </c>
      <c r="V79" s="40">
        <f t="shared" si="39"/>
        <v>0</v>
      </c>
    </row>
    <row r="80" spans="1:22" s="99" customFormat="1" ht="19.5" customHeight="1">
      <c r="A80" s="104"/>
      <c r="B80" s="104"/>
      <c r="C80" s="106"/>
      <c r="D80" s="107"/>
      <c r="E80" s="108">
        <f>SUM(E42:E79)</f>
        <v>7957342.1916666655</v>
      </c>
      <c r="F80" s="108">
        <f t="shared" ref="F80:K80" si="40">SUM(F42:F79)</f>
        <v>0</v>
      </c>
      <c r="G80" s="108">
        <f t="shared" si="40"/>
        <v>0</v>
      </c>
      <c r="H80" s="108">
        <f t="shared" si="40"/>
        <v>0</v>
      </c>
      <c r="I80" s="108">
        <f t="shared" si="40"/>
        <v>7957342.1916666655</v>
      </c>
      <c r="J80" s="113">
        <f t="shared" si="40"/>
        <v>9548810.629999999</v>
      </c>
      <c r="K80" s="113">
        <f t="shared" si="40"/>
        <v>9548810.629999999</v>
      </c>
      <c r="L80" s="109"/>
      <c r="M80" s="109"/>
      <c r="N80" s="110"/>
      <c r="O80" s="108">
        <f>SUM(O42:O79)</f>
        <v>0</v>
      </c>
      <c r="P80" s="108" t="e">
        <f>SUM(P42:P79)</f>
        <v>#REF!</v>
      </c>
      <c r="Q80" s="111"/>
      <c r="R80" s="112">
        <f>SUM(R42:R79)</f>
        <v>0</v>
      </c>
      <c r="S80" s="112">
        <f>SUM(S42:S79)</f>
        <v>0</v>
      </c>
      <c r="T80" s="112">
        <f>SUM(T42:T79)</f>
        <v>0</v>
      </c>
      <c r="U80" s="112">
        <f>SUM(U42:U79)</f>
        <v>0</v>
      </c>
      <c r="V80" s="112">
        <f>SUM(V42:V79)</f>
        <v>0</v>
      </c>
    </row>
    <row r="81" spans="1:22" ht="19.5" customHeight="1">
      <c r="A81" s="41" t="s">
        <v>74</v>
      </c>
      <c r="B81" s="41"/>
      <c r="C81" s="43">
        <v>40939</v>
      </c>
      <c r="D81" s="44"/>
      <c r="E81" s="36">
        <v>84941.808333333334</v>
      </c>
      <c r="F81" s="36">
        <f t="shared" ref="F81:F91" si="41">-E81*$F$10</f>
        <v>0</v>
      </c>
      <c r="G81" s="36">
        <f t="shared" ref="G81:G91" si="42">E81*$G$10</f>
        <v>0</v>
      </c>
      <c r="H81" s="36"/>
      <c r="I81" s="36">
        <f t="shared" ref="I81:I91" si="43">+E81+F81-G81-H81</f>
        <v>84941.808333333334</v>
      </c>
      <c r="J81" s="36">
        <f t="shared" ref="J81:J91" si="44">+I81+(I81*$I$4)</f>
        <v>101930.17</v>
      </c>
      <c r="K81" s="36">
        <v>101930.17</v>
      </c>
      <c r="L81" s="37">
        <v>41029</v>
      </c>
      <c r="M81" s="37">
        <v>41021</v>
      </c>
      <c r="N81" s="92">
        <f t="shared" ref="N81:N91" si="45">-IF(L81=0,,IF(M81=0,($C$10-L81),M81-L81))</f>
        <v>8</v>
      </c>
      <c r="O81" s="36">
        <f t="shared" ref="O81:O91" si="46">+J81-K81</f>
        <v>0</v>
      </c>
      <c r="P81" s="36" t="e">
        <f t="shared" ref="P81:P91" si="47">+IF($C$10&lt;L81,0,O81)</f>
        <v>#REF!</v>
      </c>
      <c r="Q81" s="39"/>
      <c r="R81" s="40">
        <f t="shared" ref="R81:R91" si="48">IF(N81&gt;=0,0,(IF(-N81&lt;=60,O81,0)))</f>
        <v>0</v>
      </c>
      <c r="S81" s="40">
        <f t="shared" ref="S81:S91" si="49">IF(N81&gt;=0,0,(IF(N81&gt;=-60,0,IF(-60&gt;=N81,IF(N81&gt;=-120,O81,0)))))</f>
        <v>0</v>
      </c>
      <c r="T81" s="40">
        <f t="shared" ref="T81:T91" si="50">IF(N81&gt;=0,0,(IF(N81&gt;-60,0,IF(-60&gt;=N81,IF(N81&gt;=-120,0,IF(N81&gt;=-180,O81,0))))))</f>
        <v>0</v>
      </c>
      <c r="U81" s="40">
        <f t="shared" ref="U81:U91" si="51">IF(N81&gt;=0,0,(IF(N81&gt;-60,0,IF(-60&gt;=N81,IF(N81&gt;-120,0,IF(N81&gt;=-180,0,IF(N81&gt;=-365,O81,0)))))))</f>
        <v>0</v>
      </c>
      <c r="V81" s="40">
        <f t="shared" ref="V81:V91" si="52">IF(N81&gt;=0,0,IF(365&lt;-N81,O81,0))</f>
        <v>0</v>
      </c>
    </row>
    <row r="82" spans="1:22" ht="19.5" customHeight="1">
      <c r="A82" s="41" t="s">
        <v>74</v>
      </c>
      <c r="B82" s="41"/>
      <c r="C82" s="43">
        <v>40968</v>
      </c>
      <c r="D82" s="44"/>
      <c r="E82" s="36">
        <v>95515.84166666666</v>
      </c>
      <c r="F82" s="36">
        <f t="shared" si="41"/>
        <v>0</v>
      </c>
      <c r="G82" s="36">
        <f t="shared" si="42"/>
        <v>0</v>
      </c>
      <c r="H82" s="36"/>
      <c r="I82" s="36">
        <f t="shared" si="43"/>
        <v>95515.84166666666</v>
      </c>
      <c r="J82" s="36">
        <f t="shared" si="44"/>
        <v>114619.01</v>
      </c>
      <c r="K82" s="36">
        <v>114619.01</v>
      </c>
      <c r="L82" s="37">
        <v>41060</v>
      </c>
      <c r="M82" s="37">
        <v>41094</v>
      </c>
      <c r="N82" s="92">
        <f t="shared" si="45"/>
        <v>-34</v>
      </c>
      <c r="O82" s="36">
        <f t="shared" si="46"/>
        <v>0</v>
      </c>
      <c r="P82" s="36" t="e">
        <f t="shared" si="47"/>
        <v>#REF!</v>
      </c>
      <c r="Q82" s="39"/>
      <c r="R82" s="40">
        <f t="shared" si="48"/>
        <v>0</v>
      </c>
      <c r="S82" s="40">
        <f t="shared" si="49"/>
        <v>0</v>
      </c>
      <c r="T82" s="40">
        <f t="shared" si="50"/>
        <v>0</v>
      </c>
      <c r="U82" s="40">
        <f t="shared" si="51"/>
        <v>0</v>
      </c>
      <c r="V82" s="40">
        <f t="shared" si="52"/>
        <v>0</v>
      </c>
    </row>
    <row r="83" spans="1:22" ht="19.5" customHeight="1">
      <c r="A83" s="41" t="s">
        <v>74</v>
      </c>
      <c r="B83" s="41"/>
      <c r="C83" s="43">
        <v>40999</v>
      </c>
      <c r="D83" s="44"/>
      <c r="E83" s="36">
        <v>48386.64166666667</v>
      </c>
      <c r="F83" s="36">
        <f t="shared" si="41"/>
        <v>0</v>
      </c>
      <c r="G83" s="36">
        <f t="shared" si="42"/>
        <v>0</v>
      </c>
      <c r="H83" s="36"/>
      <c r="I83" s="36">
        <f t="shared" si="43"/>
        <v>48386.64166666667</v>
      </c>
      <c r="J83" s="36">
        <f t="shared" si="44"/>
        <v>58063.97</v>
      </c>
      <c r="K83" s="36">
        <v>58063.97</v>
      </c>
      <c r="L83" s="37">
        <v>41090</v>
      </c>
      <c r="M83" s="37">
        <v>41123</v>
      </c>
      <c r="N83" s="92">
        <f t="shared" si="45"/>
        <v>-33</v>
      </c>
      <c r="O83" s="36">
        <f t="shared" si="46"/>
        <v>0</v>
      </c>
      <c r="P83" s="36" t="e">
        <f t="shared" si="47"/>
        <v>#REF!</v>
      </c>
      <c r="Q83" s="39"/>
      <c r="R83" s="40">
        <f t="shared" si="48"/>
        <v>0</v>
      </c>
      <c r="S83" s="40">
        <f t="shared" si="49"/>
        <v>0</v>
      </c>
      <c r="T83" s="40">
        <f t="shared" si="50"/>
        <v>0</v>
      </c>
      <c r="U83" s="40">
        <f t="shared" si="51"/>
        <v>0</v>
      </c>
      <c r="V83" s="40">
        <f t="shared" si="52"/>
        <v>0</v>
      </c>
    </row>
    <row r="84" spans="1:22" ht="19.5" customHeight="1">
      <c r="A84" s="41" t="s">
        <v>74</v>
      </c>
      <c r="B84" s="41"/>
      <c r="C84" s="43">
        <v>41029</v>
      </c>
      <c r="D84" s="44"/>
      <c r="E84" s="36">
        <v>71709.441666666666</v>
      </c>
      <c r="F84" s="36">
        <f t="shared" si="41"/>
        <v>0</v>
      </c>
      <c r="G84" s="36">
        <f t="shared" si="42"/>
        <v>0</v>
      </c>
      <c r="H84" s="36"/>
      <c r="I84" s="36">
        <f t="shared" si="43"/>
        <v>71709.441666666666</v>
      </c>
      <c r="J84" s="36">
        <f t="shared" si="44"/>
        <v>86051.33</v>
      </c>
      <c r="K84" s="36">
        <v>86051.33</v>
      </c>
      <c r="L84" s="37">
        <v>41121</v>
      </c>
      <c r="M84" s="37">
        <v>41123</v>
      </c>
      <c r="N84" s="92">
        <f t="shared" si="45"/>
        <v>-2</v>
      </c>
      <c r="O84" s="36">
        <f t="shared" si="46"/>
        <v>0</v>
      </c>
      <c r="P84" s="36" t="e">
        <f t="shared" si="47"/>
        <v>#REF!</v>
      </c>
      <c r="Q84" s="39"/>
      <c r="R84" s="40">
        <f t="shared" si="48"/>
        <v>0</v>
      </c>
      <c r="S84" s="40">
        <f t="shared" si="49"/>
        <v>0</v>
      </c>
      <c r="T84" s="40">
        <f t="shared" si="50"/>
        <v>0</v>
      </c>
      <c r="U84" s="40">
        <f t="shared" si="51"/>
        <v>0</v>
      </c>
      <c r="V84" s="40">
        <f t="shared" si="52"/>
        <v>0</v>
      </c>
    </row>
    <row r="85" spans="1:22" ht="19.5" customHeight="1">
      <c r="A85" s="41" t="s">
        <v>74</v>
      </c>
      <c r="B85" s="41"/>
      <c r="C85" s="43">
        <v>41060</v>
      </c>
      <c r="D85" s="44"/>
      <c r="E85" s="36">
        <v>70157.358333333337</v>
      </c>
      <c r="F85" s="36">
        <f t="shared" si="41"/>
        <v>0</v>
      </c>
      <c r="G85" s="36">
        <f t="shared" si="42"/>
        <v>0</v>
      </c>
      <c r="H85" s="36"/>
      <c r="I85" s="36">
        <f t="shared" si="43"/>
        <v>70157.358333333337</v>
      </c>
      <c r="J85" s="36">
        <f t="shared" si="44"/>
        <v>84188.83</v>
      </c>
      <c r="K85" s="36">
        <v>84188.83</v>
      </c>
      <c r="L85" s="37">
        <v>41152</v>
      </c>
      <c r="M85" s="37">
        <v>41178</v>
      </c>
      <c r="N85" s="92">
        <f t="shared" si="45"/>
        <v>-26</v>
      </c>
      <c r="O85" s="36">
        <f t="shared" si="46"/>
        <v>0</v>
      </c>
      <c r="P85" s="36" t="e">
        <f t="shared" si="47"/>
        <v>#REF!</v>
      </c>
      <c r="Q85" s="39"/>
      <c r="R85" s="40">
        <f t="shared" si="48"/>
        <v>0</v>
      </c>
      <c r="S85" s="40">
        <f t="shared" si="49"/>
        <v>0</v>
      </c>
      <c r="T85" s="40">
        <f t="shared" si="50"/>
        <v>0</v>
      </c>
      <c r="U85" s="40">
        <f t="shared" si="51"/>
        <v>0</v>
      </c>
      <c r="V85" s="40">
        <f t="shared" si="52"/>
        <v>0</v>
      </c>
    </row>
    <row r="86" spans="1:22" ht="19.5" customHeight="1">
      <c r="A86" s="41" t="s">
        <v>74</v>
      </c>
      <c r="B86" s="41"/>
      <c r="C86" s="43">
        <v>41090</v>
      </c>
      <c r="D86" s="44"/>
      <c r="E86" s="36">
        <v>140613.58333333334</v>
      </c>
      <c r="F86" s="36">
        <f t="shared" si="41"/>
        <v>0</v>
      </c>
      <c r="G86" s="36">
        <f t="shared" si="42"/>
        <v>0</v>
      </c>
      <c r="H86" s="36"/>
      <c r="I86" s="36">
        <f t="shared" si="43"/>
        <v>140613.58333333334</v>
      </c>
      <c r="J86" s="36">
        <f t="shared" si="44"/>
        <v>168736.30000000002</v>
      </c>
      <c r="K86" s="36">
        <v>168736.3</v>
      </c>
      <c r="L86" s="37">
        <v>41182</v>
      </c>
      <c r="M86" s="37">
        <v>41263</v>
      </c>
      <c r="N86" s="92">
        <f t="shared" si="45"/>
        <v>-81</v>
      </c>
      <c r="O86" s="36">
        <f t="shared" si="46"/>
        <v>0</v>
      </c>
      <c r="P86" s="36" t="e">
        <f t="shared" si="47"/>
        <v>#REF!</v>
      </c>
      <c r="Q86" s="39"/>
      <c r="R86" s="40">
        <f t="shared" si="48"/>
        <v>0</v>
      </c>
      <c r="S86" s="40">
        <f t="shared" si="49"/>
        <v>0</v>
      </c>
      <c r="T86" s="40">
        <f t="shared" si="50"/>
        <v>0</v>
      </c>
      <c r="U86" s="40">
        <f t="shared" si="51"/>
        <v>0</v>
      </c>
      <c r="V86" s="40">
        <f t="shared" si="52"/>
        <v>0</v>
      </c>
    </row>
    <row r="87" spans="1:22" ht="19.5" customHeight="1">
      <c r="A87" s="41" t="s">
        <v>74</v>
      </c>
      <c r="B87" s="41"/>
      <c r="C87" s="43">
        <v>41121</v>
      </c>
      <c r="D87" s="44"/>
      <c r="E87" s="36">
        <v>62111.041666666672</v>
      </c>
      <c r="F87" s="36">
        <f t="shared" si="41"/>
        <v>0</v>
      </c>
      <c r="G87" s="36">
        <f t="shared" si="42"/>
        <v>0</v>
      </c>
      <c r="H87" s="36"/>
      <c r="I87" s="36">
        <f t="shared" si="43"/>
        <v>62111.041666666672</v>
      </c>
      <c r="J87" s="36">
        <f t="shared" si="44"/>
        <v>74533.25</v>
      </c>
      <c r="K87" s="36">
        <v>74533.25</v>
      </c>
      <c r="L87" s="37">
        <v>41213</v>
      </c>
      <c r="M87" s="37">
        <v>41318</v>
      </c>
      <c r="N87" s="92">
        <f t="shared" si="45"/>
        <v>-105</v>
      </c>
      <c r="O87" s="36">
        <f t="shared" si="46"/>
        <v>0</v>
      </c>
      <c r="P87" s="36" t="e">
        <f t="shared" si="47"/>
        <v>#REF!</v>
      </c>
      <c r="Q87" s="39"/>
      <c r="R87" s="40">
        <f t="shared" si="48"/>
        <v>0</v>
      </c>
      <c r="S87" s="40">
        <f t="shared" si="49"/>
        <v>0</v>
      </c>
      <c r="T87" s="40">
        <f t="shared" si="50"/>
        <v>0</v>
      </c>
      <c r="U87" s="40">
        <f t="shared" si="51"/>
        <v>0</v>
      </c>
      <c r="V87" s="40">
        <f t="shared" si="52"/>
        <v>0</v>
      </c>
    </row>
    <row r="88" spans="1:22" ht="19.5" customHeight="1">
      <c r="A88" s="41" t="s">
        <v>74</v>
      </c>
      <c r="B88" s="41"/>
      <c r="C88" s="43">
        <v>41121</v>
      </c>
      <c r="D88" s="44"/>
      <c r="E88" s="36">
        <v>-1345.9166666666667</v>
      </c>
      <c r="F88" s="36">
        <f t="shared" si="41"/>
        <v>0</v>
      </c>
      <c r="G88" s="36">
        <f t="shared" si="42"/>
        <v>0</v>
      </c>
      <c r="H88" s="36"/>
      <c r="I88" s="36">
        <f t="shared" si="43"/>
        <v>-1345.9166666666667</v>
      </c>
      <c r="J88" s="36">
        <f t="shared" si="44"/>
        <v>-1615.1000000000001</v>
      </c>
      <c r="K88" s="36">
        <v>-1615.1</v>
      </c>
      <c r="L88" s="37">
        <v>41213</v>
      </c>
      <c r="M88" s="37">
        <v>41318</v>
      </c>
      <c r="N88" s="92">
        <f t="shared" si="45"/>
        <v>-105</v>
      </c>
      <c r="O88" s="36">
        <f t="shared" si="46"/>
        <v>0</v>
      </c>
      <c r="P88" s="36" t="e">
        <f t="shared" si="47"/>
        <v>#REF!</v>
      </c>
      <c r="Q88" s="39"/>
      <c r="R88" s="40">
        <f t="shared" si="48"/>
        <v>0</v>
      </c>
      <c r="S88" s="40">
        <f t="shared" si="49"/>
        <v>0</v>
      </c>
      <c r="T88" s="40">
        <f t="shared" si="50"/>
        <v>0</v>
      </c>
      <c r="U88" s="40">
        <f t="shared" si="51"/>
        <v>0</v>
      </c>
      <c r="V88" s="40">
        <f t="shared" si="52"/>
        <v>0</v>
      </c>
    </row>
    <row r="89" spans="1:22" ht="19.5" customHeight="1">
      <c r="A89" s="41" t="s">
        <v>74</v>
      </c>
      <c r="B89" s="41"/>
      <c r="C89" s="43">
        <v>41182</v>
      </c>
      <c r="D89" s="44"/>
      <c r="E89" s="36">
        <v>122675.35833333334</v>
      </c>
      <c r="F89" s="36">
        <f t="shared" si="41"/>
        <v>0</v>
      </c>
      <c r="G89" s="36">
        <f t="shared" si="42"/>
        <v>0</v>
      </c>
      <c r="H89" s="36"/>
      <c r="I89" s="36">
        <f t="shared" si="43"/>
        <v>122675.35833333334</v>
      </c>
      <c r="J89" s="36">
        <f t="shared" si="44"/>
        <v>147210.43</v>
      </c>
      <c r="K89" s="36">
        <v>147210.43</v>
      </c>
      <c r="L89" s="37">
        <v>41243</v>
      </c>
      <c r="M89" s="37">
        <v>41360</v>
      </c>
      <c r="N89" s="92">
        <f t="shared" si="45"/>
        <v>-117</v>
      </c>
      <c r="O89" s="36">
        <f t="shared" si="46"/>
        <v>0</v>
      </c>
      <c r="P89" s="36" t="e">
        <f t="shared" si="47"/>
        <v>#REF!</v>
      </c>
      <c r="Q89" s="39"/>
      <c r="R89" s="40">
        <f t="shared" si="48"/>
        <v>0</v>
      </c>
      <c r="S89" s="40">
        <f t="shared" si="49"/>
        <v>0</v>
      </c>
      <c r="T89" s="40">
        <f t="shared" si="50"/>
        <v>0</v>
      </c>
      <c r="U89" s="40">
        <f t="shared" si="51"/>
        <v>0</v>
      </c>
      <c r="V89" s="40">
        <f t="shared" si="52"/>
        <v>0</v>
      </c>
    </row>
    <row r="90" spans="1:22" ht="19.5" customHeight="1">
      <c r="A90" s="41" t="s">
        <v>74</v>
      </c>
      <c r="B90" s="41"/>
      <c r="C90" s="43">
        <v>41213</v>
      </c>
      <c r="D90" s="44"/>
      <c r="E90" s="36">
        <v>91505.041666666672</v>
      </c>
      <c r="F90" s="36">
        <f t="shared" si="41"/>
        <v>0</v>
      </c>
      <c r="G90" s="36">
        <f t="shared" si="42"/>
        <v>0</v>
      </c>
      <c r="H90" s="36"/>
      <c r="I90" s="36">
        <f t="shared" si="43"/>
        <v>91505.041666666672</v>
      </c>
      <c r="J90" s="36">
        <f t="shared" si="44"/>
        <v>109806.05</v>
      </c>
      <c r="K90" s="36">
        <v>109806.05</v>
      </c>
      <c r="L90" s="37">
        <v>41274</v>
      </c>
      <c r="M90" s="37">
        <v>41368</v>
      </c>
      <c r="N90" s="92">
        <f t="shared" si="45"/>
        <v>-94</v>
      </c>
      <c r="O90" s="36">
        <f t="shared" si="46"/>
        <v>0</v>
      </c>
      <c r="P90" s="36" t="e">
        <f t="shared" si="47"/>
        <v>#REF!</v>
      </c>
      <c r="Q90" s="39"/>
      <c r="R90" s="40">
        <f t="shared" si="48"/>
        <v>0</v>
      </c>
      <c r="S90" s="40">
        <f t="shared" si="49"/>
        <v>0</v>
      </c>
      <c r="T90" s="40">
        <f t="shared" si="50"/>
        <v>0</v>
      </c>
      <c r="U90" s="40">
        <f t="shared" si="51"/>
        <v>0</v>
      </c>
      <c r="V90" s="40">
        <f t="shared" si="52"/>
        <v>0</v>
      </c>
    </row>
    <row r="91" spans="1:22" ht="19.5" customHeight="1">
      <c r="A91" s="41" t="s">
        <v>74</v>
      </c>
      <c r="B91" s="41"/>
      <c r="C91" s="43">
        <v>41243</v>
      </c>
      <c r="D91" s="44"/>
      <c r="E91" s="36">
        <v>45742.341666666667</v>
      </c>
      <c r="F91" s="36">
        <f t="shared" si="41"/>
        <v>0</v>
      </c>
      <c r="G91" s="36">
        <f t="shared" si="42"/>
        <v>0</v>
      </c>
      <c r="H91" s="36"/>
      <c r="I91" s="36">
        <f t="shared" si="43"/>
        <v>45742.341666666667</v>
      </c>
      <c r="J91" s="36">
        <f t="shared" si="44"/>
        <v>54890.81</v>
      </c>
      <c r="K91" s="36">
        <v>54890.81</v>
      </c>
      <c r="L91" s="37">
        <v>41305</v>
      </c>
      <c r="M91" s="37">
        <v>41535</v>
      </c>
      <c r="N91" s="92">
        <f t="shared" si="45"/>
        <v>-230</v>
      </c>
      <c r="O91" s="36">
        <f t="shared" si="46"/>
        <v>0</v>
      </c>
      <c r="P91" s="36" t="e">
        <f t="shared" si="47"/>
        <v>#REF!</v>
      </c>
      <c r="Q91" s="39"/>
      <c r="R91" s="40">
        <f t="shared" si="48"/>
        <v>0</v>
      </c>
      <c r="S91" s="40">
        <f t="shared" si="49"/>
        <v>0</v>
      </c>
      <c r="T91" s="40">
        <f t="shared" si="50"/>
        <v>0</v>
      </c>
      <c r="U91" s="40">
        <f t="shared" si="51"/>
        <v>0</v>
      </c>
      <c r="V91" s="40">
        <f t="shared" si="52"/>
        <v>0</v>
      </c>
    </row>
    <row r="92" spans="1:22" s="99" customFormat="1" ht="19.5" customHeight="1">
      <c r="A92" s="104"/>
      <c r="B92" s="105"/>
      <c r="C92" s="106"/>
      <c r="D92" s="107"/>
      <c r="E92" s="108">
        <f>SUM(E81:E91)</f>
        <v>832012.54166666674</v>
      </c>
      <c r="F92" s="108">
        <f t="shared" ref="F92:K92" si="53">SUM(F81:F91)</f>
        <v>0</v>
      </c>
      <c r="G92" s="108">
        <f t="shared" si="53"/>
        <v>0</v>
      </c>
      <c r="H92" s="108">
        <f t="shared" si="53"/>
        <v>0</v>
      </c>
      <c r="I92" s="108">
        <f t="shared" si="53"/>
        <v>832012.54166666674</v>
      </c>
      <c r="J92" s="113">
        <f t="shared" si="53"/>
        <v>998415.05000000028</v>
      </c>
      <c r="K92" s="113">
        <f t="shared" si="53"/>
        <v>998415.05000000028</v>
      </c>
      <c r="L92" s="109"/>
      <c r="M92" s="109"/>
      <c r="N92" s="110"/>
      <c r="O92" s="108">
        <f>SUM(O89:O91)</f>
        <v>0</v>
      </c>
      <c r="P92" s="108" t="e">
        <f>SUM(P89:P91)</f>
        <v>#REF!</v>
      </c>
      <c r="Q92" s="111"/>
      <c r="R92" s="112">
        <f>SUM(R89:R91)</f>
        <v>0</v>
      </c>
      <c r="S92" s="112">
        <f>SUM(S89:S91)</f>
        <v>0</v>
      </c>
      <c r="T92" s="112">
        <f>SUM(T89:T91)</f>
        <v>0</v>
      </c>
      <c r="U92" s="112">
        <f>SUM(U89:U91)</f>
        <v>0</v>
      </c>
      <c r="V92" s="112">
        <f>SUM(V89:V91)</f>
        <v>0</v>
      </c>
    </row>
    <row r="93" spans="1:22" ht="19.5" customHeight="1">
      <c r="A93" s="41" t="s">
        <v>64</v>
      </c>
      <c r="B93" s="41"/>
      <c r="C93" s="43">
        <v>40939</v>
      </c>
      <c r="D93" s="44"/>
      <c r="E93" s="36">
        <v>99702.40833333334</v>
      </c>
      <c r="F93" s="36">
        <f t="shared" ref="F93:F99" si="54">-E93*$F$10</f>
        <v>0</v>
      </c>
      <c r="G93" s="36">
        <f t="shared" ref="G93:G99" si="55">E93*$G$10</f>
        <v>0</v>
      </c>
      <c r="H93" s="36"/>
      <c r="I93" s="36">
        <f t="shared" ref="I93:I99" si="56">+E93+F93-G93-H93</f>
        <v>99702.40833333334</v>
      </c>
      <c r="J93" s="36">
        <f t="shared" ref="J93:J99" si="57">+I93+(I93*$I$4)</f>
        <v>119642.89000000001</v>
      </c>
      <c r="K93" s="36">
        <v>119642.89</v>
      </c>
      <c r="L93" s="37">
        <v>41009</v>
      </c>
      <c r="M93" s="37">
        <v>41091</v>
      </c>
      <c r="N93" s="92">
        <f t="shared" ref="N93:N99" si="58">-IF(L93=0,,IF(M93=0,($C$10-L93),M93-L93))</f>
        <v>-82</v>
      </c>
      <c r="O93" s="36">
        <f t="shared" ref="O93:O99" si="59">+J93-K93</f>
        <v>0</v>
      </c>
      <c r="P93" s="36" t="e">
        <f t="shared" ref="P93:P99" si="60">+IF($C$10&lt;L93,0,O93)</f>
        <v>#REF!</v>
      </c>
      <c r="Q93" s="39"/>
      <c r="R93" s="40">
        <f t="shared" ref="R93:R99" si="61">IF(N93&gt;=0,0,(IF(-N93&lt;=60,O93,0)))</f>
        <v>0</v>
      </c>
      <c r="S93" s="40">
        <f t="shared" ref="S93:S99" si="62">IF(N93&gt;=0,0,(IF(N93&gt;=-60,0,IF(-60&gt;=N93,IF(N93&gt;=-120,O93,0)))))</f>
        <v>0</v>
      </c>
      <c r="T93" s="40">
        <f t="shared" ref="T93:T99" si="63">IF(N93&gt;=0,0,(IF(N93&gt;-60,0,IF(-60&gt;=N93,IF(N93&gt;=-120,0,IF(N93&gt;=-180,O93,0))))))</f>
        <v>0</v>
      </c>
      <c r="U93" s="40">
        <f t="shared" ref="U93:U99" si="64">IF(N93&gt;=0,0,(IF(N93&gt;-60,0,IF(-60&gt;=N93,IF(N93&gt;-120,0,IF(N93&gt;=-180,0,IF(N93&gt;=-365,O93,0)))))))</f>
        <v>0</v>
      </c>
      <c r="V93" s="40">
        <f t="shared" ref="V93:V99" si="65">IF(N93&gt;=0,0,IF(365&lt;-N93,O93,0))</f>
        <v>0</v>
      </c>
    </row>
    <row r="94" spans="1:22" ht="19.5" customHeight="1">
      <c r="A94" s="41" t="s">
        <v>64</v>
      </c>
      <c r="B94" s="42"/>
      <c r="C94" s="43">
        <v>40990</v>
      </c>
      <c r="D94" s="44"/>
      <c r="E94" s="36">
        <v>225000</v>
      </c>
      <c r="F94" s="36">
        <f t="shared" si="54"/>
        <v>0</v>
      </c>
      <c r="G94" s="36">
        <f t="shared" si="55"/>
        <v>0</v>
      </c>
      <c r="H94" s="36"/>
      <c r="I94" s="36">
        <f t="shared" si="56"/>
        <v>225000</v>
      </c>
      <c r="J94" s="36">
        <f t="shared" si="57"/>
        <v>270000</v>
      </c>
      <c r="K94" s="36">
        <v>270000</v>
      </c>
      <c r="L94" s="37">
        <v>41070</v>
      </c>
      <c r="M94" s="37">
        <v>41091</v>
      </c>
      <c r="N94" s="92">
        <f t="shared" si="58"/>
        <v>-21</v>
      </c>
      <c r="O94" s="36">
        <f t="shared" si="59"/>
        <v>0</v>
      </c>
      <c r="P94" s="36" t="e">
        <f t="shared" si="60"/>
        <v>#REF!</v>
      </c>
      <c r="Q94" s="39"/>
      <c r="R94" s="40">
        <f t="shared" si="61"/>
        <v>0</v>
      </c>
      <c r="S94" s="40">
        <f t="shared" si="62"/>
        <v>0</v>
      </c>
      <c r="T94" s="40">
        <f t="shared" si="63"/>
        <v>0</v>
      </c>
      <c r="U94" s="40">
        <f t="shared" si="64"/>
        <v>0</v>
      </c>
      <c r="V94" s="40">
        <f t="shared" si="65"/>
        <v>0</v>
      </c>
    </row>
    <row r="95" spans="1:22" ht="19.5" customHeight="1">
      <c r="A95" s="41" t="s">
        <v>64</v>
      </c>
      <c r="B95" s="42"/>
      <c r="C95" s="43">
        <v>41090</v>
      </c>
      <c r="D95" s="44"/>
      <c r="E95" s="36">
        <v>183458.41666666669</v>
      </c>
      <c r="F95" s="36">
        <f t="shared" si="54"/>
        <v>0</v>
      </c>
      <c r="G95" s="36">
        <f t="shared" si="55"/>
        <v>0</v>
      </c>
      <c r="H95" s="36"/>
      <c r="I95" s="36">
        <f t="shared" si="56"/>
        <v>183458.41666666669</v>
      </c>
      <c r="J95" s="36">
        <f t="shared" si="57"/>
        <v>220150.10000000003</v>
      </c>
      <c r="K95" s="36">
        <v>220150.1</v>
      </c>
      <c r="L95" s="37">
        <v>41162</v>
      </c>
      <c r="M95" s="37">
        <v>41192</v>
      </c>
      <c r="N95" s="92">
        <f t="shared" si="58"/>
        <v>-30</v>
      </c>
      <c r="O95" s="36">
        <f t="shared" si="59"/>
        <v>0</v>
      </c>
      <c r="P95" s="36" t="e">
        <f t="shared" si="60"/>
        <v>#REF!</v>
      </c>
      <c r="Q95" s="39"/>
      <c r="R95" s="40">
        <f t="shared" si="61"/>
        <v>0</v>
      </c>
      <c r="S95" s="40">
        <f t="shared" si="62"/>
        <v>0</v>
      </c>
      <c r="T95" s="40">
        <f t="shared" si="63"/>
        <v>0</v>
      </c>
      <c r="U95" s="40">
        <f t="shared" si="64"/>
        <v>0</v>
      </c>
      <c r="V95" s="40">
        <f t="shared" si="65"/>
        <v>0</v>
      </c>
    </row>
    <row r="96" spans="1:22" ht="19.5" customHeight="1">
      <c r="A96" s="41" t="s">
        <v>64</v>
      </c>
      <c r="B96" s="41"/>
      <c r="C96" s="43">
        <v>41121</v>
      </c>
      <c r="D96" s="44"/>
      <c r="E96" s="36">
        <v>292706.18333333335</v>
      </c>
      <c r="F96" s="36">
        <f t="shared" si="54"/>
        <v>0</v>
      </c>
      <c r="G96" s="36">
        <f t="shared" si="55"/>
        <v>0</v>
      </c>
      <c r="H96" s="36"/>
      <c r="I96" s="36">
        <f t="shared" si="56"/>
        <v>292706.18333333335</v>
      </c>
      <c r="J96" s="36">
        <f t="shared" si="57"/>
        <v>351247.42000000004</v>
      </c>
      <c r="K96" s="36">
        <v>351247.42</v>
      </c>
      <c r="L96" s="37">
        <v>41192</v>
      </c>
      <c r="M96" s="37">
        <v>41225</v>
      </c>
      <c r="N96" s="92">
        <f t="shared" si="58"/>
        <v>-33</v>
      </c>
      <c r="O96" s="36">
        <f t="shared" si="59"/>
        <v>0</v>
      </c>
      <c r="P96" s="36" t="e">
        <f t="shared" si="60"/>
        <v>#REF!</v>
      </c>
      <c r="Q96" s="39"/>
      <c r="R96" s="40">
        <f t="shared" si="61"/>
        <v>0</v>
      </c>
      <c r="S96" s="40">
        <f t="shared" si="62"/>
        <v>0</v>
      </c>
      <c r="T96" s="40">
        <f t="shared" si="63"/>
        <v>0</v>
      </c>
      <c r="U96" s="40">
        <f t="shared" si="64"/>
        <v>0</v>
      </c>
      <c r="V96" s="40">
        <f t="shared" si="65"/>
        <v>0</v>
      </c>
    </row>
    <row r="97" spans="1:22" ht="19.5" customHeight="1">
      <c r="A97" s="41" t="s">
        <v>64</v>
      </c>
      <c r="B97" s="42"/>
      <c r="C97" s="43">
        <v>41152</v>
      </c>
      <c r="D97" s="44"/>
      <c r="E97" s="36">
        <v>67063.183333333349</v>
      </c>
      <c r="F97" s="36">
        <f t="shared" si="54"/>
        <v>0</v>
      </c>
      <c r="G97" s="36">
        <f t="shared" si="55"/>
        <v>0</v>
      </c>
      <c r="H97" s="36"/>
      <c r="I97" s="36">
        <f t="shared" si="56"/>
        <v>67063.183333333349</v>
      </c>
      <c r="J97" s="36">
        <f t="shared" si="57"/>
        <v>80475.820000000022</v>
      </c>
      <c r="K97" s="36">
        <v>80475.820000000007</v>
      </c>
      <c r="L97" s="37">
        <v>41223</v>
      </c>
      <c r="M97" s="37">
        <v>41253</v>
      </c>
      <c r="N97" s="92">
        <f t="shared" si="58"/>
        <v>-30</v>
      </c>
      <c r="O97" s="36">
        <f t="shared" si="59"/>
        <v>0</v>
      </c>
      <c r="P97" s="36" t="e">
        <f t="shared" si="60"/>
        <v>#REF!</v>
      </c>
      <c r="Q97" s="39"/>
      <c r="R97" s="40">
        <f t="shared" si="61"/>
        <v>0</v>
      </c>
      <c r="S97" s="40">
        <f t="shared" si="62"/>
        <v>0</v>
      </c>
      <c r="T97" s="40">
        <f t="shared" si="63"/>
        <v>0</v>
      </c>
      <c r="U97" s="40">
        <f t="shared" si="64"/>
        <v>0</v>
      </c>
      <c r="V97" s="40">
        <f t="shared" si="65"/>
        <v>0</v>
      </c>
    </row>
    <row r="98" spans="1:22" ht="19.5" customHeight="1">
      <c r="A98" s="41" t="s">
        <v>64</v>
      </c>
      <c r="B98" s="41"/>
      <c r="C98" s="43">
        <v>41182</v>
      </c>
      <c r="D98" s="44"/>
      <c r="E98" s="36">
        <v>274377.80000000005</v>
      </c>
      <c r="F98" s="36">
        <f t="shared" si="54"/>
        <v>0</v>
      </c>
      <c r="G98" s="36">
        <f t="shared" si="55"/>
        <v>0</v>
      </c>
      <c r="H98" s="36"/>
      <c r="I98" s="36">
        <f t="shared" si="56"/>
        <v>274377.80000000005</v>
      </c>
      <c r="J98" s="36">
        <f t="shared" si="57"/>
        <v>329253.36000000004</v>
      </c>
      <c r="K98" s="36">
        <v>329253.36000000004</v>
      </c>
      <c r="L98" s="37">
        <v>41253</v>
      </c>
      <c r="M98" s="37">
        <v>41255</v>
      </c>
      <c r="N98" s="92">
        <f t="shared" si="58"/>
        <v>-2</v>
      </c>
      <c r="O98" s="36">
        <f t="shared" si="59"/>
        <v>0</v>
      </c>
      <c r="P98" s="36" t="e">
        <f t="shared" si="60"/>
        <v>#REF!</v>
      </c>
      <c r="Q98" s="39"/>
      <c r="R98" s="40">
        <f t="shared" si="61"/>
        <v>0</v>
      </c>
      <c r="S98" s="40">
        <f t="shared" si="62"/>
        <v>0</v>
      </c>
      <c r="T98" s="40">
        <f t="shared" si="63"/>
        <v>0</v>
      </c>
      <c r="U98" s="40">
        <f t="shared" si="64"/>
        <v>0</v>
      </c>
      <c r="V98" s="40">
        <f t="shared" si="65"/>
        <v>0</v>
      </c>
    </row>
    <row r="99" spans="1:22" ht="19.5" customHeight="1">
      <c r="A99" s="41" t="s">
        <v>64</v>
      </c>
      <c r="B99" s="42"/>
      <c r="C99" s="43">
        <v>41213</v>
      </c>
      <c r="D99" s="44"/>
      <c r="E99" s="36">
        <v>81766.758333333331</v>
      </c>
      <c r="F99" s="36">
        <f t="shared" si="54"/>
        <v>0</v>
      </c>
      <c r="G99" s="36">
        <f t="shared" si="55"/>
        <v>0</v>
      </c>
      <c r="H99" s="36"/>
      <c r="I99" s="36">
        <f t="shared" si="56"/>
        <v>81766.758333333331</v>
      </c>
      <c r="J99" s="36">
        <f t="shared" si="57"/>
        <v>98120.11</v>
      </c>
      <c r="K99" s="36">
        <v>98120.11</v>
      </c>
      <c r="L99" s="37">
        <v>41305</v>
      </c>
      <c r="M99" s="37">
        <v>41320</v>
      </c>
      <c r="N99" s="92">
        <f t="shared" si="58"/>
        <v>-15</v>
      </c>
      <c r="O99" s="36">
        <f t="shared" si="59"/>
        <v>0</v>
      </c>
      <c r="P99" s="36" t="e">
        <f t="shared" si="60"/>
        <v>#REF!</v>
      </c>
      <c r="Q99" s="39"/>
      <c r="R99" s="40">
        <f t="shared" si="61"/>
        <v>0</v>
      </c>
      <c r="S99" s="40">
        <f t="shared" si="62"/>
        <v>0</v>
      </c>
      <c r="T99" s="40">
        <f t="shared" si="63"/>
        <v>0</v>
      </c>
      <c r="U99" s="40">
        <f t="shared" si="64"/>
        <v>0</v>
      </c>
      <c r="V99" s="40">
        <f t="shared" si="65"/>
        <v>0</v>
      </c>
    </row>
    <row r="100" spans="1:22" s="99" customFormat="1" ht="19.5" customHeight="1">
      <c r="A100" s="104"/>
      <c r="B100" s="105"/>
      <c r="C100" s="106"/>
      <c r="D100" s="107"/>
      <c r="E100" s="108">
        <f>SUM(E93:E99)</f>
        <v>1224074.75</v>
      </c>
      <c r="F100" s="108">
        <f t="shared" ref="F100:K100" si="66">SUM(F93:F99)</f>
        <v>0</v>
      </c>
      <c r="G100" s="108">
        <f t="shared" si="66"/>
        <v>0</v>
      </c>
      <c r="H100" s="108">
        <f t="shared" si="66"/>
        <v>0</v>
      </c>
      <c r="I100" s="108">
        <f t="shared" si="66"/>
        <v>1224074.75</v>
      </c>
      <c r="J100" s="113">
        <f t="shared" si="66"/>
        <v>1468889.7000000002</v>
      </c>
      <c r="K100" s="113">
        <f t="shared" si="66"/>
        <v>1468889.7000000002</v>
      </c>
      <c r="L100" s="109"/>
      <c r="M100" s="109"/>
      <c r="N100" s="110"/>
      <c r="O100" s="108">
        <f>SUM(O93:O99)</f>
        <v>0</v>
      </c>
      <c r="P100" s="108" t="e">
        <f>SUM(P93:P99)</f>
        <v>#REF!</v>
      </c>
      <c r="Q100" s="111"/>
      <c r="R100" s="112">
        <f>SUM(R93:R99)</f>
        <v>0</v>
      </c>
      <c r="S100" s="112">
        <f>SUM(S93:S99)</f>
        <v>0</v>
      </c>
      <c r="T100" s="112">
        <f>SUM(T93:T99)</f>
        <v>0</v>
      </c>
      <c r="U100" s="112">
        <f>SUM(U93:U99)</f>
        <v>0</v>
      </c>
      <c r="V100" s="112">
        <f>SUM(V93:V99)</f>
        <v>0</v>
      </c>
    </row>
    <row r="101" spans="1:22" ht="19.5" customHeight="1">
      <c r="A101" s="41" t="s">
        <v>83</v>
      </c>
      <c r="B101" s="41"/>
      <c r="C101" s="43">
        <v>41060</v>
      </c>
      <c r="D101" s="44"/>
      <c r="E101" s="36">
        <v>1280.9083333333333</v>
      </c>
      <c r="F101" s="36">
        <f>-E101*$F$10</f>
        <v>0</v>
      </c>
      <c r="G101" s="36">
        <f>E101*$G$10</f>
        <v>0</v>
      </c>
      <c r="H101" s="36"/>
      <c r="I101" s="36">
        <f>+E101+F101-G101-H101</f>
        <v>1280.9083333333333</v>
      </c>
      <c r="J101" s="36">
        <f>+I101+(I101*$I$4)</f>
        <v>1537.09</v>
      </c>
      <c r="K101" s="36">
        <v>1537.09</v>
      </c>
      <c r="L101" s="37">
        <v>41060</v>
      </c>
      <c r="M101" s="37">
        <v>41060</v>
      </c>
      <c r="N101" s="92">
        <f>-IF(L101=0,,IF(M101=0,($C$10-L101),M101-L101))</f>
        <v>0</v>
      </c>
      <c r="O101" s="36">
        <f>+J101-K101</f>
        <v>0</v>
      </c>
      <c r="P101" s="36" t="e">
        <f>+IF($C$10&lt;L101,0,O101)</f>
        <v>#REF!</v>
      </c>
      <c r="Q101" s="39"/>
      <c r="R101" s="40">
        <f>IF(N101&gt;=0,0,(IF(-N101&lt;=60,O101,0)))</f>
        <v>0</v>
      </c>
      <c r="S101" s="40">
        <f>IF(N101&gt;=0,0,(IF(N101&gt;=-60,0,IF(-60&gt;=N101,IF(N101&gt;=-120,O101,0)))))</f>
        <v>0</v>
      </c>
      <c r="T101" s="40">
        <f>IF(N101&gt;=0,0,(IF(N101&gt;-60,0,IF(-60&gt;=N101,IF(N101&gt;=-120,0,IF(N101&gt;=-180,O101,0))))))</f>
        <v>0</v>
      </c>
      <c r="U101" s="40">
        <f>IF(N101&gt;=0,0,(IF(N101&gt;-60,0,IF(-60&gt;=N101,IF(N101&gt;-120,0,IF(N101&gt;=-180,0,IF(N101&gt;=-365,O101,0)))))))</f>
        <v>0</v>
      </c>
      <c r="V101" s="40">
        <f>IF(N101&gt;=0,0,IF(365&lt;-N101,O101,0))</f>
        <v>0</v>
      </c>
    </row>
    <row r="102" spans="1:22" s="99" customFormat="1" ht="19.5" customHeight="1">
      <c r="A102" s="104"/>
      <c r="B102" s="105"/>
      <c r="C102" s="106"/>
      <c r="D102" s="107"/>
      <c r="E102" s="108">
        <f t="shared" ref="E102:K102" si="67">SUM(E101:E101)</f>
        <v>1280.9083333333333</v>
      </c>
      <c r="F102" s="108">
        <f t="shared" si="67"/>
        <v>0</v>
      </c>
      <c r="G102" s="108">
        <f t="shared" si="67"/>
        <v>0</v>
      </c>
      <c r="H102" s="108">
        <f t="shared" si="67"/>
        <v>0</v>
      </c>
      <c r="I102" s="108">
        <f t="shared" si="67"/>
        <v>1280.9083333333333</v>
      </c>
      <c r="J102" s="113">
        <f t="shared" si="67"/>
        <v>1537.09</v>
      </c>
      <c r="K102" s="113">
        <f t="shared" si="67"/>
        <v>1537.09</v>
      </c>
      <c r="L102" s="109"/>
      <c r="M102" s="109"/>
      <c r="N102" s="110"/>
      <c r="O102" s="108">
        <f>SUM(O101:O101)</f>
        <v>0</v>
      </c>
      <c r="P102" s="108" t="e">
        <f>SUM(P101:P101)</f>
        <v>#REF!</v>
      </c>
      <c r="Q102" s="111"/>
      <c r="R102" s="112">
        <f>SUM(R101:R101)</f>
        <v>0</v>
      </c>
      <c r="S102" s="112">
        <f>SUM(S101:S101)</f>
        <v>0</v>
      </c>
      <c r="T102" s="112">
        <f>SUM(T101:T101)</f>
        <v>0</v>
      </c>
      <c r="U102" s="112">
        <f>SUM(U101:U101)</f>
        <v>0</v>
      </c>
      <c r="V102" s="112">
        <f>SUM(V101:V101)</f>
        <v>0</v>
      </c>
    </row>
    <row r="103" spans="1:22" ht="19.5" customHeight="1">
      <c r="A103" s="41" t="s">
        <v>69</v>
      </c>
      <c r="B103" s="41"/>
      <c r="C103" s="43">
        <v>41121</v>
      </c>
      <c r="D103" s="44"/>
      <c r="E103" s="36">
        <v>447203.5</v>
      </c>
      <c r="F103" s="36">
        <f>-E103*$F$10</f>
        <v>0</v>
      </c>
      <c r="G103" s="36">
        <f>E103*$G$10</f>
        <v>0</v>
      </c>
      <c r="H103" s="36"/>
      <c r="I103" s="36">
        <f>+E103+F103-G103-H103</f>
        <v>447203.5</v>
      </c>
      <c r="J103" s="36">
        <f>+I103+(I103*$I$4)</f>
        <v>536644.19999999995</v>
      </c>
      <c r="K103" s="36">
        <v>536644.19999999995</v>
      </c>
      <c r="L103" s="37">
        <v>41223</v>
      </c>
      <c r="M103" s="116">
        <v>41660</v>
      </c>
      <c r="N103" s="92">
        <f>-IF(L103=0,,IF(M103=0,($C$10-L103),M103-L103))</f>
        <v>-437</v>
      </c>
      <c r="O103" s="36">
        <f>+J103-K103</f>
        <v>0</v>
      </c>
      <c r="P103" s="36" t="e">
        <f>+IF($C$10&lt;L103,0,O103)</f>
        <v>#REF!</v>
      </c>
      <c r="Q103" s="39"/>
      <c r="R103" s="40">
        <f>IF(N103&gt;=0,0,(IF(-N103&lt;=60,O103,0)))</f>
        <v>0</v>
      </c>
      <c r="S103" s="40">
        <f>IF(N103&gt;=0,0,(IF(N103&gt;=-60,0,IF(-60&gt;=N103,IF(N103&gt;=-120,O103,0)))))</f>
        <v>0</v>
      </c>
      <c r="T103" s="40">
        <f>IF(N103&gt;=0,0,(IF(N103&gt;-60,0,IF(-60&gt;=N103,IF(N103&gt;=-120,0,IF(N103&gt;=-180,O103,0))))))</f>
        <v>0</v>
      </c>
      <c r="U103" s="40">
        <f>IF(N103&gt;=0,0,(IF(N103&gt;-60,0,IF(-60&gt;=N103,IF(N103&gt;-120,0,IF(N103&gt;=-180,0,IF(N103&gt;=-365,O103,0)))))))</f>
        <v>0</v>
      </c>
      <c r="V103" s="40">
        <f>IF(N103&gt;=0,0,IF(365&lt;-N103,O103,0))</f>
        <v>0</v>
      </c>
    </row>
    <row r="104" spans="1:22" ht="19.5" customHeight="1">
      <c r="A104" s="41" t="s">
        <v>69</v>
      </c>
      <c r="B104" s="42"/>
      <c r="C104" s="43">
        <v>41152</v>
      </c>
      <c r="D104" s="44"/>
      <c r="E104" s="36">
        <v>159349.78333333333</v>
      </c>
      <c r="F104" s="36">
        <f>-E104*$F$10</f>
        <v>0</v>
      </c>
      <c r="G104" s="36">
        <f>E104*$G$10</f>
        <v>0</v>
      </c>
      <c r="H104" s="36"/>
      <c r="I104" s="36">
        <f>+E104+F104-G104-H104</f>
        <v>159349.78333333333</v>
      </c>
      <c r="J104" s="36">
        <f>+I104+(I104*$I$4)</f>
        <v>191219.74</v>
      </c>
      <c r="K104" s="36">
        <v>191219.74</v>
      </c>
      <c r="L104" s="37">
        <v>41253</v>
      </c>
      <c r="M104" s="116">
        <v>41660</v>
      </c>
      <c r="N104" s="92">
        <f>-IF(L104=0,,IF(M104=0,($C$10-L104),M104-L104))</f>
        <v>-407</v>
      </c>
      <c r="O104" s="36">
        <f>+J104-K104</f>
        <v>0</v>
      </c>
      <c r="P104" s="36" t="e">
        <f>+IF($C$10&lt;L104,0,O104)</f>
        <v>#REF!</v>
      </c>
      <c r="Q104" s="39"/>
      <c r="R104" s="40">
        <f>IF(N104&gt;=0,0,(IF(-N104&lt;=60,O104,0)))</f>
        <v>0</v>
      </c>
      <c r="S104" s="40">
        <f>IF(N104&gt;=0,0,(IF(N104&gt;=-60,0,IF(-60&gt;=N104,IF(N104&gt;=-120,O104,0)))))</f>
        <v>0</v>
      </c>
      <c r="T104" s="40">
        <f>IF(N104&gt;=0,0,(IF(N104&gt;-60,0,IF(-60&gt;=N104,IF(N104&gt;=-120,0,IF(N104&gt;=-180,O104,0))))))</f>
        <v>0</v>
      </c>
      <c r="U104" s="40">
        <f>IF(N104&gt;=0,0,(IF(N104&gt;-60,0,IF(-60&gt;=N104,IF(N104&gt;-120,0,IF(N104&gt;=-180,0,IF(N104&gt;=-365,O104,0)))))))</f>
        <v>0</v>
      </c>
      <c r="V104" s="40">
        <f>IF(N104&gt;=0,0,IF(365&lt;-N104,O104,0))</f>
        <v>0</v>
      </c>
    </row>
    <row r="105" spans="1:22" ht="19.5" customHeight="1">
      <c r="A105" s="41" t="s">
        <v>69</v>
      </c>
      <c r="B105" s="41"/>
      <c r="C105" s="43">
        <v>41213</v>
      </c>
      <c r="D105" s="44"/>
      <c r="E105" s="36">
        <v>24639.158333333336</v>
      </c>
      <c r="F105" s="36">
        <f>-E105*$F$10</f>
        <v>0</v>
      </c>
      <c r="G105" s="36">
        <f>E105*$G$10</f>
        <v>0</v>
      </c>
      <c r="H105" s="36"/>
      <c r="I105" s="36">
        <f>+E105+F105-G105-H105</f>
        <v>24639.158333333336</v>
      </c>
      <c r="J105" s="36">
        <f>+I105+(I105*$I$4)</f>
        <v>29566.990000000005</v>
      </c>
      <c r="K105" s="36">
        <v>29566.99</v>
      </c>
      <c r="L105" s="37">
        <v>41305</v>
      </c>
      <c r="M105" s="116">
        <v>41660</v>
      </c>
      <c r="N105" s="92">
        <f>-IF(L105=0,,IF(M105=0,($C$10-L105),M105-L105))</f>
        <v>-355</v>
      </c>
      <c r="O105" s="36">
        <f>+J105-K105</f>
        <v>0</v>
      </c>
      <c r="P105" s="36" t="e">
        <f>+IF($C$10&lt;L105,0,O105)</f>
        <v>#REF!</v>
      </c>
      <c r="Q105" s="39"/>
      <c r="R105" s="40">
        <f>IF(N105&gt;=0,0,(IF(-N105&lt;=60,O105,0)))</f>
        <v>0</v>
      </c>
      <c r="S105" s="40">
        <f>IF(N105&gt;=0,0,(IF(N105&gt;=-60,0,IF(-60&gt;=N105,IF(N105&gt;=-120,O105,0)))))</f>
        <v>0</v>
      </c>
      <c r="T105" s="40">
        <f>IF(N105&gt;=0,0,(IF(N105&gt;-60,0,IF(-60&gt;=N105,IF(N105&gt;=-120,0,IF(N105&gt;=-180,O105,0))))))</f>
        <v>0</v>
      </c>
      <c r="U105" s="40">
        <f>IF(N105&gt;=0,0,(IF(N105&gt;-60,0,IF(-60&gt;=N105,IF(N105&gt;-120,0,IF(N105&gt;=-180,0,IF(N105&gt;=-365,O105,0)))))))</f>
        <v>0</v>
      </c>
      <c r="V105" s="40">
        <f>IF(N105&gt;=0,0,IF(365&lt;-N105,O105,0))</f>
        <v>0</v>
      </c>
    </row>
    <row r="106" spans="1:22" ht="19.5" customHeight="1">
      <c r="A106" s="41" t="s">
        <v>69</v>
      </c>
      <c r="B106" s="41"/>
      <c r="C106" s="43">
        <v>41243</v>
      </c>
      <c r="D106" s="44"/>
      <c r="E106" s="36">
        <v>24897.883333333335</v>
      </c>
      <c r="F106" s="36">
        <f>-E106*$F$10</f>
        <v>0</v>
      </c>
      <c r="G106" s="36">
        <f>E106*$G$10</f>
        <v>0</v>
      </c>
      <c r="H106" s="36"/>
      <c r="I106" s="36">
        <f>+E106+F106-G106-H106</f>
        <v>24897.883333333335</v>
      </c>
      <c r="J106" s="36">
        <f>+I106+(I106*$I$4)</f>
        <v>29877.460000000003</v>
      </c>
      <c r="K106" s="36">
        <v>29877.46</v>
      </c>
      <c r="L106" s="37">
        <v>41333</v>
      </c>
      <c r="M106" s="116">
        <v>41660</v>
      </c>
      <c r="N106" s="92">
        <f>-IF(L106=0,,IF(M106=0,($C$10-L106),M106-L106))</f>
        <v>-327</v>
      </c>
      <c r="O106" s="36">
        <f>+J106-K106</f>
        <v>0</v>
      </c>
      <c r="P106" s="36" t="e">
        <f>+IF($C$10&lt;L106,0,O106)</f>
        <v>#REF!</v>
      </c>
      <c r="Q106" s="39"/>
      <c r="R106" s="40">
        <f>IF(N106&gt;=0,0,(IF(-N106&lt;=60,O106,0)))</f>
        <v>0</v>
      </c>
      <c r="S106" s="40">
        <f>IF(N106&gt;=0,0,(IF(N106&gt;=-60,0,IF(-60&gt;=N106,IF(N106&gt;=-120,O106,0)))))</f>
        <v>0</v>
      </c>
      <c r="T106" s="40">
        <f>IF(N106&gt;=0,0,(IF(N106&gt;-60,0,IF(-60&gt;=N106,IF(N106&gt;=-120,0,IF(N106&gt;=-180,O106,0))))))</f>
        <v>0</v>
      </c>
      <c r="U106" s="40">
        <f>IF(N106&gt;=0,0,(IF(N106&gt;-60,0,IF(-60&gt;=N106,IF(N106&gt;-120,0,IF(N106&gt;=-180,0,IF(N106&gt;=-365,O106,0)))))))</f>
        <v>0</v>
      </c>
      <c r="V106" s="40">
        <f>IF(N106&gt;=0,0,IF(365&lt;-N106,O106,0))</f>
        <v>0</v>
      </c>
    </row>
    <row r="107" spans="1:22" s="99" customFormat="1" ht="19.5" customHeight="1">
      <c r="A107" s="104"/>
      <c r="B107" s="104"/>
      <c r="C107" s="106"/>
      <c r="D107" s="107"/>
      <c r="E107" s="108">
        <f t="shared" ref="E107:K107" si="68">SUM(E103:E106)</f>
        <v>656090.32499999995</v>
      </c>
      <c r="F107" s="108">
        <f t="shared" si="68"/>
        <v>0</v>
      </c>
      <c r="G107" s="108">
        <f t="shared" si="68"/>
        <v>0</v>
      </c>
      <c r="H107" s="108">
        <f t="shared" si="68"/>
        <v>0</v>
      </c>
      <c r="I107" s="108">
        <f t="shared" si="68"/>
        <v>656090.32499999995</v>
      </c>
      <c r="J107" s="113">
        <f t="shared" si="68"/>
        <v>787308.3899999999</v>
      </c>
      <c r="K107" s="113">
        <f t="shared" si="68"/>
        <v>787308.3899999999</v>
      </c>
      <c r="L107" s="109"/>
      <c r="M107" s="119"/>
      <c r="N107" s="110"/>
      <c r="O107" s="108">
        <f>SUM(O103:O106)</f>
        <v>0</v>
      </c>
      <c r="P107" s="108" t="e">
        <f>SUM(P103:P106)</f>
        <v>#REF!</v>
      </c>
      <c r="Q107" s="111"/>
      <c r="R107" s="112">
        <f>SUM(R103:R106)</f>
        <v>0</v>
      </c>
      <c r="S107" s="112">
        <f>SUM(S103:S106)</f>
        <v>0</v>
      </c>
      <c r="T107" s="112">
        <f>SUM(T103:T106)</f>
        <v>0</v>
      </c>
      <c r="U107" s="112">
        <f>SUM(U103:U106)</f>
        <v>0</v>
      </c>
      <c r="V107" s="112">
        <f>SUM(V103:V106)</f>
        <v>0</v>
      </c>
    </row>
    <row r="108" spans="1:22" ht="19.5" customHeight="1">
      <c r="A108" s="41" t="s">
        <v>75</v>
      </c>
      <c r="B108" s="41"/>
      <c r="C108" s="43">
        <v>40908</v>
      </c>
      <c r="D108" s="44"/>
      <c r="E108" s="36">
        <v>5224.8</v>
      </c>
      <c r="F108" s="36">
        <f t="shared" ref="F108:F115" si="69">-E108*$F$10</f>
        <v>0</v>
      </c>
      <c r="G108" s="36">
        <f t="shared" ref="G108:G115" si="70">E108*$G$10</f>
        <v>0</v>
      </c>
      <c r="H108" s="36"/>
      <c r="I108" s="36">
        <f t="shared" ref="I108:I115" si="71">+E108+F108-G108-H108</f>
        <v>5224.8</v>
      </c>
      <c r="J108" s="36">
        <f t="shared" ref="J108:J115" si="72">+I108+(I108*$I$4)</f>
        <v>6269.76</v>
      </c>
      <c r="K108" s="36">
        <v>6269.76</v>
      </c>
      <c r="L108" s="37">
        <v>41029</v>
      </c>
      <c r="M108" s="37">
        <v>41078</v>
      </c>
      <c r="N108" s="92">
        <f t="shared" ref="N108:N115" si="73">-IF(L108=0,,IF(M108=0,($C$10-L108),M108-L108))</f>
        <v>-49</v>
      </c>
      <c r="O108" s="36">
        <f t="shared" ref="O108:O115" si="74">+J108-K108</f>
        <v>0</v>
      </c>
      <c r="P108" s="36" t="e">
        <f t="shared" ref="P108:P115" si="75">+IF($C$10&lt;L108,0,O108)</f>
        <v>#REF!</v>
      </c>
      <c r="Q108" s="39"/>
      <c r="R108" s="40">
        <f t="shared" ref="R108:R115" si="76">IF(N108&gt;=0,0,(IF(-N108&lt;=60,O108,0)))</f>
        <v>0</v>
      </c>
      <c r="S108" s="40">
        <f t="shared" ref="S108:S115" si="77">IF(N108&gt;=0,0,(IF(N108&gt;=-60,0,IF(-60&gt;=N108,IF(N108&gt;=-120,O108,0)))))</f>
        <v>0</v>
      </c>
      <c r="T108" s="40">
        <f t="shared" ref="T108:T115" si="78">IF(N108&gt;=0,0,(IF(N108&gt;-60,0,IF(-60&gt;=N108,IF(N108&gt;=-120,0,IF(N108&gt;=-180,O108,0))))))</f>
        <v>0</v>
      </c>
      <c r="U108" s="40">
        <f t="shared" ref="U108:U115" si="79">IF(N108&gt;=0,0,(IF(N108&gt;-60,0,IF(-60&gt;=N108,IF(N108&gt;-120,0,IF(N108&gt;=-180,0,IF(N108&gt;=-365,O108,0)))))))</f>
        <v>0</v>
      </c>
      <c r="V108" s="40">
        <f t="shared" ref="V108:V115" si="80">IF(N108&gt;=0,0,IF(365&lt;-N108,O108,0))</f>
        <v>0</v>
      </c>
    </row>
    <row r="109" spans="1:22" ht="19.5" customHeight="1">
      <c r="A109" s="41" t="s">
        <v>75</v>
      </c>
      <c r="B109" s="41"/>
      <c r="C109" s="43">
        <v>40939</v>
      </c>
      <c r="D109" s="44"/>
      <c r="E109" s="36">
        <v>1400.8833333333334</v>
      </c>
      <c r="F109" s="36">
        <f t="shared" si="69"/>
        <v>0</v>
      </c>
      <c r="G109" s="36">
        <f t="shared" si="70"/>
        <v>0</v>
      </c>
      <c r="H109" s="36"/>
      <c r="I109" s="36">
        <f t="shared" si="71"/>
        <v>1400.8833333333334</v>
      </c>
      <c r="J109" s="36">
        <f t="shared" si="72"/>
        <v>1681.0600000000002</v>
      </c>
      <c r="K109" s="36">
        <v>1681.06</v>
      </c>
      <c r="L109" s="37">
        <v>41039</v>
      </c>
      <c r="M109" s="37">
        <v>41065</v>
      </c>
      <c r="N109" s="92">
        <f t="shared" si="73"/>
        <v>-26</v>
      </c>
      <c r="O109" s="36">
        <f t="shared" si="74"/>
        <v>0</v>
      </c>
      <c r="P109" s="36" t="e">
        <f t="shared" si="75"/>
        <v>#REF!</v>
      </c>
      <c r="Q109" s="39"/>
      <c r="R109" s="40">
        <f t="shared" si="76"/>
        <v>0</v>
      </c>
      <c r="S109" s="40">
        <f t="shared" si="77"/>
        <v>0</v>
      </c>
      <c r="T109" s="40">
        <f t="shared" si="78"/>
        <v>0</v>
      </c>
      <c r="U109" s="40">
        <f t="shared" si="79"/>
        <v>0</v>
      </c>
      <c r="V109" s="40">
        <f t="shared" si="80"/>
        <v>0</v>
      </c>
    </row>
    <row r="110" spans="1:22" ht="19.5" customHeight="1">
      <c r="A110" s="41" t="s">
        <v>75</v>
      </c>
      <c r="B110" s="41"/>
      <c r="C110" s="43">
        <v>41090</v>
      </c>
      <c r="D110" s="44"/>
      <c r="E110" s="36">
        <v>31294.899999999998</v>
      </c>
      <c r="F110" s="36">
        <f t="shared" si="69"/>
        <v>0</v>
      </c>
      <c r="G110" s="36">
        <f t="shared" si="70"/>
        <v>0</v>
      </c>
      <c r="H110" s="36"/>
      <c r="I110" s="36">
        <f t="shared" si="71"/>
        <v>31294.899999999998</v>
      </c>
      <c r="J110" s="36">
        <f t="shared" si="72"/>
        <v>37553.879999999997</v>
      </c>
      <c r="K110" s="127">
        <v>37553.879999999997</v>
      </c>
      <c r="L110" s="37">
        <v>41192</v>
      </c>
      <c r="M110" s="37">
        <v>42052</v>
      </c>
      <c r="N110" s="92">
        <f t="shared" si="73"/>
        <v>-860</v>
      </c>
      <c r="O110" s="36">
        <f t="shared" si="74"/>
        <v>0</v>
      </c>
      <c r="P110" s="36" t="e">
        <f t="shared" si="75"/>
        <v>#REF!</v>
      </c>
      <c r="Q110" s="39"/>
      <c r="R110" s="40">
        <f t="shared" si="76"/>
        <v>0</v>
      </c>
      <c r="S110" s="40">
        <f t="shared" si="77"/>
        <v>0</v>
      </c>
      <c r="T110" s="40">
        <f t="shared" si="78"/>
        <v>0</v>
      </c>
      <c r="U110" s="40">
        <f t="shared" si="79"/>
        <v>0</v>
      </c>
      <c r="V110" s="40">
        <f t="shared" si="80"/>
        <v>0</v>
      </c>
    </row>
    <row r="111" spans="1:22" ht="19.5" customHeight="1">
      <c r="A111" s="41" t="s">
        <v>75</v>
      </c>
      <c r="B111" s="41"/>
      <c r="C111" s="43">
        <v>41121</v>
      </c>
      <c r="D111" s="44"/>
      <c r="E111" s="36">
        <v>90580.675000000003</v>
      </c>
      <c r="F111" s="36">
        <f t="shared" si="69"/>
        <v>0</v>
      </c>
      <c r="G111" s="36">
        <f t="shared" si="70"/>
        <v>0</v>
      </c>
      <c r="H111" s="36"/>
      <c r="I111" s="36">
        <f t="shared" si="71"/>
        <v>90580.675000000003</v>
      </c>
      <c r="J111" s="36">
        <f t="shared" si="72"/>
        <v>108696.81</v>
      </c>
      <c r="K111" s="36">
        <v>108696.81</v>
      </c>
      <c r="L111" s="37">
        <v>41243</v>
      </c>
      <c r="M111" s="37">
        <v>41248</v>
      </c>
      <c r="N111" s="92">
        <f t="shared" si="73"/>
        <v>-5</v>
      </c>
      <c r="O111" s="36">
        <f t="shared" si="74"/>
        <v>0</v>
      </c>
      <c r="P111" s="36" t="e">
        <f t="shared" si="75"/>
        <v>#REF!</v>
      </c>
      <c r="Q111" s="39"/>
      <c r="R111" s="40">
        <f t="shared" si="76"/>
        <v>0</v>
      </c>
      <c r="S111" s="40">
        <f t="shared" si="77"/>
        <v>0</v>
      </c>
      <c r="T111" s="40">
        <f t="shared" si="78"/>
        <v>0</v>
      </c>
      <c r="U111" s="40">
        <f t="shared" si="79"/>
        <v>0</v>
      </c>
      <c r="V111" s="40">
        <f t="shared" si="80"/>
        <v>0</v>
      </c>
    </row>
    <row r="112" spans="1:22" ht="19.5" customHeight="1">
      <c r="A112" s="41" t="s">
        <v>75</v>
      </c>
      <c r="B112" s="41"/>
      <c r="C112" s="43">
        <v>41121</v>
      </c>
      <c r="D112" s="44"/>
      <c r="E112" s="36">
        <v>165513.9</v>
      </c>
      <c r="F112" s="36">
        <f t="shared" si="69"/>
        <v>0</v>
      </c>
      <c r="G112" s="36">
        <f t="shared" si="70"/>
        <v>0</v>
      </c>
      <c r="H112" s="36"/>
      <c r="I112" s="36">
        <f t="shared" si="71"/>
        <v>165513.9</v>
      </c>
      <c r="J112" s="36">
        <f t="shared" si="72"/>
        <v>198616.68</v>
      </c>
      <c r="K112" s="36">
        <v>198616.68</v>
      </c>
      <c r="L112" s="37">
        <v>41243</v>
      </c>
      <c r="M112" s="37">
        <v>41248</v>
      </c>
      <c r="N112" s="92">
        <f t="shared" si="73"/>
        <v>-5</v>
      </c>
      <c r="O112" s="36">
        <f t="shared" si="74"/>
        <v>0</v>
      </c>
      <c r="P112" s="36" t="e">
        <f t="shared" si="75"/>
        <v>#REF!</v>
      </c>
      <c r="Q112" s="39"/>
      <c r="R112" s="40">
        <f t="shared" si="76"/>
        <v>0</v>
      </c>
      <c r="S112" s="40">
        <f t="shared" si="77"/>
        <v>0</v>
      </c>
      <c r="T112" s="40">
        <f t="shared" si="78"/>
        <v>0</v>
      </c>
      <c r="U112" s="40">
        <f t="shared" si="79"/>
        <v>0</v>
      </c>
      <c r="V112" s="40">
        <f t="shared" si="80"/>
        <v>0</v>
      </c>
    </row>
    <row r="113" spans="1:22" ht="19.5" customHeight="1">
      <c r="A113" s="41" t="s">
        <v>75</v>
      </c>
      <c r="B113" s="41"/>
      <c r="C113" s="43">
        <v>41121</v>
      </c>
      <c r="D113" s="44"/>
      <c r="E113" s="36">
        <v>10607.7</v>
      </c>
      <c r="F113" s="36">
        <f t="shared" si="69"/>
        <v>0</v>
      </c>
      <c r="G113" s="36">
        <f t="shared" si="70"/>
        <v>0</v>
      </c>
      <c r="H113" s="36"/>
      <c r="I113" s="36">
        <f t="shared" si="71"/>
        <v>10607.7</v>
      </c>
      <c r="J113" s="36">
        <f t="shared" si="72"/>
        <v>12729.240000000002</v>
      </c>
      <c r="K113" s="36">
        <v>12729.24</v>
      </c>
      <c r="L113" s="37">
        <v>41243</v>
      </c>
      <c r="M113" s="37">
        <v>41248</v>
      </c>
      <c r="N113" s="92">
        <f t="shared" si="73"/>
        <v>-5</v>
      </c>
      <c r="O113" s="36">
        <f t="shared" si="74"/>
        <v>0</v>
      </c>
      <c r="P113" s="36" t="e">
        <f t="shared" si="75"/>
        <v>#REF!</v>
      </c>
      <c r="Q113" s="39"/>
      <c r="R113" s="40">
        <f t="shared" si="76"/>
        <v>0</v>
      </c>
      <c r="S113" s="40">
        <f t="shared" si="77"/>
        <v>0</v>
      </c>
      <c r="T113" s="40">
        <f t="shared" si="78"/>
        <v>0</v>
      </c>
      <c r="U113" s="40">
        <f t="shared" si="79"/>
        <v>0</v>
      </c>
      <c r="V113" s="40">
        <f t="shared" si="80"/>
        <v>0</v>
      </c>
    </row>
    <row r="114" spans="1:22" ht="19.5" customHeight="1">
      <c r="A114" s="41" t="s">
        <v>75</v>
      </c>
      <c r="B114" s="41"/>
      <c r="C114" s="43">
        <v>41152</v>
      </c>
      <c r="D114" s="44"/>
      <c r="E114" s="36">
        <v>544711.76666666672</v>
      </c>
      <c r="F114" s="36">
        <f t="shared" si="69"/>
        <v>0</v>
      </c>
      <c r="G114" s="36">
        <f t="shared" si="70"/>
        <v>0</v>
      </c>
      <c r="H114" s="36"/>
      <c r="I114" s="36">
        <f t="shared" si="71"/>
        <v>544711.76666666672</v>
      </c>
      <c r="J114" s="36">
        <f t="shared" si="72"/>
        <v>653654.12000000011</v>
      </c>
      <c r="K114" s="36">
        <v>653654.12</v>
      </c>
      <c r="L114" s="37">
        <v>41274</v>
      </c>
      <c r="M114" s="37">
        <v>41279</v>
      </c>
      <c r="N114" s="92">
        <f t="shared" si="73"/>
        <v>-5</v>
      </c>
      <c r="O114" s="36">
        <f t="shared" si="74"/>
        <v>0</v>
      </c>
      <c r="P114" s="36" t="e">
        <f t="shared" si="75"/>
        <v>#REF!</v>
      </c>
      <c r="Q114" s="39"/>
      <c r="R114" s="40">
        <f t="shared" si="76"/>
        <v>0</v>
      </c>
      <c r="S114" s="40">
        <f t="shared" si="77"/>
        <v>0</v>
      </c>
      <c r="T114" s="40">
        <f t="shared" si="78"/>
        <v>0</v>
      </c>
      <c r="U114" s="40">
        <f t="shared" si="79"/>
        <v>0</v>
      </c>
      <c r="V114" s="40">
        <f t="shared" si="80"/>
        <v>0</v>
      </c>
    </row>
    <row r="115" spans="1:22" ht="19.5" customHeight="1">
      <c r="A115" s="41" t="s">
        <v>75</v>
      </c>
      <c r="B115" s="41"/>
      <c r="C115" s="43">
        <v>41201</v>
      </c>
      <c r="D115" s="44"/>
      <c r="E115" s="36">
        <v>137244.25940000001</v>
      </c>
      <c r="F115" s="36">
        <f t="shared" si="69"/>
        <v>0</v>
      </c>
      <c r="G115" s="36">
        <f t="shared" si="70"/>
        <v>0</v>
      </c>
      <c r="H115" s="36"/>
      <c r="I115" s="36">
        <f t="shared" si="71"/>
        <v>137244.25940000001</v>
      </c>
      <c r="J115" s="36">
        <f t="shared" si="72"/>
        <v>164693.11128000001</v>
      </c>
      <c r="K115" s="36">
        <v>164693.11128000001</v>
      </c>
      <c r="L115" s="37">
        <v>41305</v>
      </c>
      <c r="M115" s="37">
        <v>41348</v>
      </c>
      <c r="N115" s="92">
        <f t="shared" si="73"/>
        <v>-43</v>
      </c>
      <c r="O115" s="36">
        <f t="shared" si="74"/>
        <v>0</v>
      </c>
      <c r="P115" s="36" t="e">
        <f t="shared" si="75"/>
        <v>#REF!</v>
      </c>
      <c r="Q115" s="39"/>
      <c r="R115" s="40">
        <f t="shared" si="76"/>
        <v>0</v>
      </c>
      <c r="S115" s="40">
        <f t="shared" si="77"/>
        <v>0</v>
      </c>
      <c r="T115" s="40">
        <f t="shared" si="78"/>
        <v>0</v>
      </c>
      <c r="U115" s="40">
        <f t="shared" si="79"/>
        <v>0</v>
      </c>
      <c r="V115" s="40">
        <f t="shared" si="80"/>
        <v>0</v>
      </c>
    </row>
    <row r="116" spans="1:22" s="99" customFormat="1" ht="19.5" customHeight="1">
      <c r="A116" s="104"/>
      <c r="B116" s="105"/>
      <c r="C116" s="106"/>
      <c r="D116" s="107"/>
      <c r="E116" s="108">
        <f>SUM(E108:E115)</f>
        <v>986578.88439999998</v>
      </c>
      <c r="F116" s="108">
        <f t="shared" ref="F116:K116" si="81">SUM(F108:F115)</f>
        <v>0</v>
      </c>
      <c r="G116" s="108">
        <f t="shared" si="81"/>
        <v>0</v>
      </c>
      <c r="H116" s="108">
        <f t="shared" si="81"/>
        <v>0</v>
      </c>
      <c r="I116" s="108">
        <f t="shared" si="81"/>
        <v>986578.88439999998</v>
      </c>
      <c r="J116" s="113">
        <f t="shared" si="81"/>
        <v>1183894.6612800001</v>
      </c>
      <c r="K116" s="113">
        <f t="shared" si="81"/>
        <v>1183894.6612800001</v>
      </c>
      <c r="L116" s="109"/>
      <c r="M116" s="109"/>
      <c r="N116" s="110"/>
      <c r="O116" s="108">
        <f>SUM(O108:O115)</f>
        <v>0</v>
      </c>
      <c r="P116" s="108" t="e">
        <f>SUM(P108:P115)</f>
        <v>#REF!</v>
      </c>
      <c r="Q116" s="111"/>
      <c r="R116" s="112">
        <f>SUM(R108:R115)</f>
        <v>0</v>
      </c>
      <c r="S116" s="112">
        <f>SUM(S108:S115)</f>
        <v>0</v>
      </c>
      <c r="T116" s="112">
        <f>SUM(T108:T115)</f>
        <v>0</v>
      </c>
      <c r="U116" s="112">
        <f>SUM(U108:U115)</f>
        <v>0</v>
      </c>
      <c r="V116" s="112">
        <f>SUM(V108:V115)</f>
        <v>0</v>
      </c>
    </row>
    <row r="117" spans="1:22" ht="19.5" customHeight="1">
      <c r="A117" s="41" t="s">
        <v>65</v>
      </c>
      <c r="B117" s="41"/>
      <c r="C117" s="43">
        <v>40939</v>
      </c>
      <c r="D117" s="44"/>
      <c r="E117" s="36">
        <v>153622.85833333334</v>
      </c>
      <c r="F117" s="36">
        <f t="shared" ref="F117:F132" si="82">-E117*$F$10</f>
        <v>0</v>
      </c>
      <c r="G117" s="36">
        <f t="shared" ref="G117:G132" si="83">E117*$G$10</f>
        <v>0</v>
      </c>
      <c r="H117" s="36"/>
      <c r="I117" s="36">
        <f t="shared" ref="I117:I132" si="84">+E117+F117-G117-H117</f>
        <v>153622.85833333334</v>
      </c>
      <c r="J117" s="36">
        <f t="shared" ref="J117:J132" si="85">+I117+(I117*$I$4)</f>
        <v>184347.43</v>
      </c>
      <c r="K117" s="36">
        <v>184347.43</v>
      </c>
      <c r="L117" s="37">
        <v>41039</v>
      </c>
      <c r="M117" s="116">
        <v>41029</v>
      </c>
      <c r="N117" s="92">
        <f t="shared" ref="N117:N132" si="86">-IF(L117=0,,IF(M117=0,($C$10-L117),M117-L117))</f>
        <v>10</v>
      </c>
      <c r="O117" s="36">
        <f t="shared" ref="O117:O132" si="87">+J117-K117</f>
        <v>0</v>
      </c>
      <c r="P117" s="36" t="e">
        <f t="shared" ref="P117:P132" si="88">+IF($C$10&lt;L117,0,O117)</f>
        <v>#REF!</v>
      </c>
      <c r="Q117" s="39"/>
      <c r="R117" s="40">
        <f t="shared" ref="R117:R132" si="89">IF(N117&gt;=0,0,(IF(-N117&lt;=60,O117,0)))</f>
        <v>0</v>
      </c>
      <c r="S117" s="40">
        <f t="shared" ref="S117:S132" si="90">IF(N117&gt;=0,0,(IF(N117&gt;=-60,0,IF(-60&gt;=N117,IF(N117&gt;=-120,O117,0)))))</f>
        <v>0</v>
      </c>
      <c r="T117" s="40">
        <f t="shared" ref="T117:T132" si="91">IF(N117&gt;=0,0,(IF(N117&gt;-60,0,IF(-60&gt;=N117,IF(N117&gt;=-120,0,IF(N117&gt;=-180,O117,0))))))</f>
        <v>0</v>
      </c>
      <c r="U117" s="40">
        <f t="shared" ref="U117:U132" si="92">IF(N117&gt;=0,0,(IF(N117&gt;-60,0,IF(-60&gt;=N117,IF(N117&gt;-120,0,IF(N117&gt;=-180,0,IF(N117&gt;=-365,O117,0)))))))</f>
        <v>0</v>
      </c>
      <c r="V117" s="40">
        <f t="shared" ref="V117:V132" si="93">IF(N117&gt;=0,0,IF(365&lt;-N117,O117,0))</f>
        <v>0</v>
      </c>
    </row>
    <row r="118" spans="1:22" ht="19.5" customHeight="1">
      <c r="A118" s="41" t="s">
        <v>65</v>
      </c>
      <c r="B118" s="41"/>
      <c r="C118" s="43">
        <v>40968</v>
      </c>
      <c r="D118" s="44"/>
      <c r="E118" s="36">
        <v>149977.55833333335</v>
      </c>
      <c r="F118" s="36">
        <f t="shared" si="82"/>
        <v>0</v>
      </c>
      <c r="G118" s="36">
        <f t="shared" si="83"/>
        <v>0</v>
      </c>
      <c r="H118" s="36"/>
      <c r="I118" s="36">
        <f t="shared" si="84"/>
        <v>149977.55833333335</v>
      </c>
      <c r="J118" s="36">
        <f t="shared" si="85"/>
        <v>179973.07</v>
      </c>
      <c r="K118" s="36">
        <v>179973.07</v>
      </c>
      <c r="L118" s="37">
        <v>41070</v>
      </c>
      <c r="M118" s="116">
        <v>41068</v>
      </c>
      <c r="N118" s="92">
        <f t="shared" si="86"/>
        <v>2</v>
      </c>
      <c r="O118" s="36">
        <f t="shared" si="87"/>
        <v>0</v>
      </c>
      <c r="P118" s="36" t="e">
        <f t="shared" si="88"/>
        <v>#REF!</v>
      </c>
      <c r="Q118" s="39"/>
      <c r="R118" s="40">
        <f t="shared" si="89"/>
        <v>0</v>
      </c>
      <c r="S118" s="40">
        <f t="shared" si="90"/>
        <v>0</v>
      </c>
      <c r="T118" s="40">
        <f t="shared" si="91"/>
        <v>0</v>
      </c>
      <c r="U118" s="40">
        <f t="shared" si="92"/>
        <v>0</v>
      </c>
      <c r="V118" s="40">
        <f t="shared" si="93"/>
        <v>0</v>
      </c>
    </row>
    <row r="119" spans="1:22" ht="19.5" customHeight="1">
      <c r="A119" s="41" t="s">
        <v>65</v>
      </c>
      <c r="B119" s="42"/>
      <c r="C119" s="43">
        <v>40968</v>
      </c>
      <c r="D119" s="44"/>
      <c r="E119" s="36">
        <v>17451.358333333334</v>
      </c>
      <c r="F119" s="36">
        <f t="shared" si="82"/>
        <v>0</v>
      </c>
      <c r="G119" s="36">
        <f t="shared" si="83"/>
        <v>0</v>
      </c>
      <c r="H119" s="36"/>
      <c r="I119" s="36">
        <f t="shared" si="84"/>
        <v>17451.358333333334</v>
      </c>
      <c r="J119" s="36">
        <f t="shared" si="85"/>
        <v>20941.63</v>
      </c>
      <c r="K119" s="36">
        <v>20941.63</v>
      </c>
      <c r="L119" s="37">
        <v>41070</v>
      </c>
      <c r="M119" s="116">
        <v>41068</v>
      </c>
      <c r="N119" s="92">
        <f t="shared" si="86"/>
        <v>2</v>
      </c>
      <c r="O119" s="36">
        <f t="shared" si="87"/>
        <v>0</v>
      </c>
      <c r="P119" s="36" t="e">
        <f t="shared" si="88"/>
        <v>#REF!</v>
      </c>
      <c r="Q119" s="39"/>
      <c r="R119" s="40">
        <f t="shared" si="89"/>
        <v>0</v>
      </c>
      <c r="S119" s="40">
        <f t="shared" si="90"/>
        <v>0</v>
      </c>
      <c r="T119" s="40">
        <f t="shared" si="91"/>
        <v>0</v>
      </c>
      <c r="U119" s="40">
        <f t="shared" si="92"/>
        <v>0</v>
      </c>
      <c r="V119" s="40">
        <f t="shared" si="93"/>
        <v>0</v>
      </c>
    </row>
    <row r="120" spans="1:22" ht="19.5" customHeight="1">
      <c r="A120" s="41" t="s">
        <v>65</v>
      </c>
      <c r="B120" s="41"/>
      <c r="C120" s="43">
        <v>40999</v>
      </c>
      <c r="D120" s="44"/>
      <c r="E120" s="36">
        <v>88390.258333333331</v>
      </c>
      <c r="F120" s="36">
        <f t="shared" si="82"/>
        <v>0</v>
      </c>
      <c r="G120" s="36">
        <f t="shared" si="83"/>
        <v>0</v>
      </c>
      <c r="H120" s="36"/>
      <c r="I120" s="36">
        <f t="shared" si="84"/>
        <v>88390.258333333331</v>
      </c>
      <c r="J120" s="36">
        <f t="shared" si="85"/>
        <v>106068.31</v>
      </c>
      <c r="K120" s="36">
        <v>106068.31</v>
      </c>
      <c r="L120" s="37">
        <v>41100</v>
      </c>
      <c r="M120" s="116">
        <v>41100</v>
      </c>
      <c r="N120" s="92">
        <f t="shared" si="86"/>
        <v>0</v>
      </c>
      <c r="O120" s="36">
        <f t="shared" si="87"/>
        <v>0</v>
      </c>
      <c r="P120" s="36" t="e">
        <f t="shared" si="88"/>
        <v>#REF!</v>
      </c>
      <c r="Q120" s="39"/>
      <c r="R120" s="40">
        <f t="shared" si="89"/>
        <v>0</v>
      </c>
      <c r="S120" s="40">
        <f t="shared" si="90"/>
        <v>0</v>
      </c>
      <c r="T120" s="40">
        <f t="shared" si="91"/>
        <v>0</v>
      </c>
      <c r="U120" s="40">
        <f t="shared" si="92"/>
        <v>0</v>
      </c>
      <c r="V120" s="40">
        <f t="shared" si="93"/>
        <v>0</v>
      </c>
    </row>
    <row r="121" spans="1:22" ht="19.5" customHeight="1">
      <c r="A121" s="41" t="s">
        <v>65</v>
      </c>
      <c r="B121" s="41"/>
      <c r="C121" s="43">
        <v>40999</v>
      </c>
      <c r="D121" s="44"/>
      <c r="E121" s="36">
        <v>227262.24166666667</v>
      </c>
      <c r="F121" s="36">
        <f t="shared" si="82"/>
        <v>0</v>
      </c>
      <c r="G121" s="36">
        <f t="shared" si="83"/>
        <v>0</v>
      </c>
      <c r="H121" s="36"/>
      <c r="I121" s="36">
        <f t="shared" si="84"/>
        <v>227262.24166666667</v>
      </c>
      <c r="J121" s="36">
        <f t="shared" si="85"/>
        <v>272714.69</v>
      </c>
      <c r="K121" s="36">
        <v>272714.69</v>
      </c>
      <c r="L121" s="37">
        <v>41100</v>
      </c>
      <c r="M121" s="116">
        <v>41100</v>
      </c>
      <c r="N121" s="92">
        <f t="shared" si="86"/>
        <v>0</v>
      </c>
      <c r="O121" s="36">
        <f t="shared" si="87"/>
        <v>0</v>
      </c>
      <c r="P121" s="36" t="e">
        <f t="shared" si="88"/>
        <v>#REF!</v>
      </c>
      <c r="Q121" s="39"/>
      <c r="R121" s="40">
        <f t="shared" si="89"/>
        <v>0</v>
      </c>
      <c r="S121" s="40">
        <f t="shared" si="90"/>
        <v>0</v>
      </c>
      <c r="T121" s="40">
        <f t="shared" si="91"/>
        <v>0</v>
      </c>
      <c r="U121" s="40">
        <f t="shared" si="92"/>
        <v>0</v>
      </c>
      <c r="V121" s="40">
        <f t="shared" si="93"/>
        <v>0</v>
      </c>
    </row>
    <row r="122" spans="1:22" ht="19.5" customHeight="1">
      <c r="A122" s="41" t="s">
        <v>65</v>
      </c>
      <c r="B122" s="42"/>
      <c r="C122" s="43">
        <v>41029</v>
      </c>
      <c r="D122" s="44"/>
      <c r="E122" s="36">
        <v>49814.458333333336</v>
      </c>
      <c r="F122" s="36">
        <f t="shared" si="82"/>
        <v>0</v>
      </c>
      <c r="G122" s="36">
        <f t="shared" si="83"/>
        <v>0</v>
      </c>
      <c r="H122" s="36"/>
      <c r="I122" s="36">
        <f t="shared" si="84"/>
        <v>49814.458333333336</v>
      </c>
      <c r="J122" s="36">
        <f t="shared" si="85"/>
        <v>59777.350000000006</v>
      </c>
      <c r="K122" s="36">
        <v>59777.35</v>
      </c>
      <c r="L122" s="37">
        <v>41131</v>
      </c>
      <c r="M122" s="116">
        <v>41131</v>
      </c>
      <c r="N122" s="92">
        <f t="shared" si="86"/>
        <v>0</v>
      </c>
      <c r="O122" s="36">
        <f t="shared" si="87"/>
        <v>0</v>
      </c>
      <c r="P122" s="36" t="e">
        <f t="shared" si="88"/>
        <v>#REF!</v>
      </c>
      <c r="Q122" s="39"/>
      <c r="R122" s="40">
        <f t="shared" si="89"/>
        <v>0</v>
      </c>
      <c r="S122" s="40">
        <f t="shared" si="90"/>
        <v>0</v>
      </c>
      <c r="T122" s="40">
        <f t="shared" si="91"/>
        <v>0</v>
      </c>
      <c r="U122" s="40">
        <f t="shared" si="92"/>
        <v>0</v>
      </c>
      <c r="V122" s="40">
        <f t="shared" si="93"/>
        <v>0</v>
      </c>
    </row>
    <row r="123" spans="1:22" ht="19.5" customHeight="1">
      <c r="A123" s="41" t="s">
        <v>65</v>
      </c>
      <c r="B123" s="41"/>
      <c r="C123" s="43">
        <v>41029</v>
      </c>
      <c r="D123" s="44"/>
      <c r="E123" s="36">
        <v>174368.15833333335</v>
      </c>
      <c r="F123" s="36">
        <f t="shared" si="82"/>
        <v>0</v>
      </c>
      <c r="G123" s="36">
        <f t="shared" si="83"/>
        <v>0</v>
      </c>
      <c r="H123" s="36"/>
      <c r="I123" s="36">
        <f t="shared" si="84"/>
        <v>174368.15833333335</v>
      </c>
      <c r="J123" s="36">
        <f t="shared" si="85"/>
        <v>209241.79000000004</v>
      </c>
      <c r="K123" s="36">
        <v>209241.79</v>
      </c>
      <c r="L123" s="37">
        <v>41131</v>
      </c>
      <c r="M123" s="116">
        <v>41131</v>
      </c>
      <c r="N123" s="92">
        <f t="shared" si="86"/>
        <v>0</v>
      </c>
      <c r="O123" s="36">
        <f t="shared" si="87"/>
        <v>0</v>
      </c>
      <c r="P123" s="36" t="e">
        <f t="shared" si="88"/>
        <v>#REF!</v>
      </c>
      <c r="Q123" s="39"/>
      <c r="R123" s="40">
        <f t="shared" si="89"/>
        <v>0</v>
      </c>
      <c r="S123" s="40">
        <f t="shared" si="90"/>
        <v>0</v>
      </c>
      <c r="T123" s="40">
        <f t="shared" si="91"/>
        <v>0</v>
      </c>
      <c r="U123" s="40">
        <f t="shared" si="92"/>
        <v>0</v>
      </c>
      <c r="V123" s="40">
        <f t="shared" si="93"/>
        <v>0</v>
      </c>
    </row>
    <row r="124" spans="1:22" ht="19.5" customHeight="1">
      <c r="A124" s="41" t="s">
        <v>65</v>
      </c>
      <c r="B124" s="41"/>
      <c r="C124" s="43">
        <v>41060</v>
      </c>
      <c r="D124" s="44"/>
      <c r="E124" s="36">
        <v>116877.54166666666</v>
      </c>
      <c r="F124" s="36">
        <f t="shared" si="82"/>
        <v>0</v>
      </c>
      <c r="G124" s="36">
        <f t="shared" si="83"/>
        <v>0</v>
      </c>
      <c r="H124" s="36"/>
      <c r="I124" s="36">
        <f t="shared" si="84"/>
        <v>116877.54166666666</v>
      </c>
      <c r="J124" s="36">
        <f t="shared" si="85"/>
        <v>140253.04999999999</v>
      </c>
      <c r="K124" s="36">
        <v>140253.04999999999</v>
      </c>
      <c r="L124" s="37">
        <v>41162</v>
      </c>
      <c r="M124" s="116">
        <v>41165</v>
      </c>
      <c r="N124" s="92">
        <f t="shared" si="86"/>
        <v>-3</v>
      </c>
      <c r="O124" s="36">
        <f t="shared" si="87"/>
        <v>0</v>
      </c>
      <c r="P124" s="36" t="e">
        <f t="shared" si="88"/>
        <v>#REF!</v>
      </c>
      <c r="Q124" s="39"/>
      <c r="R124" s="40">
        <f t="shared" si="89"/>
        <v>0</v>
      </c>
      <c r="S124" s="40">
        <f t="shared" si="90"/>
        <v>0</v>
      </c>
      <c r="T124" s="40">
        <f t="shared" si="91"/>
        <v>0</v>
      </c>
      <c r="U124" s="40">
        <f t="shared" si="92"/>
        <v>0</v>
      </c>
      <c r="V124" s="40">
        <f t="shared" si="93"/>
        <v>0</v>
      </c>
    </row>
    <row r="125" spans="1:22" ht="19.5" customHeight="1">
      <c r="A125" s="41" t="s">
        <v>65</v>
      </c>
      <c r="B125" s="41"/>
      <c r="C125" s="43">
        <v>41060</v>
      </c>
      <c r="D125" s="44"/>
      <c r="E125" s="36">
        <v>215248.31666666668</v>
      </c>
      <c r="F125" s="36">
        <f t="shared" si="82"/>
        <v>0</v>
      </c>
      <c r="G125" s="36">
        <f t="shared" si="83"/>
        <v>0</v>
      </c>
      <c r="H125" s="36"/>
      <c r="I125" s="36">
        <f t="shared" si="84"/>
        <v>215248.31666666668</v>
      </c>
      <c r="J125" s="36">
        <f t="shared" si="85"/>
        <v>258297.98</v>
      </c>
      <c r="K125" s="36">
        <v>258297.98</v>
      </c>
      <c r="L125" s="37">
        <v>41162</v>
      </c>
      <c r="M125" s="116">
        <v>41165</v>
      </c>
      <c r="N125" s="92">
        <f t="shared" si="86"/>
        <v>-3</v>
      </c>
      <c r="O125" s="36">
        <f t="shared" si="87"/>
        <v>0</v>
      </c>
      <c r="P125" s="36" t="e">
        <f t="shared" si="88"/>
        <v>#REF!</v>
      </c>
      <c r="Q125" s="39"/>
      <c r="R125" s="40">
        <f t="shared" si="89"/>
        <v>0</v>
      </c>
      <c r="S125" s="40">
        <f t="shared" si="90"/>
        <v>0</v>
      </c>
      <c r="T125" s="40">
        <f t="shared" si="91"/>
        <v>0</v>
      </c>
      <c r="U125" s="40">
        <f t="shared" si="92"/>
        <v>0</v>
      </c>
      <c r="V125" s="40">
        <f t="shared" si="93"/>
        <v>0</v>
      </c>
    </row>
    <row r="126" spans="1:22" ht="19.5" customHeight="1">
      <c r="A126" s="41" t="s">
        <v>65</v>
      </c>
      <c r="B126" s="41"/>
      <c r="C126" s="43">
        <v>41090</v>
      </c>
      <c r="D126" s="44"/>
      <c r="E126" s="36">
        <v>79740.716666666674</v>
      </c>
      <c r="F126" s="36">
        <f t="shared" si="82"/>
        <v>0</v>
      </c>
      <c r="G126" s="36">
        <f t="shared" si="83"/>
        <v>0</v>
      </c>
      <c r="H126" s="36"/>
      <c r="I126" s="36">
        <f t="shared" si="84"/>
        <v>79740.716666666674</v>
      </c>
      <c r="J126" s="36">
        <f t="shared" si="85"/>
        <v>95688.860000000015</v>
      </c>
      <c r="K126" s="36">
        <v>95688.86</v>
      </c>
      <c r="L126" s="37">
        <v>41192</v>
      </c>
      <c r="M126" s="116">
        <v>41233</v>
      </c>
      <c r="N126" s="92">
        <f t="shared" si="86"/>
        <v>-41</v>
      </c>
      <c r="O126" s="36">
        <f t="shared" si="87"/>
        <v>0</v>
      </c>
      <c r="P126" s="36" t="e">
        <f t="shared" si="88"/>
        <v>#REF!</v>
      </c>
      <c r="Q126" s="39"/>
      <c r="R126" s="40">
        <f t="shared" si="89"/>
        <v>0</v>
      </c>
      <c r="S126" s="40">
        <f t="shared" si="90"/>
        <v>0</v>
      </c>
      <c r="T126" s="40">
        <f t="shared" si="91"/>
        <v>0</v>
      </c>
      <c r="U126" s="40">
        <f t="shared" si="92"/>
        <v>0</v>
      </c>
      <c r="V126" s="40">
        <f t="shared" si="93"/>
        <v>0</v>
      </c>
    </row>
    <row r="127" spans="1:22" ht="19.5" customHeight="1">
      <c r="A127" s="41" t="s">
        <v>65</v>
      </c>
      <c r="B127" s="42"/>
      <c r="C127" s="43">
        <v>41090</v>
      </c>
      <c r="D127" s="44"/>
      <c r="E127" s="36">
        <v>218685.59999999998</v>
      </c>
      <c r="F127" s="36">
        <f t="shared" si="82"/>
        <v>0</v>
      </c>
      <c r="G127" s="36">
        <f t="shared" si="83"/>
        <v>0</v>
      </c>
      <c r="H127" s="36"/>
      <c r="I127" s="36">
        <f t="shared" si="84"/>
        <v>218685.59999999998</v>
      </c>
      <c r="J127" s="36">
        <f t="shared" si="85"/>
        <v>262422.71999999997</v>
      </c>
      <c r="K127" s="36">
        <v>262422.71999999997</v>
      </c>
      <c r="L127" s="37">
        <v>41192</v>
      </c>
      <c r="M127" s="116">
        <v>41233</v>
      </c>
      <c r="N127" s="92">
        <f t="shared" si="86"/>
        <v>-41</v>
      </c>
      <c r="O127" s="36">
        <f t="shared" si="87"/>
        <v>0</v>
      </c>
      <c r="P127" s="36" t="e">
        <f t="shared" si="88"/>
        <v>#REF!</v>
      </c>
      <c r="Q127" s="39"/>
      <c r="R127" s="40">
        <f t="shared" si="89"/>
        <v>0</v>
      </c>
      <c r="S127" s="40">
        <f t="shared" si="90"/>
        <v>0</v>
      </c>
      <c r="T127" s="40">
        <f t="shared" si="91"/>
        <v>0</v>
      </c>
      <c r="U127" s="40">
        <f t="shared" si="92"/>
        <v>0</v>
      </c>
      <c r="V127" s="40">
        <f t="shared" si="93"/>
        <v>0</v>
      </c>
    </row>
    <row r="128" spans="1:22" ht="19.5" customHeight="1">
      <c r="A128" s="41" t="s">
        <v>65</v>
      </c>
      <c r="B128" s="41"/>
      <c r="C128" s="43">
        <v>41121</v>
      </c>
      <c r="D128" s="44"/>
      <c r="E128" s="36">
        <v>85211.283333333326</v>
      </c>
      <c r="F128" s="36">
        <f t="shared" si="82"/>
        <v>0</v>
      </c>
      <c r="G128" s="36">
        <f t="shared" si="83"/>
        <v>0</v>
      </c>
      <c r="H128" s="36"/>
      <c r="I128" s="36">
        <f t="shared" si="84"/>
        <v>85211.283333333326</v>
      </c>
      <c r="J128" s="36">
        <f t="shared" si="85"/>
        <v>102253.54</v>
      </c>
      <c r="K128" s="36">
        <v>102253.54</v>
      </c>
      <c r="L128" s="37">
        <v>41223</v>
      </c>
      <c r="M128" s="116">
        <v>41233</v>
      </c>
      <c r="N128" s="92">
        <f t="shared" si="86"/>
        <v>-10</v>
      </c>
      <c r="O128" s="36">
        <f t="shared" si="87"/>
        <v>0</v>
      </c>
      <c r="P128" s="36" t="e">
        <f t="shared" si="88"/>
        <v>#REF!</v>
      </c>
      <c r="Q128" s="39"/>
      <c r="R128" s="40">
        <f t="shared" si="89"/>
        <v>0</v>
      </c>
      <c r="S128" s="40">
        <f t="shared" si="90"/>
        <v>0</v>
      </c>
      <c r="T128" s="40">
        <f t="shared" si="91"/>
        <v>0</v>
      </c>
      <c r="U128" s="40">
        <f t="shared" si="92"/>
        <v>0</v>
      </c>
      <c r="V128" s="40">
        <f t="shared" si="93"/>
        <v>0</v>
      </c>
    </row>
    <row r="129" spans="1:22" ht="19.5" customHeight="1">
      <c r="A129" s="41" t="s">
        <v>65</v>
      </c>
      <c r="B129" s="41"/>
      <c r="C129" s="43">
        <v>41121</v>
      </c>
      <c r="D129" s="44"/>
      <c r="E129" s="36">
        <v>176274.71666666667</v>
      </c>
      <c r="F129" s="36">
        <f t="shared" si="82"/>
        <v>0</v>
      </c>
      <c r="G129" s="36">
        <f t="shared" si="83"/>
        <v>0</v>
      </c>
      <c r="H129" s="36"/>
      <c r="I129" s="36">
        <f t="shared" si="84"/>
        <v>176274.71666666667</v>
      </c>
      <c r="J129" s="36">
        <f t="shared" si="85"/>
        <v>211529.66</v>
      </c>
      <c r="K129" s="36">
        <v>211529.66</v>
      </c>
      <c r="L129" s="37">
        <v>41223</v>
      </c>
      <c r="M129" s="116">
        <v>41233</v>
      </c>
      <c r="N129" s="92">
        <f t="shared" si="86"/>
        <v>-10</v>
      </c>
      <c r="O129" s="36">
        <f t="shared" si="87"/>
        <v>0</v>
      </c>
      <c r="P129" s="36" t="e">
        <f t="shared" si="88"/>
        <v>#REF!</v>
      </c>
      <c r="Q129" s="39"/>
      <c r="R129" s="40">
        <f t="shared" si="89"/>
        <v>0</v>
      </c>
      <c r="S129" s="40">
        <f t="shared" si="90"/>
        <v>0</v>
      </c>
      <c r="T129" s="40">
        <f t="shared" si="91"/>
        <v>0</v>
      </c>
      <c r="U129" s="40">
        <f t="shared" si="92"/>
        <v>0</v>
      </c>
      <c r="V129" s="40">
        <f t="shared" si="93"/>
        <v>0</v>
      </c>
    </row>
    <row r="130" spans="1:22" ht="19.5" customHeight="1">
      <c r="A130" s="41" t="s">
        <v>65</v>
      </c>
      <c r="B130" s="42"/>
      <c r="C130" s="43">
        <v>41152</v>
      </c>
      <c r="D130" s="44"/>
      <c r="E130" s="36">
        <v>90347.758333333331</v>
      </c>
      <c r="F130" s="36">
        <f t="shared" si="82"/>
        <v>0</v>
      </c>
      <c r="G130" s="36">
        <f t="shared" si="83"/>
        <v>0</v>
      </c>
      <c r="H130" s="36"/>
      <c r="I130" s="36">
        <f t="shared" si="84"/>
        <v>90347.758333333331</v>
      </c>
      <c r="J130" s="36">
        <f t="shared" si="85"/>
        <v>108417.31</v>
      </c>
      <c r="K130" s="36">
        <v>108417.31</v>
      </c>
      <c r="L130" s="37">
        <v>41253</v>
      </c>
      <c r="M130" s="116">
        <v>41253</v>
      </c>
      <c r="N130" s="92">
        <f t="shared" si="86"/>
        <v>0</v>
      </c>
      <c r="O130" s="36">
        <f t="shared" si="87"/>
        <v>0</v>
      </c>
      <c r="P130" s="36" t="e">
        <f t="shared" si="88"/>
        <v>#REF!</v>
      </c>
      <c r="Q130" s="39"/>
      <c r="R130" s="40">
        <f t="shared" si="89"/>
        <v>0</v>
      </c>
      <c r="S130" s="40">
        <f t="shared" si="90"/>
        <v>0</v>
      </c>
      <c r="T130" s="40">
        <f t="shared" si="91"/>
        <v>0</v>
      </c>
      <c r="U130" s="40">
        <f t="shared" si="92"/>
        <v>0</v>
      </c>
      <c r="V130" s="40">
        <f t="shared" si="93"/>
        <v>0</v>
      </c>
    </row>
    <row r="131" spans="1:22" ht="19.5" customHeight="1">
      <c r="A131" s="41" t="s">
        <v>65</v>
      </c>
      <c r="B131" s="41"/>
      <c r="C131" s="43">
        <v>41152</v>
      </c>
      <c r="D131" s="44"/>
      <c r="E131" s="36">
        <v>54110.883333333331</v>
      </c>
      <c r="F131" s="36">
        <f t="shared" si="82"/>
        <v>0</v>
      </c>
      <c r="G131" s="36">
        <f t="shared" si="83"/>
        <v>0</v>
      </c>
      <c r="H131" s="36"/>
      <c r="I131" s="36">
        <f t="shared" si="84"/>
        <v>54110.883333333331</v>
      </c>
      <c r="J131" s="36">
        <f t="shared" si="85"/>
        <v>64933.06</v>
      </c>
      <c r="K131" s="36">
        <v>64933.06</v>
      </c>
      <c r="L131" s="37">
        <v>41253</v>
      </c>
      <c r="M131" s="116">
        <v>41253</v>
      </c>
      <c r="N131" s="92">
        <f t="shared" si="86"/>
        <v>0</v>
      </c>
      <c r="O131" s="36">
        <f t="shared" si="87"/>
        <v>0</v>
      </c>
      <c r="P131" s="36" t="e">
        <f t="shared" si="88"/>
        <v>#REF!</v>
      </c>
      <c r="Q131" s="39"/>
      <c r="R131" s="40">
        <f t="shared" si="89"/>
        <v>0</v>
      </c>
      <c r="S131" s="40">
        <f t="shared" si="90"/>
        <v>0</v>
      </c>
      <c r="T131" s="40">
        <f t="shared" si="91"/>
        <v>0</v>
      </c>
      <c r="U131" s="40">
        <f t="shared" si="92"/>
        <v>0</v>
      </c>
      <c r="V131" s="40">
        <f t="shared" si="93"/>
        <v>0</v>
      </c>
    </row>
    <row r="132" spans="1:22" ht="19.5" customHeight="1">
      <c r="A132" s="41" t="s">
        <v>65</v>
      </c>
      <c r="B132" s="41"/>
      <c r="C132" s="43">
        <v>41274</v>
      </c>
      <c r="D132" s="44"/>
      <c r="E132" s="36">
        <v>87943.083333333328</v>
      </c>
      <c r="F132" s="36">
        <f t="shared" si="82"/>
        <v>0</v>
      </c>
      <c r="G132" s="36">
        <f t="shared" si="83"/>
        <v>0</v>
      </c>
      <c r="H132" s="36"/>
      <c r="I132" s="36">
        <f t="shared" si="84"/>
        <v>87943.083333333328</v>
      </c>
      <c r="J132" s="36">
        <f t="shared" si="85"/>
        <v>105531.7</v>
      </c>
      <c r="K132" s="36">
        <v>105531.7</v>
      </c>
      <c r="L132" s="37">
        <v>41364</v>
      </c>
      <c r="M132" s="116">
        <v>41369</v>
      </c>
      <c r="N132" s="92">
        <f t="shared" si="86"/>
        <v>-5</v>
      </c>
      <c r="O132" s="36">
        <f t="shared" si="87"/>
        <v>0</v>
      </c>
      <c r="P132" s="36" t="e">
        <f t="shared" si="88"/>
        <v>#REF!</v>
      </c>
      <c r="Q132" s="39"/>
      <c r="R132" s="40">
        <f t="shared" si="89"/>
        <v>0</v>
      </c>
      <c r="S132" s="40">
        <f t="shared" si="90"/>
        <v>0</v>
      </c>
      <c r="T132" s="40">
        <f t="shared" si="91"/>
        <v>0</v>
      </c>
      <c r="U132" s="40">
        <f t="shared" si="92"/>
        <v>0</v>
      </c>
      <c r="V132" s="40">
        <f t="shared" si="93"/>
        <v>0</v>
      </c>
    </row>
    <row r="133" spans="1:22" s="99" customFormat="1" ht="19.5" customHeight="1">
      <c r="A133" s="104"/>
      <c r="B133" s="104"/>
      <c r="C133" s="106"/>
      <c r="D133" s="107"/>
      <c r="E133" s="108">
        <f>SUM(E117:E132)</f>
        <v>1985326.7916666667</v>
      </c>
      <c r="F133" s="108">
        <f t="shared" ref="F133:K133" si="94">SUM(F117:F132)</f>
        <v>0</v>
      </c>
      <c r="G133" s="108">
        <f t="shared" si="94"/>
        <v>0</v>
      </c>
      <c r="H133" s="108">
        <f t="shared" si="94"/>
        <v>0</v>
      </c>
      <c r="I133" s="108">
        <f t="shared" si="94"/>
        <v>1985326.7916666667</v>
      </c>
      <c r="J133" s="113">
        <f t="shared" si="94"/>
        <v>2382392.1500000004</v>
      </c>
      <c r="K133" s="113">
        <f t="shared" si="94"/>
        <v>2382392.1500000004</v>
      </c>
      <c r="L133" s="109"/>
      <c r="M133" s="119"/>
      <c r="N133" s="110"/>
      <c r="O133" s="108">
        <f>SUM(O125:O132)</f>
        <v>0</v>
      </c>
      <c r="P133" s="108" t="e">
        <f>SUM(P125:P132)</f>
        <v>#REF!</v>
      </c>
      <c r="Q133" s="111"/>
      <c r="R133" s="112">
        <f>SUM(R125:R132)</f>
        <v>0</v>
      </c>
      <c r="S133" s="112">
        <f>SUM(S125:S132)</f>
        <v>0</v>
      </c>
      <c r="T133" s="112">
        <f>SUM(T125:T132)</f>
        <v>0</v>
      </c>
      <c r="U133" s="112">
        <f>SUM(U125:U132)</f>
        <v>0</v>
      </c>
      <c r="V133" s="112">
        <f>SUM(V125:V132)</f>
        <v>0</v>
      </c>
    </row>
    <row r="134" spans="1:22" ht="19.5" customHeight="1">
      <c r="A134" s="41" t="s">
        <v>76</v>
      </c>
      <c r="B134" s="41"/>
      <c r="C134" s="43">
        <v>41152</v>
      </c>
      <c r="D134" s="44"/>
      <c r="E134" s="36">
        <v>155104.61666666667</v>
      </c>
      <c r="F134" s="36">
        <f>-E134*$F$10</f>
        <v>0</v>
      </c>
      <c r="G134" s="36">
        <f>E134*$G$10</f>
        <v>0</v>
      </c>
      <c r="H134" s="36"/>
      <c r="I134" s="36">
        <f>+E134+F134-G134-H134</f>
        <v>155104.61666666667</v>
      </c>
      <c r="J134" s="36">
        <f>+I134+(I134*$I$4)</f>
        <v>186125.54</v>
      </c>
      <c r="K134" s="36">
        <v>186125.54</v>
      </c>
      <c r="L134" s="37">
        <v>41223</v>
      </c>
      <c r="M134" s="116">
        <v>41223</v>
      </c>
      <c r="N134" s="92">
        <f>-IF(L134=0,,IF(M134=0,($C$10-L134),M134-L134))</f>
        <v>0</v>
      </c>
      <c r="O134" s="36">
        <f>+J134-K134</f>
        <v>0</v>
      </c>
      <c r="P134" s="36" t="e">
        <f>+IF($C$10&lt;L134,0,O134)</f>
        <v>#REF!</v>
      </c>
      <c r="Q134" s="39"/>
      <c r="R134" s="40">
        <f>IF(N134&gt;=0,0,(IF(-N134&lt;=60,O134,0)))</f>
        <v>0</v>
      </c>
      <c r="S134" s="40">
        <f>IF(N134&gt;=0,0,(IF(N134&gt;=-60,0,IF(-60&gt;=N134,IF(N134&gt;=-120,O134,0)))))</f>
        <v>0</v>
      </c>
      <c r="T134" s="40">
        <f>IF(N134&gt;=0,0,(IF(N134&gt;-60,0,IF(-60&gt;=N134,IF(N134&gt;=-120,0,IF(N134&gt;=-180,O134,0))))))</f>
        <v>0</v>
      </c>
      <c r="U134" s="40">
        <f>IF(N134&gt;=0,0,(IF(N134&gt;-60,0,IF(-60&gt;=N134,IF(N134&gt;-120,0,IF(N134&gt;=-180,0,IF(N134&gt;=-365,O134,0)))))))</f>
        <v>0</v>
      </c>
      <c r="V134" s="40">
        <f>IF(N134&gt;=0,0,IF(365&lt;-N134,O134,0))</f>
        <v>0</v>
      </c>
    </row>
    <row r="135" spans="1:22" ht="19.5" customHeight="1">
      <c r="A135" s="41" t="s">
        <v>76</v>
      </c>
      <c r="B135" s="41"/>
      <c r="C135" s="43">
        <v>41182</v>
      </c>
      <c r="D135" s="44"/>
      <c r="E135" s="36">
        <v>767924.21666666679</v>
      </c>
      <c r="F135" s="36">
        <f>-E135*$F$10</f>
        <v>0</v>
      </c>
      <c r="G135" s="36">
        <f>E135*$G$10</f>
        <v>0</v>
      </c>
      <c r="H135" s="36"/>
      <c r="I135" s="36">
        <f>+E135+F135-G135-H135</f>
        <v>767924.21666666679</v>
      </c>
      <c r="J135" s="36">
        <f>+I135+(I135*$I$4)</f>
        <v>921509.06000000017</v>
      </c>
      <c r="K135" s="36">
        <v>921509.06000000017</v>
      </c>
      <c r="L135" s="37">
        <v>41253</v>
      </c>
      <c r="M135" s="116">
        <v>41253</v>
      </c>
      <c r="N135" s="92">
        <f>-IF(L135=0,,IF(M135=0,($C$10-L135),M135-L135))</f>
        <v>0</v>
      </c>
      <c r="O135" s="36">
        <f>+J135-K135</f>
        <v>0</v>
      </c>
      <c r="P135" s="36" t="e">
        <f>+IF($C$10&lt;L135,0,O135)</f>
        <v>#REF!</v>
      </c>
      <c r="Q135" s="39"/>
      <c r="R135" s="40">
        <f>IF(N135&gt;=0,0,(IF(-N135&lt;=60,O135,0)))</f>
        <v>0</v>
      </c>
      <c r="S135" s="40">
        <f>IF(N135&gt;=0,0,(IF(N135&gt;=-60,0,IF(-60&gt;=N135,IF(N135&gt;=-120,O135,0)))))</f>
        <v>0</v>
      </c>
      <c r="T135" s="40">
        <f>IF(N135&gt;=0,0,(IF(N135&gt;-60,0,IF(-60&gt;=N135,IF(N135&gt;=-120,0,IF(N135&gt;=-180,O135,0))))))</f>
        <v>0</v>
      </c>
      <c r="U135" s="40">
        <f>IF(N135&gt;=0,0,(IF(N135&gt;-60,0,IF(-60&gt;=N135,IF(N135&gt;-120,0,IF(N135&gt;=-180,0,IF(N135&gt;=-365,O135,0)))))))</f>
        <v>0</v>
      </c>
      <c r="V135" s="40">
        <f>IF(N135&gt;=0,0,IF(365&lt;-N135,O135,0))</f>
        <v>0</v>
      </c>
    </row>
    <row r="136" spans="1:22" ht="19.5" customHeight="1">
      <c r="A136" s="41" t="s">
        <v>76</v>
      </c>
      <c r="B136" s="41"/>
      <c r="C136" s="43">
        <v>41213</v>
      </c>
      <c r="D136" s="44"/>
      <c r="E136" s="36">
        <v>929886.79999999993</v>
      </c>
      <c r="F136" s="36">
        <f>-E136*$F$10</f>
        <v>0</v>
      </c>
      <c r="G136" s="36">
        <f>E136*$G$10</f>
        <v>0</v>
      </c>
      <c r="H136" s="36"/>
      <c r="I136" s="36">
        <f>+E136+F136-G136-H136</f>
        <v>929886.79999999993</v>
      </c>
      <c r="J136" s="36">
        <f>+I136+(I136*$I$4)</f>
        <v>1115864.1599999999</v>
      </c>
      <c r="K136" s="36">
        <v>1115864.1599999999</v>
      </c>
      <c r="L136" s="37">
        <v>41274</v>
      </c>
      <c r="M136" s="116">
        <v>41633</v>
      </c>
      <c r="N136" s="92">
        <f>-IF(L136=0,,IF(M136=0,($C$10-L136),M136-L136))</f>
        <v>-359</v>
      </c>
      <c r="O136" s="36">
        <f>+J136-K136</f>
        <v>0</v>
      </c>
      <c r="P136" s="36" t="e">
        <f>+IF($C$10&lt;L136,0,O136)</f>
        <v>#REF!</v>
      </c>
      <c r="Q136" s="39"/>
      <c r="R136" s="40">
        <f>IF(N136&gt;=0,0,(IF(-N136&lt;=60,O136,0)))</f>
        <v>0</v>
      </c>
      <c r="S136" s="40">
        <f>IF(N136&gt;=0,0,(IF(N136&gt;=-60,0,IF(-60&gt;=N136,IF(N136&gt;=-120,O136,0)))))</f>
        <v>0</v>
      </c>
      <c r="T136" s="40">
        <f>IF(N136&gt;=0,0,(IF(N136&gt;-60,0,IF(-60&gt;=N136,IF(N136&gt;=-120,0,IF(N136&gt;=-180,O136,0))))))</f>
        <v>0</v>
      </c>
      <c r="U136" s="40">
        <f>IF(N136&gt;=0,0,(IF(N136&gt;-60,0,IF(-60&gt;=N136,IF(N136&gt;-120,0,IF(N136&gt;=-180,0,IF(N136&gt;=-365,O136,0)))))))</f>
        <v>0</v>
      </c>
      <c r="V136" s="40">
        <f>IF(N136&gt;=0,0,IF(365&lt;-N136,O136,0))</f>
        <v>0</v>
      </c>
    </row>
    <row r="137" spans="1:22" ht="19.5" customHeight="1">
      <c r="A137" s="41" t="s">
        <v>76</v>
      </c>
      <c r="B137" s="42"/>
      <c r="C137" s="43">
        <v>41243</v>
      </c>
      <c r="D137" s="44"/>
      <c r="E137" s="36">
        <v>944004.18333333335</v>
      </c>
      <c r="F137" s="36">
        <f>-E137*$F$10</f>
        <v>0</v>
      </c>
      <c r="G137" s="36">
        <f>E137*$G$10</f>
        <v>0</v>
      </c>
      <c r="H137" s="36"/>
      <c r="I137" s="36">
        <f>+E137+F137-G137-H137</f>
        <v>944004.18333333335</v>
      </c>
      <c r="J137" s="36">
        <f>+I137+(I137*$I$4)</f>
        <v>1132805.02</v>
      </c>
      <c r="K137" s="36">
        <v>1132805.02</v>
      </c>
      <c r="L137" s="37">
        <v>41333</v>
      </c>
      <c r="M137" s="116">
        <v>41339</v>
      </c>
      <c r="N137" s="92">
        <f>-IF(L137=0,,IF(M137=0,($C$10-L137),M137-L137))</f>
        <v>-6</v>
      </c>
      <c r="O137" s="36">
        <f>+J137-K137</f>
        <v>0</v>
      </c>
      <c r="P137" s="36" t="e">
        <f>+IF($C$10&lt;L137,0,O137)</f>
        <v>#REF!</v>
      </c>
      <c r="Q137" s="39"/>
      <c r="R137" s="40">
        <f>IF(N137&gt;=0,0,(IF(-N137&lt;=60,O137,0)))</f>
        <v>0</v>
      </c>
      <c r="S137" s="40">
        <f>IF(N137&gt;=0,0,(IF(N137&gt;=-60,0,IF(-60&gt;=N137,IF(N137&gt;=-120,O137,0)))))</f>
        <v>0</v>
      </c>
      <c r="T137" s="40">
        <f>IF(N137&gt;=0,0,(IF(N137&gt;-60,0,IF(-60&gt;=N137,IF(N137&gt;=-120,0,IF(N137&gt;=-180,O137,0))))))</f>
        <v>0</v>
      </c>
      <c r="U137" s="40">
        <f>IF(N137&gt;=0,0,(IF(N137&gt;-60,0,IF(-60&gt;=N137,IF(N137&gt;-120,0,IF(N137&gt;=-180,0,IF(N137&gt;=-365,O137,0)))))))</f>
        <v>0</v>
      </c>
      <c r="V137" s="40">
        <f>IF(N137&gt;=0,0,IF(365&lt;-N137,O137,0))</f>
        <v>0</v>
      </c>
    </row>
    <row r="138" spans="1:22" ht="19.5" customHeight="1">
      <c r="A138" s="41" t="s">
        <v>76</v>
      </c>
      <c r="B138" s="41"/>
      <c r="C138" s="43">
        <v>41274</v>
      </c>
      <c r="D138" s="44"/>
      <c r="E138" s="36">
        <v>1085916.5833333333</v>
      </c>
      <c r="F138" s="36">
        <f>-E138*$F$10</f>
        <v>0</v>
      </c>
      <c r="G138" s="36">
        <f>E138*$G$10</f>
        <v>0</v>
      </c>
      <c r="H138" s="36"/>
      <c r="I138" s="36">
        <f>+E138+F138-G138-H138</f>
        <v>1085916.5833333333</v>
      </c>
      <c r="J138" s="36">
        <f>+I138+(I138*$I$4)</f>
        <v>1303099.8999999999</v>
      </c>
      <c r="K138" s="36">
        <v>1303099.8999999999</v>
      </c>
      <c r="L138" s="37">
        <v>41364</v>
      </c>
      <c r="M138" s="116">
        <v>41339</v>
      </c>
      <c r="N138" s="92">
        <f>-IF(L138=0,,IF(M138=0,($C$10-L138),M138-L138))</f>
        <v>25</v>
      </c>
      <c r="O138" s="36">
        <f>+J138-K138</f>
        <v>0</v>
      </c>
      <c r="P138" s="36" t="e">
        <f>+IF($C$10&lt;L138,0,O138)</f>
        <v>#REF!</v>
      </c>
      <c r="Q138" s="39"/>
      <c r="R138" s="40">
        <f>IF(N138&gt;=0,0,(IF(-N138&lt;=60,O138,0)))</f>
        <v>0</v>
      </c>
      <c r="S138" s="40">
        <f>IF(N138&gt;=0,0,(IF(N138&gt;=-60,0,IF(-60&gt;=N138,IF(N138&gt;=-120,O138,0)))))</f>
        <v>0</v>
      </c>
      <c r="T138" s="40">
        <f>IF(N138&gt;=0,0,(IF(N138&gt;-60,0,IF(-60&gt;=N138,IF(N138&gt;=-120,0,IF(N138&gt;=-180,O138,0))))))</f>
        <v>0</v>
      </c>
      <c r="U138" s="40">
        <f>IF(N138&gt;=0,0,(IF(N138&gt;-60,0,IF(-60&gt;=N138,IF(N138&gt;-120,0,IF(N138&gt;=-180,0,IF(N138&gt;=-365,O138,0)))))))</f>
        <v>0</v>
      </c>
      <c r="V138" s="40">
        <f>IF(N138&gt;=0,0,IF(365&lt;-N138,O138,0))</f>
        <v>0</v>
      </c>
    </row>
    <row r="139" spans="1:22" s="99" customFormat="1" ht="19.5" customHeight="1">
      <c r="A139" s="104"/>
      <c r="B139" s="104"/>
      <c r="C139" s="106"/>
      <c r="D139" s="107"/>
      <c r="E139" s="108">
        <v>3882836.4</v>
      </c>
      <c r="F139" s="108">
        <f t="shared" ref="F139:K139" si="95">SUM(F134:F138)</f>
        <v>0</v>
      </c>
      <c r="G139" s="108">
        <f t="shared" si="95"/>
        <v>0</v>
      </c>
      <c r="H139" s="108">
        <f t="shared" si="95"/>
        <v>0</v>
      </c>
      <c r="I139" s="108">
        <f t="shared" si="95"/>
        <v>3882836.3999999994</v>
      </c>
      <c r="J139" s="113">
        <f t="shared" si="95"/>
        <v>4659403.68</v>
      </c>
      <c r="K139" s="113">
        <f t="shared" si="95"/>
        <v>4659403.68</v>
      </c>
      <c r="L139" s="109"/>
      <c r="M139" s="119"/>
      <c r="N139" s="110"/>
      <c r="O139" s="108">
        <f>SUM(O134:O138)</f>
        <v>0</v>
      </c>
      <c r="P139" s="108" t="e">
        <f>SUM(P134:P138)</f>
        <v>#REF!</v>
      </c>
      <c r="Q139" s="111"/>
      <c r="R139" s="112">
        <f>SUM(R134:R138)</f>
        <v>0</v>
      </c>
      <c r="S139" s="112">
        <f>SUM(S134:S138)</f>
        <v>0</v>
      </c>
      <c r="T139" s="112">
        <f>SUM(T134:T138)</f>
        <v>0</v>
      </c>
      <c r="U139" s="112">
        <f>SUM(U134:U138)</f>
        <v>0</v>
      </c>
      <c r="V139" s="112">
        <f>SUM(V134:V138)</f>
        <v>0</v>
      </c>
    </row>
    <row r="140" spans="1:22" ht="19.5" customHeight="1">
      <c r="A140" s="41" t="s">
        <v>67</v>
      </c>
      <c r="B140" s="41"/>
      <c r="C140" s="43">
        <v>40939</v>
      </c>
      <c r="D140" s="44"/>
      <c r="E140" s="36">
        <v>74771</v>
      </c>
      <c r="F140" s="36">
        <f t="shared" ref="F140:F151" si="96">-E140*$F$10</f>
        <v>0</v>
      </c>
      <c r="G140" s="36">
        <f t="shared" ref="G140:G151" si="97">E140*$G$10</f>
        <v>0</v>
      </c>
      <c r="H140" s="36"/>
      <c r="I140" s="36">
        <f t="shared" ref="I140:I151" si="98">+E140+F140-G140-H140</f>
        <v>74771</v>
      </c>
      <c r="J140" s="36">
        <f t="shared" ref="J140:J151" si="99">+I140+(I140*$I$4)</f>
        <v>89725.2</v>
      </c>
      <c r="K140" s="36">
        <v>89725.2</v>
      </c>
      <c r="L140" s="37">
        <v>41029</v>
      </c>
      <c r="M140" s="37">
        <v>41025</v>
      </c>
      <c r="N140" s="92">
        <f t="shared" ref="N140:N151" si="100">-IF(L140=0,,IF(M140=0,($C$10-L140),M140-L140))</f>
        <v>4</v>
      </c>
      <c r="O140" s="36">
        <f t="shared" ref="O140:O151" si="101">+J140-K140</f>
        <v>0</v>
      </c>
      <c r="P140" s="36" t="e">
        <f t="shared" ref="P140:P151" si="102">+IF($C$10&lt;L140,0,O140)</f>
        <v>#REF!</v>
      </c>
      <c r="Q140" s="39"/>
      <c r="R140" s="40">
        <f t="shared" ref="R140:R151" si="103">IF(N140&gt;=0,0,(IF(-N140&lt;=60,O140,0)))</f>
        <v>0</v>
      </c>
      <c r="S140" s="40">
        <f t="shared" ref="S140:S151" si="104">IF(N140&gt;=0,0,(IF(N140&gt;=-60,0,IF(-60&gt;=N140,IF(N140&gt;=-120,O140,0)))))</f>
        <v>0</v>
      </c>
      <c r="T140" s="40">
        <f t="shared" ref="T140:T151" si="105">IF(N140&gt;=0,0,(IF(N140&gt;-60,0,IF(-60&gt;=N140,IF(N140&gt;=-120,0,IF(N140&gt;=-180,O140,0))))))</f>
        <v>0</v>
      </c>
      <c r="U140" s="40">
        <f t="shared" ref="U140:U151" si="106">IF(N140&gt;=0,0,(IF(N140&gt;-60,0,IF(-60&gt;=N140,IF(N140&gt;-120,0,IF(N140&gt;=-180,0,IF(N140&gt;=-365,O140,0)))))))</f>
        <v>0</v>
      </c>
      <c r="V140" s="40">
        <f t="shared" ref="V140:V151" si="107">IF(N140&gt;=0,0,IF(365&lt;-N140,O140,0))</f>
        <v>0</v>
      </c>
    </row>
    <row r="141" spans="1:22" ht="19.5" customHeight="1">
      <c r="A141" s="41" t="s">
        <v>67</v>
      </c>
      <c r="B141" s="41"/>
      <c r="C141" s="43">
        <v>40968</v>
      </c>
      <c r="D141" s="44"/>
      <c r="E141" s="36">
        <v>40141.800000000003</v>
      </c>
      <c r="F141" s="36">
        <f t="shared" si="96"/>
        <v>0</v>
      </c>
      <c r="G141" s="36">
        <f t="shared" si="97"/>
        <v>0</v>
      </c>
      <c r="H141" s="36"/>
      <c r="I141" s="36">
        <f t="shared" si="98"/>
        <v>40141.800000000003</v>
      </c>
      <c r="J141" s="36">
        <f t="shared" si="99"/>
        <v>48170.16</v>
      </c>
      <c r="K141" s="36">
        <v>48170.16</v>
      </c>
      <c r="L141" s="37">
        <v>41060</v>
      </c>
      <c r="M141" s="37">
        <v>41052</v>
      </c>
      <c r="N141" s="92">
        <f t="shared" si="100"/>
        <v>8</v>
      </c>
      <c r="O141" s="36">
        <f t="shared" si="101"/>
        <v>0</v>
      </c>
      <c r="P141" s="36" t="e">
        <f t="shared" si="102"/>
        <v>#REF!</v>
      </c>
      <c r="Q141" s="39"/>
      <c r="R141" s="40">
        <f t="shared" si="103"/>
        <v>0</v>
      </c>
      <c r="S141" s="40">
        <f t="shared" si="104"/>
        <v>0</v>
      </c>
      <c r="T141" s="40">
        <f t="shared" si="105"/>
        <v>0</v>
      </c>
      <c r="U141" s="40">
        <f t="shared" si="106"/>
        <v>0</v>
      </c>
      <c r="V141" s="40">
        <f t="shared" si="107"/>
        <v>0</v>
      </c>
    </row>
    <row r="142" spans="1:22" ht="19.5" customHeight="1">
      <c r="A142" s="41" t="s">
        <v>67</v>
      </c>
      <c r="B142" s="41"/>
      <c r="C142" s="43">
        <v>40999</v>
      </c>
      <c r="D142" s="44"/>
      <c r="E142" s="36">
        <v>155951.4</v>
      </c>
      <c r="F142" s="36">
        <f t="shared" si="96"/>
        <v>0</v>
      </c>
      <c r="G142" s="36">
        <f t="shared" si="97"/>
        <v>0</v>
      </c>
      <c r="H142" s="36"/>
      <c r="I142" s="36">
        <f t="shared" si="98"/>
        <v>155951.4</v>
      </c>
      <c r="J142" s="36">
        <f t="shared" si="99"/>
        <v>187141.68</v>
      </c>
      <c r="K142" s="36">
        <v>187141.68</v>
      </c>
      <c r="L142" s="37">
        <v>41090</v>
      </c>
      <c r="M142" s="37">
        <v>41085</v>
      </c>
      <c r="N142" s="92">
        <f t="shared" si="100"/>
        <v>5</v>
      </c>
      <c r="O142" s="36">
        <f t="shared" si="101"/>
        <v>0</v>
      </c>
      <c r="P142" s="36" t="e">
        <f t="shared" si="102"/>
        <v>#REF!</v>
      </c>
      <c r="Q142" s="39"/>
      <c r="R142" s="40">
        <f t="shared" si="103"/>
        <v>0</v>
      </c>
      <c r="S142" s="40">
        <f t="shared" si="104"/>
        <v>0</v>
      </c>
      <c r="T142" s="40">
        <f t="shared" si="105"/>
        <v>0</v>
      </c>
      <c r="U142" s="40">
        <f t="shared" si="106"/>
        <v>0</v>
      </c>
      <c r="V142" s="40">
        <f t="shared" si="107"/>
        <v>0</v>
      </c>
    </row>
    <row r="143" spans="1:22" ht="19.5" customHeight="1">
      <c r="A143" s="41" t="s">
        <v>67</v>
      </c>
      <c r="B143" s="41"/>
      <c r="C143" s="43">
        <v>41029</v>
      </c>
      <c r="D143" s="44"/>
      <c r="E143" s="36">
        <v>155235</v>
      </c>
      <c r="F143" s="36">
        <f t="shared" si="96"/>
        <v>0</v>
      </c>
      <c r="G143" s="36">
        <f t="shared" si="97"/>
        <v>0</v>
      </c>
      <c r="H143" s="36"/>
      <c r="I143" s="36">
        <f t="shared" si="98"/>
        <v>155235</v>
      </c>
      <c r="J143" s="36">
        <f t="shared" si="99"/>
        <v>186282</v>
      </c>
      <c r="K143" s="36">
        <v>186282</v>
      </c>
      <c r="L143" s="37">
        <v>41121</v>
      </c>
      <c r="M143" s="37">
        <v>41138</v>
      </c>
      <c r="N143" s="92">
        <f t="shared" si="100"/>
        <v>-17</v>
      </c>
      <c r="O143" s="36">
        <f t="shared" si="101"/>
        <v>0</v>
      </c>
      <c r="P143" s="36" t="e">
        <f t="shared" si="102"/>
        <v>#REF!</v>
      </c>
      <c r="Q143" s="39"/>
      <c r="R143" s="40">
        <f t="shared" si="103"/>
        <v>0</v>
      </c>
      <c r="S143" s="40">
        <f t="shared" si="104"/>
        <v>0</v>
      </c>
      <c r="T143" s="40">
        <f t="shared" si="105"/>
        <v>0</v>
      </c>
      <c r="U143" s="40">
        <f t="shared" si="106"/>
        <v>0</v>
      </c>
      <c r="V143" s="40">
        <f t="shared" si="107"/>
        <v>0</v>
      </c>
    </row>
    <row r="144" spans="1:22" ht="19.5" customHeight="1">
      <c r="A144" s="41" t="s">
        <v>67</v>
      </c>
      <c r="B144" s="41"/>
      <c r="C144" s="43">
        <v>41060</v>
      </c>
      <c r="D144" s="44"/>
      <c r="E144" s="36">
        <v>220454.60000000003</v>
      </c>
      <c r="F144" s="36">
        <f t="shared" si="96"/>
        <v>0</v>
      </c>
      <c r="G144" s="36">
        <f t="shared" si="97"/>
        <v>0</v>
      </c>
      <c r="H144" s="36"/>
      <c r="I144" s="36">
        <f t="shared" si="98"/>
        <v>220454.60000000003</v>
      </c>
      <c r="J144" s="36">
        <f t="shared" si="99"/>
        <v>264545.52</v>
      </c>
      <c r="K144" s="36">
        <v>264545.52</v>
      </c>
      <c r="L144" s="37">
        <v>41152</v>
      </c>
      <c r="M144" s="37">
        <v>41200</v>
      </c>
      <c r="N144" s="92">
        <f t="shared" si="100"/>
        <v>-48</v>
      </c>
      <c r="O144" s="36">
        <f t="shared" si="101"/>
        <v>0</v>
      </c>
      <c r="P144" s="36" t="e">
        <f t="shared" si="102"/>
        <v>#REF!</v>
      </c>
      <c r="Q144" s="39"/>
      <c r="R144" s="40">
        <f t="shared" si="103"/>
        <v>0</v>
      </c>
      <c r="S144" s="40">
        <f t="shared" si="104"/>
        <v>0</v>
      </c>
      <c r="T144" s="40">
        <f t="shared" si="105"/>
        <v>0</v>
      </c>
      <c r="U144" s="40">
        <f t="shared" si="106"/>
        <v>0</v>
      </c>
      <c r="V144" s="40">
        <f t="shared" si="107"/>
        <v>0</v>
      </c>
    </row>
    <row r="145" spans="1:22" ht="19.5" customHeight="1">
      <c r="A145" s="41" t="s">
        <v>67</v>
      </c>
      <c r="B145" s="41"/>
      <c r="C145" s="43">
        <v>41090</v>
      </c>
      <c r="D145" s="44"/>
      <c r="E145" s="36">
        <v>167120.70000000001</v>
      </c>
      <c r="F145" s="36">
        <f t="shared" si="96"/>
        <v>0</v>
      </c>
      <c r="G145" s="36">
        <f t="shared" si="97"/>
        <v>0</v>
      </c>
      <c r="H145" s="36"/>
      <c r="I145" s="36">
        <f t="shared" si="98"/>
        <v>167120.70000000001</v>
      </c>
      <c r="J145" s="36">
        <f t="shared" si="99"/>
        <v>200544.84000000003</v>
      </c>
      <c r="K145" s="36">
        <v>200544.84000000003</v>
      </c>
      <c r="L145" s="37">
        <v>41182</v>
      </c>
      <c r="M145" s="37">
        <v>41200</v>
      </c>
      <c r="N145" s="92">
        <f t="shared" si="100"/>
        <v>-18</v>
      </c>
      <c r="O145" s="36">
        <f t="shared" si="101"/>
        <v>0</v>
      </c>
      <c r="P145" s="36" t="e">
        <f t="shared" si="102"/>
        <v>#REF!</v>
      </c>
      <c r="Q145" s="39"/>
      <c r="R145" s="40">
        <f t="shared" si="103"/>
        <v>0</v>
      </c>
      <c r="S145" s="40">
        <f t="shared" si="104"/>
        <v>0</v>
      </c>
      <c r="T145" s="40">
        <f t="shared" si="105"/>
        <v>0</v>
      </c>
      <c r="U145" s="40">
        <f t="shared" si="106"/>
        <v>0</v>
      </c>
      <c r="V145" s="40">
        <f t="shared" si="107"/>
        <v>0</v>
      </c>
    </row>
    <row r="146" spans="1:22" ht="19.5" customHeight="1">
      <c r="A146" s="41" t="s">
        <v>67</v>
      </c>
      <c r="B146" s="41"/>
      <c r="C146" s="43">
        <v>41121</v>
      </c>
      <c r="D146" s="44"/>
      <c r="E146" s="36">
        <v>124789.90000000001</v>
      </c>
      <c r="F146" s="36">
        <f t="shared" si="96"/>
        <v>0</v>
      </c>
      <c r="G146" s="36">
        <f t="shared" si="97"/>
        <v>0</v>
      </c>
      <c r="H146" s="36"/>
      <c r="I146" s="36">
        <f t="shared" si="98"/>
        <v>124789.90000000001</v>
      </c>
      <c r="J146" s="36">
        <f t="shared" si="99"/>
        <v>149747.88</v>
      </c>
      <c r="K146" s="36">
        <v>149747.88</v>
      </c>
      <c r="L146" s="37">
        <v>41213</v>
      </c>
      <c r="M146" s="37">
        <v>41245</v>
      </c>
      <c r="N146" s="92">
        <f t="shared" si="100"/>
        <v>-32</v>
      </c>
      <c r="O146" s="36">
        <f t="shared" si="101"/>
        <v>0</v>
      </c>
      <c r="P146" s="36" t="e">
        <f t="shared" si="102"/>
        <v>#REF!</v>
      </c>
      <c r="Q146" s="39"/>
      <c r="R146" s="40">
        <f t="shared" si="103"/>
        <v>0</v>
      </c>
      <c r="S146" s="40">
        <f t="shared" si="104"/>
        <v>0</v>
      </c>
      <c r="T146" s="40">
        <f t="shared" si="105"/>
        <v>0</v>
      </c>
      <c r="U146" s="40">
        <f t="shared" si="106"/>
        <v>0</v>
      </c>
      <c r="V146" s="40">
        <f t="shared" si="107"/>
        <v>0</v>
      </c>
    </row>
    <row r="147" spans="1:22" ht="19.5" customHeight="1">
      <c r="A147" s="41" t="s">
        <v>67</v>
      </c>
      <c r="B147" s="41"/>
      <c r="C147" s="43">
        <v>41152</v>
      </c>
      <c r="D147" s="44"/>
      <c r="E147" s="36">
        <v>64212.200000000004</v>
      </c>
      <c r="F147" s="36">
        <f t="shared" si="96"/>
        <v>0</v>
      </c>
      <c r="G147" s="36">
        <f t="shared" si="97"/>
        <v>0</v>
      </c>
      <c r="H147" s="36"/>
      <c r="I147" s="36">
        <f t="shared" si="98"/>
        <v>64212.200000000004</v>
      </c>
      <c r="J147" s="36">
        <f t="shared" si="99"/>
        <v>77054.640000000014</v>
      </c>
      <c r="K147" s="36">
        <v>77054.640000000014</v>
      </c>
      <c r="L147" s="37">
        <v>41243</v>
      </c>
      <c r="M147" s="37">
        <v>41350</v>
      </c>
      <c r="N147" s="92">
        <f t="shared" si="100"/>
        <v>-107</v>
      </c>
      <c r="O147" s="36">
        <f t="shared" si="101"/>
        <v>0</v>
      </c>
      <c r="P147" s="36" t="e">
        <f t="shared" si="102"/>
        <v>#REF!</v>
      </c>
      <c r="Q147" s="39"/>
      <c r="R147" s="40">
        <f t="shared" si="103"/>
        <v>0</v>
      </c>
      <c r="S147" s="40">
        <f t="shared" si="104"/>
        <v>0</v>
      </c>
      <c r="T147" s="40">
        <f t="shared" si="105"/>
        <v>0</v>
      </c>
      <c r="U147" s="40">
        <f t="shared" si="106"/>
        <v>0</v>
      </c>
      <c r="V147" s="40">
        <f t="shared" si="107"/>
        <v>0</v>
      </c>
    </row>
    <row r="148" spans="1:22" ht="19.5" customHeight="1">
      <c r="A148" s="41" t="s">
        <v>67</v>
      </c>
      <c r="B148" s="41"/>
      <c r="C148" s="43">
        <v>41182</v>
      </c>
      <c r="D148" s="44"/>
      <c r="E148" s="36">
        <v>88165.8</v>
      </c>
      <c r="F148" s="36">
        <f t="shared" si="96"/>
        <v>0</v>
      </c>
      <c r="G148" s="36">
        <f t="shared" si="97"/>
        <v>0</v>
      </c>
      <c r="H148" s="36"/>
      <c r="I148" s="36">
        <f t="shared" si="98"/>
        <v>88165.8</v>
      </c>
      <c r="J148" s="36">
        <f t="shared" si="99"/>
        <v>105798.96</v>
      </c>
      <c r="K148" s="36">
        <v>105798.96</v>
      </c>
      <c r="L148" s="37">
        <v>41274</v>
      </c>
      <c r="M148" s="37">
        <v>41368</v>
      </c>
      <c r="N148" s="92">
        <f t="shared" si="100"/>
        <v>-94</v>
      </c>
      <c r="O148" s="36">
        <f t="shared" si="101"/>
        <v>0</v>
      </c>
      <c r="P148" s="36" t="e">
        <f t="shared" si="102"/>
        <v>#REF!</v>
      </c>
      <c r="Q148" s="39"/>
      <c r="R148" s="40">
        <f t="shared" si="103"/>
        <v>0</v>
      </c>
      <c r="S148" s="40">
        <f t="shared" si="104"/>
        <v>0</v>
      </c>
      <c r="T148" s="40">
        <f t="shared" si="105"/>
        <v>0</v>
      </c>
      <c r="U148" s="40">
        <f t="shared" si="106"/>
        <v>0</v>
      </c>
      <c r="V148" s="40">
        <f t="shared" si="107"/>
        <v>0</v>
      </c>
    </row>
    <row r="149" spans="1:22" ht="19.5" customHeight="1">
      <c r="A149" s="41" t="s">
        <v>67</v>
      </c>
      <c r="B149" s="41"/>
      <c r="C149" s="43">
        <v>41213</v>
      </c>
      <c r="D149" s="44"/>
      <c r="E149" s="36">
        <v>124127.20000000001</v>
      </c>
      <c r="F149" s="36">
        <f t="shared" si="96"/>
        <v>0</v>
      </c>
      <c r="G149" s="36">
        <f t="shared" si="97"/>
        <v>0</v>
      </c>
      <c r="H149" s="36"/>
      <c r="I149" s="36">
        <f t="shared" si="98"/>
        <v>124127.20000000001</v>
      </c>
      <c r="J149" s="36">
        <f t="shared" si="99"/>
        <v>148952.64000000001</v>
      </c>
      <c r="K149" s="36">
        <v>148952.64000000001</v>
      </c>
      <c r="L149" s="37">
        <v>41305</v>
      </c>
      <c r="M149" s="37">
        <v>41455</v>
      </c>
      <c r="N149" s="92">
        <f t="shared" si="100"/>
        <v>-150</v>
      </c>
      <c r="O149" s="36">
        <f t="shared" si="101"/>
        <v>0</v>
      </c>
      <c r="P149" s="36" t="e">
        <f t="shared" si="102"/>
        <v>#REF!</v>
      </c>
      <c r="Q149" s="39"/>
      <c r="R149" s="40">
        <f t="shared" si="103"/>
        <v>0</v>
      </c>
      <c r="S149" s="40">
        <f t="shared" si="104"/>
        <v>0</v>
      </c>
      <c r="T149" s="40">
        <f t="shared" si="105"/>
        <v>0</v>
      </c>
      <c r="U149" s="40">
        <f t="shared" si="106"/>
        <v>0</v>
      </c>
      <c r="V149" s="40">
        <f t="shared" si="107"/>
        <v>0</v>
      </c>
    </row>
    <row r="150" spans="1:22" ht="19.5" customHeight="1">
      <c r="A150" s="41" t="s">
        <v>67</v>
      </c>
      <c r="B150" s="41"/>
      <c r="C150" s="43">
        <v>41243</v>
      </c>
      <c r="D150" s="44"/>
      <c r="E150" s="36">
        <v>123643.73333333335</v>
      </c>
      <c r="F150" s="36">
        <f t="shared" si="96"/>
        <v>0</v>
      </c>
      <c r="G150" s="36">
        <f t="shared" si="97"/>
        <v>0</v>
      </c>
      <c r="H150" s="36"/>
      <c r="I150" s="36">
        <f t="shared" si="98"/>
        <v>123643.73333333335</v>
      </c>
      <c r="J150" s="36">
        <f t="shared" si="99"/>
        <v>148372.48000000004</v>
      </c>
      <c r="K150" s="36">
        <v>148372.48000000004</v>
      </c>
      <c r="L150" s="37">
        <v>41333</v>
      </c>
      <c r="M150" s="37">
        <v>41486</v>
      </c>
      <c r="N150" s="92">
        <f t="shared" si="100"/>
        <v>-153</v>
      </c>
      <c r="O150" s="36">
        <f t="shared" si="101"/>
        <v>0</v>
      </c>
      <c r="P150" s="36" t="e">
        <f t="shared" si="102"/>
        <v>#REF!</v>
      </c>
      <c r="Q150" s="39"/>
      <c r="R150" s="40">
        <f t="shared" si="103"/>
        <v>0</v>
      </c>
      <c r="S150" s="40">
        <f t="shared" si="104"/>
        <v>0</v>
      </c>
      <c r="T150" s="40">
        <f t="shared" si="105"/>
        <v>0</v>
      </c>
      <c r="U150" s="40">
        <f t="shared" si="106"/>
        <v>0</v>
      </c>
      <c r="V150" s="40">
        <f t="shared" si="107"/>
        <v>0</v>
      </c>
    </row>
    <row r="151" spans="1:22" ht="19.5" customHeight="1">
      <c r="A151" s="41" t="s">
        <v>67</v>
      </c>
      <c r="B151" s="41"/>
      <c r="C151" s="43">
        <v>41274</v>
      </c>
      <c r="D151" s="44"/>
      <c r="E151" s="36">
        <v>29349.000000000004</v>
      </c>
      <c r="F151" s="36">
        <f t="shared" si="96"/>
        <v>0</v>
      </c>
      <c r="G151" s="36">
        <f t="shared" si="97"/>
        <v>0</v>
      </c>
      <c r="H151" s="36"/>
      <c r="I151" s="36">
        <f t="shared" si="98"/>
        <v>29349.000000000004</v>
      </c>
      <c r="J151" s="36">
        <f t="shared" si="99"/>
        <v>35218.800000000003</v>
      </c>
      <c r="K151" s="36">
        <v>35218.800000000003</v>
      </c>
      <c r="L151" s="37">
        <v>41364</v>
      </c>
      <c r="M151" s="37">
        <v>41354</v>
      </c>
      <c r="N151" s="92">
        <f t="shared" si="100"/>
        <v>10</v>
      </c>
      <c r="O151" s="36">
        <f t="shared" si="101"/>
        <v>0</v>
      </c>
      <c r="P151" s="36" t="e">
        <f t="shared" si="102"/>
        <v>#REF!</v>
      </c>
      <c r="Q151" s="39"/>
      <c r="R151" s="40">
        <f t="shared" si="103"/>
        <v>0</v>
      </c>
      <c r="S151" s="40">
        <f t="shared" si="104"/>
        <v>0</v>
      </c>
      <c r="T151" s="40">
        <f t="shared" si="105"/>
        <v>0</v>
      </c>
      <c r="U151" s="40">
        <f t="shared" si="106"/>
        <v>0</v>
      </c>
      <c r="V151" s="40">
        <f t="shared" si="107"/>
        <v>0</v>
      </c>
    </row>
    <row r="152" spans="1:22" s="99" customFormat="1" ht="19.5" customHeight="1">
      <c r="A152" s="104"/>
      <c r="B152" s="104"/>
      <c r="C152" s="106"/>
      <c r="D152" s="107"/>
      <c r="E152" s="108">
        <f>SUM(E140:E151)</f>
        <v>1367962.3333333333</v>
      </c>
      <c r="F152" s="108">
        <f t="shared" ref="F152:K152" si="108">SUM(F140:F151)</f>
        <v>0</v>
      </c>
      <c r="G152" s="108">
        <f t="shared" si="108"/>
        <v>0</v>
      </c>
      <c r="H152" s="108">
        <f t="shared" si="108"/>
        <v>0</v>
      </c>
      <c r="I152" s="108">
        <f t="shared" si="108"/>
        <v>1367962.3333333333</v>
      </c>
      <c r="J152" s="113">
        <f t="shared" si="108"/>
        <v>1641554.8000000005</v>
      </c>
      <c r="K152" s="113">
        <f t="shared" si="108"/>
        <v>1641554.8000000005</v>
      </c>
      <c r="L152" s="109"/>
      <c r="M152" s="109"/>
      <c r="N152" s="110"/>
      <c r="O152" s="108">
        <f>SUM(O140:O151)</f>
        <v>0</v>
      </c>
      <c r="P152" s="108" t="e">
        <f>SUM(P140:P151)</f>
        <v>#REF!</v>
      </c>
      <c r="Q152" s="111"/>
      <c r="R152" s="112">
        <f>SUM(R140:R151)</f>
        <v>0</v>
      </c>
      <c r="S152" s="112">
        <f>SUM(S140:S151)</f>
        <v>0</v>
      </c>
      <c r="T152" s="112">
        <f>SUM(T140:T151)</f>
        <v>0</v>
      </c>
      <c r="U152" s="112">
        <f>SUM(U140:U151)</f>
        <v>0</v>
      </c>
      <c r="V152" s="112">
        <f>SUM(V140:V151)</f>
        <v>0</v>
      </c>
    </row>
    <row r="153" spans="1:22" ht="19.5" customHeight="1">
      <c r="A153" s="41" t="s">
        <v>66</v>
      </c>
      <c r="B153" s="41"/>
      <c r="C153" s="43">
        <v>41060</v>
      </c>
      <c r="D153" s="44"/>
      <c r="E153" s="36">
        <v>134541.11666666667</v>
      </c>
      <c r="F153" s="36">
        <f t="shared" ref="F153:F165" si="109">-E153*$F$10</f>
        <v>0</v>
      </c>
      <c r="G153" s="36">
        <f t="shared" ref="G153:G165" si="110">E153*$G$10</f>
        <v>0</v>
      </c>
      <c r="H153" s="36"/>
      <c r="I153" s="36">
        <f t="shared" ref="I153:I165" si="111">+E153+F153-G153-H153</f>
        <v>134541.11666666667</v>
      </c>
      <c r="J153" s="36">
        <f t="shared" ref="J153:J165" si="112">+I153+(I153*$I$4)</f>
        <v>161449.34</v>
      </c>
      <c r="K153" s="36">
        <v>161449.34</v>
      </c>
      <c r="L153" s="37">
        <v>41162</v>
      </c>
      <c r="M153" s="116">
        <v>41184</v>
      </c>
      <c r="N153" s="92">
        <f t="shared" ref="N153:N165" si="113">-IF(L153=0,,IF(M153=0,($C$10-L153),M153-L153))</f>
        <v>-22</v>
      </c>
      <c r="O153" s="36">
        <f t="shared" ref="O153:O165" si="114">+J153-K153</f>
        <v>0</v>
      </c>
      <c r="P153" s="36" t="e">
        <f t="shared" ref="P153:P165" si="115">+IF($C$10&lt;L153,0,O153)</f>
        <v>#REF!</v>
      </c>
      <c r="Q153" s="39"/>
      <c r="R153" s="40">
        <f t="shared" ref="R153:R165" si="116">IF(N153&gt;=0,0,(IF(-N153&lt;=60,O153,0)))</f>
        <v>0</v>
      </c>
      <c r="S153" s="40">
        <f t="shared" ref="S153:S165" si="117">IF(N153&gt;=0,0,(IF(N153&gt;=-60,0,IF(-60&gt;=N153,IF(N153&gt;=-120,O153,0)))))</f>
        <v>0</v>
      </c>
      <c r="T153" s="40">
        <f t="shared" ref="T153:T165" si="118">IF(N153&gt;=0,0,(IF(N153&gt;-60,0,IF(-60&gt;=N153,IF(N153&gt;=-120,0,IF(N153&gt;=-180,O153,0))))))</f>
        <v>0</v>
      </c>
      <c r="U153" s="40">
        <f t="shared" ref="U153:U165" si="119">IF(N153&gt;=0,0,(IF(N153&gt;-60,0,IF(-60&gt;=N153,IF(N153&gt;-120,0,IF(N153&gt;=-180,0,IF(N153&gt;=-365,O153,0)))))))</f>
        <v>0</v>
      </c>
      <c r="V153" s="40">
        <f t="shared" ref="V153:V165" si="120">IF(N153&gt;=0,0,IF(365&lt;-N153,O153,0))</f>
        <v>0</v>
      </c>
    </row>
    <row r="154" spans="1:22" ht="19.5" customHeight="1">
      <c r="A154" s="41" t="s">
        <v>66</v>
      </c>
      <c r="B154" s="41"/>
      <c r="C154" s="43">
        <v>41090</v>
      </c>
      <c r="D154" s="44"/>
      <c r="E154" s="36">
        <v>179081.28333333335</v>
      </c>
      <c r="F154" s="36">
        <f t="shared" si="109"/>
        <v>0</v>
      </c>
      <c r="G154" s="36">
        <f t="shared" si="110"/>
        <v>0</v>
      </c>
      <c r="H154" s="36"/>
      <c r="I154" s="36">
        <f t="shared" si="111"/>
        <v>179081.28333333335</v>
      </c>
      <c r="J154" s="36">
        <f t="shared" si="112"/>
        <v>214897.54000000004</v>
      </c>
      <c r="K154" s="36">
        <v>214897.54</v>
      </c>
      <c r="L154" s="37">
        <v>41192</v>
      </c>
      <c r="M154" s="116">
        <v>41215</v>
      </c>
      <c r="N154" s="92">
        <f t="shared" si="113"/>
        <v>-23</v>
      </c>
      <c r="O154" s="36">
        <f t="shared" si="114"/>
        <v>0</v>
      </c>
      <c r="P154" s="36" t="e">
        <f t="shared" si="115"/>
        <v>#REF!</v>
      </c>
      <c r="Q154" s="39"/>
      <c r="R154" s="40">
        <f t="shared" si="116"/>
        <v>0</v>
      </c>
      <c r="S154" s="40">
        <f t="shared" si="117"/>
        <v>0</v>
      </c>
      <c r="T154" s="40">
        <f t="shared" si="118"/>
        <v>0</v>
      </c>
      <c r="U154" s="40">
        <f t="shared" si="119"/>
        <v>0</v>
      </c>
      <c r="V154" s="40">
        <f t="shared" si="120"/>
        <v>0</v>
      </c>
    </row>
    <row r="155" spans="1:22" ht="19.5" customHeight="1">
      <c r="A155" s="41" t="s">
        <v>66</v>
      </c>
      <c r="B155" s="41"/>
      <c r="C155" s="43">
        <v>41121</v>
      </c>
      <c r="D155" s="44"/>
      <c r="E155" s="36">
        <v>159359.75833333333</v>
      </c>
      <c r="F155" s="36">
        <f t="shared" si="109"/>
        <v>0</v>
      </c>
      <c r="G155" s="36">
        <f t="shared" si="110"/>
        <v>0</v>
      </c>
      <c r="H155" s="36"/>
      <c r="I155" s="36">
        <f t="shared" si="111"/>
        <v>159359.75833333333</v>
      </c>
      <c r="J155" s="36">
        <f t="shared" si="112"/>
        <v>191231.71</v>
      </c>
      <c r="K155" s="36">
        <v>191231.71</v>
      </c>
      <c r="L155" s="37">
        <v>41223</v>
      </c>
      <c r="M155" s="116">
        <v>41245</v>
      </c>
      <c r="N155" s="92">
        <f t="shared" si="113"/>
        <v>-22</v>
      </c>
      <c r="O155" s="36">
        <f t="shared" si="114"/>
        <v>0</v>
      </c>
      <c r="P155" s="36" t="e">
        <f t="shared" si="115"/>
        <v>#REF!</v>
      </c>
      <c r="Q155" s="39"/>
      <c r="R155" s="40">
        <f t="shared" si="116"/>
        <v>0</v>
      </c>
      <c r="S155" s="40">
        <f t="shared" si="117"/>
        <v>0</v>
      </c>
      <c r="T155" s="40">
        <f t="shared" si="118"/>
        <v>0</v>
      </c>
      <c r="U155" s="40">
        <f t="shared" si="119"/>
        <v>0</v>
      </c>
      <c r="V155" s="40">
        <f t="shared" si="120"/>
        <v>0</v>
      </c>
    </row>
    <row r="156" spans="1:22" ht="19.5" customHeight="1">
      <c r="A156" s="41" t="s">
        <v>66</v>
      </c>
      <c r="B156" s="41"/>
      <c r="C156" s="43">
        <v>41152</v>
      </c>
      <c r="D156" s="44"/>
      <c r="E156" s="36">
        <v>162345.1166666667</v>
      </c>
      <c r="F156" s="36">
        <f t="shared" si="109"/>
        <v>0</v>
      </c>
      <c r="G156" s="36">
        <f t="shared" si="110"/>
        <v>0</v>
      </c>
      <c r="H156" s="36"/>
      <c r="I156" s="36">
        <f t="shared" si="111"/>
        <v>162345.1166666667</v>
      </c>
      <c r="J156" s="36">
        <f t="shared" si="112"/>
        <v>194814.14000000004</v>
      </c>
      <c r="K156" s="36">
        <v>194814.14</v>
      </c>
      <c r="L156" s="37">
        <v>41243</v>
      </c>
      <c r="M156" s="116"/>
      <c r="N156" s="92" t="e">
        <f t="shared" si="113"/>
        <v>#REF!</v>
      </c>
      <c r="O156" s="36">
        <f t="shared" si="114"/>
        <v>0</v>
      </c>
      <c r="P156" s="36" t="e">
        <f t="shared" si="115"/>
        <v>#REF!</v>
      </c>
      <c r="Q156" s="39"/>
      <c r="R156" s="40" t="e">
        <f t="shared" si="116"/>
        <v>#REF!</v>
      </c>
      <c r="S156" s="40" t="e">
        <f t="shared" si="117"/>
        <v>#REF!</v>
      </c>
      <c r="T156" s="40" t="e">
        <f t="shared" si="118"/>
        <v>#REF!</v>
      </c>
      <c r="U156" s="40" t="e">
        <f t="shared" si="119"/>
        <v>#REF!</v>
      </c>
      <c r="V156" s="40" t="e">
        <f t="shared" si="120"/>
        <v>#REF!</v>
      </c>
    </row>
    <row r="157" spans="1:22" ht="19.5" customHeight="1">
      <c r="A157" s="41" t="s">
        <v>66</v>
      </c>
      <c r="B157" s="41"/>
      <c r="C157" s="43">
        <v>41182</v>
      </c>
      <c r="D157" s="44"/>
      <c r="E157" s="36">
        <v>219298.80000000002</v>
      </c>
      <c r="F157" s="36">
        <f t="shared" si="109"/>
        <v>0</v>
      </c>
      <c r="G157" s="36">
        <f t="shared" si="110"/>
        <v>0</v>
      </c>
      <c r="H157" s="36"/>
      <c r="I157" s="36">
        <f t="shared" si="111"/>
        <v>219298.80000000002</v>
      </c>
      <c r="J157" s="36">
        <f t="shared" si="112"/>
        <v>263158.56000000006</v>
      </c>
      <c r="K157" s="36">
        <v>263158.56</v>
      </c>
      <c r="L157" s="37">
        <v>41274</v>
      </c>
      <c r="M157" s="116"/>
      <c r="N157" s="92" t="e">
        <f t="shared" si="113"/>
        <v>#REF!</v>
      </c>
      <c r="O157" s="36">
        <f t="shared" si="114"/>
        <v>0</v>
      </c>
      <c r="P157" s="36" t="e">
        <f t="shared" si="115"/>
        <v>#REF!</v>
      </c>
      <c r="Q157" s="39"/>
      <c r="R157" s="40" t="e">
        <f t="shared" si="116"/>
        <v>#REF!</v>
      </c>
      <c r="S157" s="40" t="e">
        <f t="shared" si="117"/>
        <v>#REF!</v>
      </c>
      <c r="T157" s="40" t="e">
        <f t="shared" si="118"/>
        <v>#REF!</v>
      </c>
      <c r="U157" s="40" t="e">
        <f t="shared" si="119"/>
        <v>#REF!</v>
      </c>
      <c r="V157" s="40" t="e">
        <f t="shared" si="120"/>
        <v>#REF!</v>
      </c>
    </row>
    <row r="158" spans="1:22" ht="19.5" customHeight="1">
      <c r="A158" s="41" t="s">
        <v>66</v>
      </c>
      <c r="B158" s="41"/>
      <c r="C158" s="43">
        <v>41182</v>
      </c>
      <c r="D158" s="44"/>
      <c r="E158" s="36">
        <v>10913.050000000001</v>
      </c>
      <c r="F158" s="36">
        <f t="shared" si="109"/>
        <v>0</v>
      </c>
      <c r="G158" s="36">
        <f t="shared" si="110"/>
        <v>0</v>
      </c>
      <c r="H158" s="36"/>
      <c r="I158" s="36">
        <f t="shared" si="111"/>
        <v>10913.050000000001</v>
      </c>
      <c r="J158" s="36">
        <f t="shared" si="112"/>
        <v>13095.660000000002</v>
      </c>
      <c r="K158" s="36">
        <v>13095.66</v>
      </c>
      <c r="L158" s="37">
        <v>41274</v>
      </c>
      <c r="M158" s="116">
        <v>41470</v>
      </c>
      <c r="N158" s="92">
        <f t="shared" si="113"/>
        <v>-196</v>
      </c>
      <c r="O158" s="36">
        <f t="shared" si="114"/>
        <v>0</v>
      </c>
      <c r="P158" s="36" t="e">
        <f t="shared" si="115"/>
        <v>#REF!</v>
      </c>
      <c r="Q158" s="39"/>
      <c r="R158" s="40">
        <f t="shared" si="116"/>
        <v>0</v>
      </c>
      <c r="S158" s="40">
        <f t="shared" si="117"/>
        <v>0</v>
      </c>
      <c r="T158" s="40">
        <f t="shared" si="118"/>
        <v>0</v>
      </c>
      <c r="U158" s="40">
        <f t="shared" si="119"/>
        <v>0</v>
      </c>
      <c r="V158" s="40">
        <f t="shared" si="120"/>
        <v>0</v>
      </c>
    </row>
    <row r="159" spans="1:22" ht="19.5" customHeight="1">
      <c r="A159" s="41" t="s">
        <v>66</v>
      </c>
      <c r="B159" s="41"/>
      <c r="C159" s="43">
        <v>41213</v>
      </c>
      <c r="D159" s="44"/>
      <c r="E159" s="36">
        <v>186468.2416666667</v>
      </c>
      <c r="F159" s="36">
        <f t="shared" si="109"/>
        <v>0</v>
      </c>
      <c r="G159" s="36">
        <f t="shared" si="110"/>
        <v>0</v>
      </c>
      <c r="H159" s="36"/>
      <c r="I159" s="36">
        <f t="shared" si="111"/>
        <v>186468.2416666667</v>
      </c>
      <c r="J159" s="36">
        <f t="shared" si="112"/>
        <v>223761.89000000004</v>
      </c>
      <c r="K159" s="36">
        <v>223761.89</v>
      </c>
      <c r="L159" s="37">
        <v>41305</v>
      </c>
      <c r="M159" s="116">
        <v>41470</v>
      </c>
      <c r="N159" s="92">
        <f t="shared" si="113"/>
        <v>-165</v>
      </c>
      <c r="O159" s="36">
        <f t="shared" si="114"/>
        <v>0</v>
      </c>
      <c r="P159" s="36" t="e">
        <f t="shared" si="115"/>
        <v>#REF!</v>
      </c>
      <c r="Q159" s="39"/>
      <c r="R159" s="40">
        <f t="shared" si="116"/>
        <v>0</v>
      </c>
      <c r="S159" s="40">
        <f t="shared" si="117"/>
        <v>0</v>
      </c>
      <c r="T159" s="40">
        <f t="shared" si="118"/>
        <v>0</v>
      </c>
      <c r="U159" s="40">
        <f t="shared" si="119"/>
        <v>0</v>
      </c>
      <c r="V159" s="40">
        <f t="shared" si="120"/>
        <v>0</v>
      </c>
    </row>
    <row r="160" spans="1:22" ht="19.5" customHeight="1">
      <c r="A160" s="41" t="s">
        <v>66</v>
      </c>
      <c r="B160" s="41"/>
      <c r="C160" s="43">
        <v>41213</v>
      </c>
      <c r="D160" s="44"/>
      <c r="E160" s="36">
        <v>22024.058333333334</v>
      </c>
      <c r="F160" s="36">
        <f t="shared" si="109"/>
        <v>0</v>
      </c>
      <c r="G160" s="36">
        <f t="shared" si="110"/>
        <v>0</v>
      </c>
      <c r="H160" s="36"/>
      <c r="I160" s="36">
        <f t="shared" si="111"/>
        <v>22024.058333333334</v>
      </c>
      <c r="J160" s="36">
        <f t="shared" si="112"/>
        <v>26428.870000000003</v>
      </c>
      <c r="K160" s="36">
        <v>26428.87</v>
      </c>
      <c r="L160" s="37">
        <v>41305</v>
      </c>
      <c r="M160" s="116">
        <v>41470</v>
      </c>
      <c r="N160" s="92">
        <f t="shared" si="113"/>
        <v>-165</v>
      </c>
      <c r="O160" s="36">
        <f t="shared" si="114"/>
        <v>0</v>
      </c>
      <c r="P160" s="36" t="e">
        <f t="shared" si="115"/>
        <v>#REF!</v>
      </c>
      <c r="Q160" s="39"/>
      <c r="R160" s="40">
        <f t="shared" si="116"/>
        <v>0</v>
      </c>
      <c r="S160" s="40">
        <f t="shared" si="117"/>
        <v>0</v>
      </c>
      <c r="T160" s="40">
        <f t="shared" si="118"/>
        <v>0</v>
      </c>
      <c r="U160" s="40">
        <f t="shared" si="119"/>
        <v>0</v>
      </c>
      <c r="V160" s="40">
        <f t="shared" si="120"/>
        <v>0</v>
      </c>
    </row>
    <row r="161" spans="1:22" ht="19.5" customHeight="1">
      <c r="A161" s="41" t="s">
        <v>66</v>
      </c>
      <c r="B161" s="41"/>
      <c r="C161" s="43">
        <v>41243</v>
      </c>
      <c r="D161" s="44"/>
      <c r="E161" s="36">
        <v>162998.64166666666</v>
      </c>
      <c r="F161" s="36">
        <f t="shared" si="109"/>
        <v>0</v>
      </c>
      <c r="G161" s="36">
        <f t="shared" si="110"/>
        <v>0</v>
      </c>
      <c r="H161" s="36"/>
      <c r="I161" s="36">
        <f t="shared" si="111"/>
        <v>162998.64166666666</v>
      </c>
      <c r="J161" s="36">
        <f t="shared" si="112"/>
        <v>195598.37</v>
      </c>
      <c r="K161" s="36">
        <v>195598.37</v>
      </c>
      <c r="L161" s="37">
        <v>41333</v>
      </c>
      <c r="M161" s="116">
        <v>41366</v>
      </c>
      <c r="N161" s="92">
        <f t="shared" si="113"/>
        <v>-33</v>
      </c>
      <c r="O161" s="36">
        <f t="shared" si="114"/>
        <v>0</v>
      </c>
      <c r="P161" s="36" t="e">
        <f t="shared" si="115"/>
        <v>#REF!</v>
      </c>
      <c r="Q161" s="39"/>
      <c r="R161" s="40">
        <f t="shared" si="116"/>
        <v>0</v>
      </c>
      <c r="S161" s="40">
        <f t="shared" si="117"/>
        <v>0</v>
      </c>
      <c r="T161" s="40">
        <f t="shared" si="118"/>
        <v>0</v>
      </c>
      <c r="U161" s="40">
        <f t="shared" si="119"/>
        <v>0</v>
      </c>
      <c r="V161" s="40">
        <f t="shared" si="120"/>
        <v>0</v>
      </c>
    </row>
    <row r="162" spans="1:22" ht="19.5" customHeight="1">
      <c r="A162" s="41" t="s">
        <v>66</v>
      </c>
      <c r="B162" s="41"/>
      <c r="C162" s="43">
        <v>41243</v>
      </c>
      <c r="D162" s="44"/>
      <c r="E162" s="36">
        <v>13760.241666666669</v>
      </c>
      <c r="F162" s="36">
        <f t="shared" si="109"/>
        <v>0</v>
      </c>
      <c r="G162" s="36">
        <f t="shared" si="110"/>
        <v>0</v>
      </c>
      <c r="H162" s="36"/>
      <c r="I162" s="36">
        <f t="shared" si="111"/>
        <v>13760.241666666669</v>
      </c>
      <c r="J162" s="36">
        <f t="shared" si="112"/>
        <v>16512.29</v>
      </c>
      <c r="K162" s="36">
        <v>16512.29</v>
      </c>
      <c r="L162" s="37">
        <v>41333</v>
      </c>
      <c r="M162" s="116">
        <v>41366</v>
      </c>
      <c r="N162" s="92">
        <f t="shared" si="113"/>
        <v>-33</v>
      </c>
      <c r="O162" s="36">
        <f t="shared" si="114"/>
        <v>0</v>
      </c>
      <c r="P162" s="36" t="e">
        <f t="shared" si="115"/>
        <v>#REF!</v>
      </c>
      <c r="Q162" s="39"/>
      <c r="R162" s="40">
        <f t="shared" si="116"/>
        <v>0</v>
      </c>
      <c r="S162" s="40">
        <f t="shared" si="117"/>
        <v>0</v>
      </c>
      <c r="T162" s="40">
        <f t="shared" si="118"/>
        <v>0</v>
      </c>
      <c r="U162" s="40">
        <f t="shared" si="119"/>
        <v>0</v>
      </c>
      <c r="V162" s="40">
        <f t="shared" si="120"/>
        <v>0</v>
      </c>
    </row>
    <row r="163" spans="1:22" ht="19.5" customHeight="1">
      <c r="A163" s="41" t="s">
        <v>66</v>
      </c>
      <c r="B163" s="41"/>
      <c r="C163" s="43">
        <v>41243</v>
      </c>
      <c r="D163" s="44"/>
      <c r="E163" s="36">
        <v>5277.9583333333339</v>
      </c>
      <c r="F163" s="36">
        <f t="shared" si="109"/>
        <v>0</v>
      </c>
      <c r="G163" s="36">
        <f t="shared" si="110"/>
        <v>0</v>
      </c>
      <c r="H163" s="36"/>
      <c r="I163" s="36">
        <f t="shared" si="111"/>
        <v>5277.9583333333339</v>
      </c>
      <c r="J163" s="36">
        <f t="shared" si="112"/>
        <v>6333.5500000000011</v>
      </c>
      <c r="K163" s="36">
        <v>6333.55</v>
      </c>
      <c r="L163" s="37">
        <v>41333</v>
      </c>
      <c r="M163" s="116"/>
      <c r="N163" s="92" t="e">
        <f t="shared" si="113"/>
        <v>#REF!</v>
      </c>
      <c r="O163" s="36">
        <f t="shared" si="114"/>
        <v>0</v>
      </c>
      <c r="P163" s="36" t="e">
        <f t="shared" si="115"/>
        <v>#REF!</v>
      </c>
      <c r="Q163" s="39"/>
      <c r="R163" s="40" t="e">
        <f t="shared" si="116"/>
        <v>#REF!</v>
      </c>
      <c r="S163" s="40" t="e">
        <f t="shared" si="117"/>
        <v>#REF!</v>
      </c>
      <c r="T163" s="40" t="e">
        <f t="shared" si="118"/>
        <v>#REF!</v>
      </c>
      <c r="U163" s="40" t="e">
        <f t="shared" si="119"/>
        <v>#REF!</v>
      </c>
      <c r="V163" s="40" t="e">
        <f t="shared" si="120"/>
        <v>#REF!</v>
      </c>
    </row>
    <row r="164" spans="1:22" ht="19.5" customHeight="1">
      <c r="A164" s="41" t="s">
        <v>66</v>
      </c>
      <c r="B164" s="41"/>
      <c r="C164" s="43">
        <v>41274</v>
      </c>
      <c r="D164" s="44"/>
      <c r="E164" s="36">
        <v>290139.35833333334</v>
      </c>
      <c r="F164" s="36">
        <f t="shared" si="109"/>
        <v>0</v>
      </c>
      <c r="G164" s="36">
        <f t="shared" si="110"/>
        <v>0</v>
      </c>
      <c r="H164" s="36"/>
      <c r="I164" s="36">
        <f t="shared" si="111"/>
        <v>290139.35833333334</v>
      </c>
      <c r="J164" s="36">
        <f t="shared" si="112"/>
        <v>348167.23</v>
      </c>
      <c r="K164" s="36">
        <v>348167.23</v>
      </c>
      <c r="L164" s="37">
        <v>41364</v>
      </c>
      <c r="M164" s="116">
        <v>41396</v>
      </c>
      <c r="N164" s="92">
        <f t="shared" si="113"/>
        <v>-32</v>
      </c>
      <c r="O164" s="36">
        <f t="shared" si="114"/>
        <v>0</v>
      </c>
      <c r="P164" s="36" t="e">
        <f t="shared" si="115"/>
        <v>#REF!</v>
      </c>
      <c r="Q164" s="39"/>
      <c r="R164" s="40">
        <f t="shared" si="116"/>
        <v>0</v>
      </c>
      <c r="S164" s="40">
        <f t="shared" si="117"/>
        <v>0</v>
      </c>
      <c r="T164" s="40">
        <f t="shared" si="118"/>
        <v>0</v>
      </c>
      <c r="U164" s="40">
        <f t="shared" si="119"/>
        <v>0</v>
      </c>
      <c r="V164" s="40">
        <f t="shared" si="120"/>
        <v>0</v>
      </c>
    </row>
    <row r="165" spans="1:22" ht="19.5" customHeight="1">
      <c r="A165" s="41" t="s">
        <v>66</v>
      </c>
      <c r="B165" s="41"/>
      <c r="C165" s="43">
        <v>41274</v>
      </c>
      <c r="D165" s="44"/>
      <c r="E165" s="36">
        <v>27352.816666666666</v>
      </c>
      <c r="F165" s="36">
        <f t="shared" si="109"/>
        <v>0</v>
      </c>
      <c r="G165" s="36">
        <f t="shared" si="110"/>
        <v>0</v>
      </c>
      <c r="H165" s="36"/>
      <c r="I165" s="36">
        <f t="shared" si="111"/>
        <v>27352.816666666666</v>
      </c>
      <c r="J165" s="36">
        <f t="shared" si="112"/>
        <v>32823.379999999997</v>
      </c>
      <c r="K165" s="36">
        <v>32823.379999999997</v>
      </c>
      <c r="L165" s="37">
        <v>41364</v>
      </c>
      <c r="M165" s="116">
        <v>41396</v>
      </c>
      <c r="N165" s="92">
        <f t="shared" si="113"/>
        <v>-32</v>
      </c>
      <c r="O165" s="36">
        <f t="shared" si="114"/>
        <v>0</v>
      </c>
      <c r="P165" s="36" t="e">
        <f t="shared" si="115"/>
        <v>#REF!</v>
      </c>
      <c r="Q165" s="39"/>
      <c r="R165" s="40">
        <f t="shared" si="116"/>
        <v>0</v>
      </c>
      <c r="S165" s="40">
        <f t="shared" si="117"/>
        <v>0</v>
      </c>
      <c r="T165" s="40">
        <f t="shared" si="118"/>
        <v>0</v>
      </c>
      <c r="U165" s="40">
        <f t="shared" si="119"/>
        <v>0</v>
      </c>
      <c r="V165" s="40">
        <f t="shared" si="120"/>
        <v>0</v>
      </c>
    </row>
    <row r="166" spans="1:22" s="99" customFormat="1" ht="19.5" customHeight="1">
      <c r="A166" s="104"/>
      <c r="B166" s="104"/>
      <c r="C166" s="106"/>
      <c r="D166" s="107"/>
      <c r="E166" s="108">
        <f t="shared" ref="E166:K166" si="121">SUM(E153:E165)</f>
        <v>1573560.4416666667</v>
      </c>
      <c r="F166" s="108">
        <f t="shared" si="121"/>
        <v>0</v>
      </c>
      <c r="G166" s="108">
        <f t="shared" si="121"/>
        <v>0</v>
      </c>
      <c r="H166" s="108">
        <f t="shared" si="121"/>
        <v>0</v>
      </c>
      <c r="I166" s="108">
        <f t="shared" si="121"/>
        <v>1573560.4416666667</v>
      </c>
      <c r="J166" s="113">
        <f t="shared" si="121"/>
        <v>1888272.53</v>
      </c>
      <c r="K166" s="113">
        <f t="shared" si="121"/>
        <v>1888272.53</v>
      </c>
      <c r="L166" s="109"/>
      <c r="M166" s="109"/>
      <c r="N166" s="110"/>
      <c r="O166" s="108">
        <f>SUM(O153:O165)</f>
        <v>0</v>
      </c>
      <c r="P166" s="108" t="e">
        <f>SUM(P153:P165)</f>
        <v>#REF!</v>
      </c>
      <c r="Q166" s="111"/>
      <c r="R166" s="112" t="e">
        <f>SUM(R153:R165)</f>
        <v>#REF!</v>
      </c>
      <c r="S166" s="112" t="e">
        <f>SUM(S153:S165)</f>
        <v>#REF!</v>
      </c>
      <c r="T166" s="112" t="e">
        <f>SUM(T153:T165)</f>
        <v>#REF!</v>
      </c>
      <c r="U166" s="112" t="e">
        <f>SUM(U153:U165)</f>
        <v>#REF!</v>
      </c>
      <c r="V166" s="112" t="e">
        <f>SUM(V153:V165)</f>
        <v>#REF!</v>
      </c>
    </row>
    <row r="167" spans="1:22" ht="19.5" customHeight="1">
      <c r="A167" s="41" t="s">
        <v>77</v>
      </c>
      <c r="B167" s="41"/>
      <c r="C167" s="43">
        <v>40939</v>
      </c>
      <c r="D167" s="44"/>
      <c r="E167" s="36">
        <v>76523.758333333331</v>
      </c>
      <c r="F167" s="36">
        <f>-E167*$F$10</f>
        <v>0</v>
      </c>
      <c r="G167" s="36">
        <f>E167*$G$10</f>
        <v>0</v>
      </c>
      <c r="H167" s="36"/>
      <c r="I167" s="36">
        <f>+E167+F167-G167-H167</f>
        <v>76523.758333333331</v>
      </c>
      <c r="J167" s="36">
        <f>+I167+(I167*$I$4)</f>
        <v>91828.51</v>
      </c>
      <c r="K167" s="36">
        <v>91828.51</v>
      </c>
      <c r="L167" s="37">
        <v>41039</v>
      </c>
      <c r="M167" s="37">
        <v>41065</v>
      </c>
      <c r="N167" s="92">
        <f>-IF(L167=0,,IF(M167=0,($C$10-L167),M167-L167))</f>
        <v>-26</v>
      </c>
      <c r="O167" s="36">
        <f>+J167-K167</f>
        <v>0</v>
      </c>
      <c r="P167" s="36" t="e">
        <f>+IF($C$10&lt;L167,0,O167)</f>
        <v>#REF!</v>
      </c>
      <c r="Q167" s="39"/>
      <c r="R167" s="40">
        <f>IF(N167&gt;=0,0,(IF(-N167&lt;=60,O167,0)))</f>
        <v>0</v>
      </c>
      <c r="S167" s="40">
        <f>IF(N167&gt;=0,0,(IF(N167&gt;=-60,0,IF(-60&gt;=N167,IF(N167&gt;=-120,O167,0)))))</f>
        <v>0</v>
      </c>
      <c r="T167" s="40">
        <f>IF(N167&gt;=0,0,(IF(N167&gt;-60,0,IF(-60&gt;=N167,IF(N167&gt;=-120,0,IF(N167&gt;=-180,O167,0))))))</f>
        <v>0</v>
      </c>
      <c r="U167" s="40">
        <f>IF(N167&gt;=0,0,(IF(N167&gt;-60,0,IF(-60&gt;=N167,IF(N167&gt;-120,0,IF(N167&gt;=-180,0,IF(N167&gt;=-365,O167,0)))))))</f>
        <v>0</v>
      </c>
      <c r="V167" s="40">
        <f>IF(N167&gt;=0,0,IF(365&lt;-N167,O167,0))</f>
        <v>0</v>
      </c>
    </row>
    <row r="168" spans="1:22" ht="19.5" customHeight="1">
      <c r="A168" s="41" t="s">
        <v>77</v>
      </c>
      <c r="B168" s="41"/>
      <c r="C168" s="43">
        <v>40999</v>
      </c>
      <c r="D168" s="44"/>
      <c r="E168" s="36">
        <v>12559.841666666667</v>
      </c>
      <c r="F168" s="36">
        <f>-E168*$F$10</f>
        <v>0</v>
      </c>
      <c r="G168" s="36">
        <f>E168*$G$10</f>
        <v>0</v>
      </c>
      <c r="H168" s="36"/>
      <c r="I168" s="36">
        <f>+E168+F168-G168-H168</f>
        <v>12559.841666666667</v>
      </c>
      <c r="J168" s="36">
        <f>+I168+(I168*$I$4)</f>
        <v>15071.810000000001</v>
      </c>
      <c r="K168" s="36">
        <v>15071.81</v>
      </c>
      <c r="L168" s="37">
        <v>41100</v>
      </c>
      <c r="M168" s="37">
        <v>41157</v>
      </c>
      <c r="N168" s="92">
        <f>-IF(L168=0,,IF(M168=0,($C$10-L168),M168-L168))</f>
        <v>-57</v>
      </c>
      <c r="O168" s="36">
        <f>+J168-K168</f>
        <v>0</v>
      </c>
      <c r="P168" s="36" t="e">
        <f>+IF($C$10&lt;L168,0,O168)</f>
        <v>#REF!</v>
      </c>
      <c r="Q168" s="39"/>
      <c r="R168" s="40">
        <f>IF(N168&gt;=0,0,(IF(-N168&lt;=60,O168,0)))</f>
        <v>0</v>
      </c>
      <c r="S168" s="40">
        <f>IF(N168&gt;=0,0,(IF(N168&gt;=-60,0,IF(-60&gt;=N168,IF(N168&gt;=-120,O168,0)))))</f>
        <v>0</v>
      </c>
      <c r="T168" s="40">
        <f>IF(N168&gt;=0,0,(IF(N168&gt;-60,0,IF(-60&gt;=N168,IF(N168&gt;=-120,0,IF(N168&gt;=-180,O168,0))))))</f>
        <v>0</v>
      </c>
      <c r="U168" s="40">
        <f>IF(N168&gt;=0,0,(IF(N168&gt;-60,0,IF(-60&gt;=N168,IF(N168&gt;-120,0,IF(N168&gt;=-180,0,IF(N168&gt;=-365,O168,0)))))))</f>
        <v>0</v>
      </c>
      <c r="V168" s="40">
        <f>IF(N168&gt;=0,0,IF(365&lt;-N168,O168,0))</f>
        <v>0</v>
      </c>
    </row>
    <row r="169" spans="1:22" ht="19.5" customHeight="1">
      <c r="A169" s="41" t="s">
        <v>77</v>
      </c>
      <c r="B169" s="42"/>
      <c r="C169" s="43">
        <v>41029</v>
      </c>
      <c r="D169" s="44"/>
      <c r="E169" s="36">
        <v>24345.041666666668</v>
      </c>
      <c r="F169" s="36">
        <f>-E169*$F$10</f>
        <v>0</v>
      </c>
      <c r="G169" s="36">
        <f>E169*$G$10</f>
        <v>0</v>
      </c>
      <c r="H169" s="36"/>
      <c r="I169" s="36">
        <f>+E169+F169-G169-H169</f>
        <v>24345.041666666668</v>
      </c>
      <c r="J169" s="36">
        <f>+I169+(I169*$I$4)</f>
        <v>29214.050000000003</v>
      </c>
      <c r="K169" s="36">
        <v>29214.05</v>
      </c>
      <c r="L169" s="37">
        <v>41131</v>
      </c>
      <c r="M169" s="37">
        <v>41157</v>
      </c>
      <c r="N169" s="92">
        <f>-IF(L169=0,,IF(M169=0,($C$10-L169),M169-L169))</f>
        <v>-26</v>
      </c>
      <c r="O169" s="36">
        <f>+J169-K169</f>
        <v>0</v>
      </c>
      <c r="P169" s="36" t="e">
        <f>+IF($C$10&lt;L169,0,O169)</f>
        <v>#REF!</v>
      </c>
      <c r="Q169" s="39"/>
      <c r="R169" s="40">
        <f>IF(N169&gt;=0,0,(IF(-N169&lt;=60,O169,0)))</f>
        <v>0</v>
      </c>
      <c r="S169" s="40">
        <f>IF(N169&gt;=0,0,(IF(N169&gt;=-60,0,IF(-60&gt;=N169,IF(N169&gt;=-120,O169,0)))))</f>
        <v>0</v>
      </c>
      <c r="T169" s="40">
        <f>IF(N169&gt;=0,0,(IF(N169&gt;-60,0,IF(-60&gt;=N169,IF(N169&gt;=-120,0,IF(N169&gt;=-180,O169,0))))))</f>
        <v>0</v>
      </c>
      <c r="U169" s="40">
        <f>IF(N169&gt;=0,0,(IF(N169&gt;-60,0,IF(-60&gt;=N169,IF(N169&gt;-120,0,IF(N169&gt;=-180,0,IF(N169&gt;=-365,O169,0)))))))</f>
        <v>0</v>
      </c>
      <c r="V169" s="40">
        <f>IF(N169&gt;=0,0,IF(365&lt;-N169,O169,0))</f>
        <v>0</v>
      </c>
    </row>
    <row r="170" spans="1:22" ht="19.5" customHeight="1">
      <c r="A170" s="41" t="s">
        <v>77</v>
      </c>
      <c r="B170" s="41"/>
      <c r="C170" s="43">
        <v>41090</v>
      </c>
      <c r="D170" s="44"/>
      <c r="E170" s="36">
        <v>55067.51666666667</v>
      </c>
      <c r="F170" s="36">
        <f>-E170*$F$10</f>
        <v>0</v>
      </c>
      <c r="G170" s="36">
        <f>E170*$G$10</f>
        <v>0</v>
      </c>
      <c r="H170" s="36"/>
      <c r="I170" s="36">
        <f>+E170+F170-G170-H170</f>
        <v>55067.51666666667</v>
      </c>
      <c r="J170" s="36">
        <f>+I170+(I170*$I$4)</f>
        <v>66081.02</v>
      </c>
      <c r="K170" s="36">
        <v>66081.02</v>
      </c>
      <c r="L170" s="37">
        <v>41192</v>
      </c>
      <c r="M170" s="37">
        <v>41248</v>
      </c>
      <c r="N170" s="92">
        <f>-IF(L170=0,,IF(M170=0,($C$10-L170),M170-L170))</f>
        <v>-56</v>
      </c>
      <c r="O170" s="36">
        <f>+J170-K170</f>
        <v>0</v>
      </c>
      <c r="P170" s="36" t="e">
        <f>+IF($C$10&lt;L170,0,O170)</f>
        <v>#REF!</v>
      </c>
      <c r="Q170" s="39"/>
      <c r="R170" s="40">
        <f>IF(N170&gt;=0,0,(IF(-N170&lt;=60,O170,0)))</f>
        <v>0</v>
      </c>
      <c r="S170" s="40">
        <f>IF(N170&gt;=0,0,(IF(N170&gt;=-60,0,IF(-60&gt;=N170,IF(N170&gt;=-120,O170,0)))))</f>
        <v>0</v>
      </c>
      <c r="T170" s="40">
        <f>IF(N170&gt;=0,0,(IF(N170&gt;-60,0,IF(-60&gt;=N170,IF(N170&gt;=-120,0,IF(N170&gt;=-180,O170,0))))))</f>
        <v>0</v>
      </c>
      <c r="U170" s="40">
        <f>IF(N170&gt;=0,0,(IF(N170&gt;-60,0,IF(-60&gt;=N170,IF(N170&gt;-120,0,IF(N170&gt;=-180,0,IF(N170&gt;=-365,O170,0)))))))</f>
        <v>0</v>
      </c>
      <c r="V170" s="40">
        <f>IF(N170&gt;=0,0,IF(365&lt;-N170,O170,0))</f>
        <v>0</v>
      </c>
    </row>
    <row r="171" spans="1:22" s="99" customFormat="1" ht="19.5" customHeight="1">
      <c r="A171" s="104"/>
      <c r="B171" s="104"/>
      <c r="C171" s="106"/>
      <c r="D171" s="107"/>
      <c r="E171" s="108">
        <f>SUM(E167:E170)</f>
        <v>168496.15833333335</v>
      </c>
      <c r="F171" s="108">
        <f t="shared" ref="F171:K171" si="122">SUM(F167:F170)</f>
        <v>0</v>
      </c>
      <c r="G171" s="108">
        <f t="shared" si="122"/>
        <v>0</v>
      </c>
      <c r="H171" s="108">
        <f t="shared" si="122"/>
        <v>0</v>
      </c>
      <c r="I171" s="108">
        <f t="shared" si="122"/>
        <v>168496.15833333335</v>
      </c>
      <c r="J171" s="113">
        <f t="shared" si="122"/>
        <v>202195.39</v>
      </c>
      <c r="K171" s="113">
        <f t="shared" si="122"/>
        <v>202195.39</v>
      </c>
      <c r="L171" s="109"/>
      <c r="M171" s="109"/>
      <c r="N171" s="110"/>
      <c r="O171" s="108">
        <f>SUM(O167:O170)</f>
        <v>0</v>
      </c>
      <c r="P171" s="108" t="e">
        <f>SUM(P167:P170)</f>
        <v>#REF!</v>
      </c>
      <c r="Q171" s="111"/>
      <c r="R171" s="112">
        <f>SUM(R167:R170)</f>
        <v>0</v>
      </c>
      <c r="S171" s="112">
        <f>SUM(S167:S170)</f>
        <v>0</v>
      </c>
      <c r="T171" s="112">
        <f>SUM(T167:T170)</f>
        <v>0</v>
      </c>
      <c r="U171" s="112">
        <f>SUM(U167:U170)</f>
        <v>0</v>
      </c>
      <c r="V171" s="112">
        <f>SUM(V167:V170)</f>
        <v>0</v>
      </c>
    </row>
    <row r="172" spans="1:22" ht="19.5" customHeight="1">
      <c r="A172" s="41" t="s">
        <v>84</v>
      </c>
      <c r="B172" s="41"/>
      <c r="C172" s="43">
        <v>40939</v>
      </c>
      <c r="D172" s="44"/>
      <c r="E172" s="36">
        <v>22159.316666666669</v>
      </c>
      <c r="F172" s="36">
        <f>-E172*$F$10</f>
        <v>0</v>
      </c>
      <c r="G172" s="36">
        <f>E172*$G$10</f>
        <v>0</v>
      </c>
      <c r="H172" s="36"/>
      <c r="I172" s="36">
        <f>+E172+F172-G172-H172</f>
        <v>22159.316666666669</v>
      </c>
      <c r="J172" s="36">
        <f>+I172+(I172*$I$4)</f>
        <v>26591.180000000004</v>
      </c>
      <c r="K172" s="36">
        <v>26591.180000000004</v>
      </c>
      <c r="L172" s="37">
        <v>41009</v>
      </c>
      <c r="M172" s="116">
        <v>41029</v>
      </c>
      <c r="N172" s="92">
        <f>-IF(L172=0,,IF(M172=0,($C$10-L172),M172-L172))</f>
        <v>-20</v>
      </c>
      <c r="O172" s="36">
        <f>+J172-K172</f>
        <v>0</v>
      </c>
      <c r="P172" s="36" t="e">
        <f>+IF($C$10&lt;L172,0,O172)</f>
        <v>#REF!</v>
      </c>
      <c r="Q172" s="39"/>
      <c r="R172" s="40">
        <f>IF(N172&gt;=0,0,(IF(-N172&lt;=60,O172,0)))</f>
        <v>0</v>
      </c>
      <c r="S172" s="40">
        <f>IF(N172&gt;=0,0,(IF(N172&gt;=-60,0,IF(-60&gt;=N172,IF(N172&gt;=-120,O172,0)))))</f>
        <v>0</v>
      </c>
      <c r="T172" s="40">
        <f>IF(N172&gt;=0,0,(IF(N172&gt;-60,0,IF(-60&gt;=N172,IF(N172&gt;=-120,0,IF(N172&gt;=-180,O172,0))))))</f>
        <v>0</v>
      </c>
      <c r="U172" s="40">
        <f>IF(N172&gt;=0,0,(IF(N172&gt;-60,0,IF(-60&gt;=N172,IF(N172&gt;-120,0,IF(N172&gt;=-180,0,IF(N172&gt;=-365,O172,0)))))))</f>
        <v>0</v>
      </c>
      <c r="V172" s="40">
        <f>IF(N172&gt;=0,0,IF(365&lt;-N172,O172,0))</f>
        <v>0</v>
      </c>
    </row>
    <row r="173" spans="1:22" s="99" customFormat="1" ht="19.5" customHeight="1">
      <c r="A173" s="104"/>
      <c r="B173" s="104"/>
      <c r="C173" s="106"/>
      <c r="D173" s="107"/>
      <c r="E173" s="108">
        <f t="shared" ref="E173:K173" si="123">SUM(E172:E172)</f>
        <v>22159.316666666669</v>
      </c>
      <c r="F173" s="108">
        <f t="shared" si="123"/>
        <v>0</v>
      </c>
      <c r="G173" s="108">
        <f t="shared" si="123"/>
        <v>0</v>
      </c>
      <c r="H173" s="108">
        <f t="shared" si="123"/>
        <v>0</v>
      </c>
      <c r="I173" s="108">
        <f t="shared" si="123"/>
        <v>22159.316666666669</v>
      </c>
      <c r="J173" s="113">
        <f t="shared" si="123"/>
        <v>26591.180000000004</v>
      </c>
      <c r="K173" s="113">
        <f t="shared" si="123"/>
        <v>26591.180000000004</v>
      </c>
      <c r="L173" s="109"/>
      <c r="M173" s="109"/>
      <c r="N173" s="110"/>
      <c r="O173" s="108">
        <f>SUM(O172:O172)</f>
        <v>0</v>
      </c>
      <c r="P173" s="108" t="e">
        <f>SUM(P172:P172)</f>
        <v>#REF!</v>
      </c>
      <c r="Q173" s="111"/>
      <c r="R173" s="112">
        <f>SUM(R172:R172)</f>
        <v>0</v>
      </c>
      <c r="S173" s="112">
        <f>SUM(S172:S172)</f>
        <v>0</v>
      </c>
      <c r="T173" s="112">
        <f>SUM(T172:T172)</f>
        <v>0</v>
      </c>
      <c r="U173" s="112">
        <f>SUM(U172:U172)</f>
        <v>0</v>
      </c>
      <c r="V173" s="112">
        <f>SUM(V172:V172)</f>
        <v>0</v>
      </c>
    </row>
    <row r="174" spans="1:22" ht="19.5" customHeight="1">
      <c r="A174" s="41" t="s">
        <v>68</v>
      </c>
      <c r="B174" s="41"/>
      <c r="C174" s="43">
        <v>41274</v>
      </c>
      <c r="D174" s="44"/>
      <c r="E174" s="36">
        <v>2071.3000000000002</v>
      </c>
      <c r="F174" s="36">
        <f>-E174*$F$10</f>
        <v>0</v>
      </c>
      <c r="G174" s="36">
        <f>E174*$G$10</f>
        <v>0</v>
      </c>
      <c r="H174" s="36"/>
      <c r="I174" s="36">
        <f>+E174+F174-G174-H174</f>
        <v>2071.3000000000002</v>
      </c>
      <c r="J174" s="36">
        <f>+I174+(I174*$I$4)</f>
        <v>2485.5600000000004</v>
      </c>
      <c r="K174" s="36">
        <v>2485.5600000000004</v>
      </c>
      <c r="L174" s="37">
        <v>41363</v>
      </c>
      <c r="M174" s="37">
        <v>41338</v>
      </c>
      <c r="N174" s="92">
        <f>-IF(L174=0,,IF(M174=0,($C$10-L174),M174-L174))</f>
        <v>25</v>
      </c>
      <c r="O174" s="36">
        <f>+J174-K174</f>
        <v>0</v>
      </c>
      <c r="P174" s="36" t="e">
        <f>+IF($C$10&lt;L174,0,O174)</f>
        <v>#REF!</v>
      </c>
      <c r="Q174" s="39"/>
      <c r="R174" s="40">
        <f>IF(N174&gt;=0,0,(IF(-N174&lt;=60,O174,0)))</f>
        <v>0</v>
      </c>
      <c r="S174" s="40">
        <f>IF(N174&gt;=0,0,(IF(N174&gt;=-60,0,IF(-60&gt;=N174,IF(N174&gt;=-120,O174,0)))))</f>
        <v>0</v>
      </c>
      <c r="T174" s="40">
        <f>IF(N174&gt;=0,0,(IF(N174&gt;-60,0,IF(-60&gt;=N174,IF(N174&gt;=-120,0,IF(N174&gt;=-180,O174,0))))))</f>
        <v>0</v>
      </c>
      <c r="U174" s="40">
        <f>IF(N174&gt;=0,0,(IF(N174&gt;-60,0,IF(-60&gt;=N174,IF(N174&gt;-120,0,IF(N174&gt;=-180,0,IF(N174&gt;=-365,O174,0)))))))</f>
        <v>0</v>
      </c>
      <c r="V174" s="40">
        <f>IF(N174&gt;=0,0,IF(365&lt;-N174,O174,0))</f>
        <v>0</v>
      </c>
    </row>
    <row r="175" spans="1:22" s="99" customFormat="1" ht="19.5" customHeight="1">
      <c r="A175" s="104"/>
      <c r="B175" s="104"/>
      <c r="C175" s="106"/>
      <c r="D175" s="107"/>
      <c r="E175" s="108">
        <f t="shared" ref="E175:K175" si="124">SUM(E174:E174)</f>
        <v>2071.3000000000002</v>
      </c>
      <c r="F175" s="108">
        <f t="shared" si="124"/>
        <v>0</v>
      </c>
      <c r="G175" s="108">
        <f t="shared" si="124"/>
        <v>0</v>
      </c>
      <c r="H175" s="108">
        <f t="shared" si="124"/>
        <v>0</v>
      </c>
      <c r="I175" s="108">
        <f t="shared" si="124"/>
        <v>2071.3000000000002</v>
      </c>
      <c r="J175" s="113">
        <f t="shared" si="124"/>
        <v>2485.5600000000004</v>
      </c>
      <c r="K175" s="113">
        <f t="shared" si="124"/>
        <v>2485.5600000000004</v>
      </c>
      <c r="L175" s="109"/>
      <c r="M175" s="109"/>
      <c r="N175" s="110"/>
      <c r="O175" s="108">
        <f>SUM(O174:O174)</f>
        <v>0</v>
      </c>
      <c r="P175" s="108" t="e">
        <f>SUM(P174:P174)</f>
        <v>#REF!</v>
      </c>
      <c r="Q175" s="111"/>
      <c r="R175" s="112">
        <f>SUM(R174:R174)</f>
        <v>0</v>
      </c>
      <c r="S175" s="112">
        <f>SUM(S174:S174)</f>
        <v>0</v>
      </c>
      <c r="T175" s="112">
        <f>SUM(T174:T174)</f>
        <v>0</v>
      </c>
      <c r="U175" s="112">
        <f>SUM(U174:U174)</f>
        <v>0</v>
      </c>
      <c r="V175" s="112">
        <f>SUM(V174:V174)</f>
        <v>0</v>
      </c>
    </row>
    <row r="176" spans="1:22" ht="19.5" customHeight="1">
      <c r="A176" s="41" t="s">
        <v>70</v>
      </c>
      <c r="B176" s="41"/>
      <c r="C176" s="43">
        <v>40939</v>
      </c>
      <c r="D176" s="44"/>
      <c r="E176" s="36">
        <v>8006.541666666667</v>
      </c>
      <c r="F176" s="36">
        <f>-E176*$F$10</f>
        <v>0</v>
      </c>
      <c r="G176" s="36">
        <f>E176*$G$10</f>
        <v>0</v>
      </c>
      <c r="H176" s="36"/>
      <c r="I176" s="36">
        <f>+E176+F176-G176-H176</f>
        <v>8006.541666666667</v>
      </c>
      <c r="J176" s="36">
        <f>+I176+(I176*$I$4)</f>
        <v>9607.85</v>
      </c>
      <c r="K176" s="36">
        <v>9607.85</v>
      </c>
      <c r="L176" s="37">
        <v>41039</v>
      </c>
      <c r="M176" s="37">
        <v>41029</v>
      </c>
      <c r="N176" s="92">
        <f>-IF(L176=0,,IF(M176=0,($C$10-L176),M176-L176))</f>
        <v>10</v>
      </c>
      <c r="O176" s="36">
        <f>+J176-K176</f>
        <v>0</v>
      </c>
      <c r="P176" s="36" t="e">
        <f>+IF($C$10&lt;L176,0,O176)</f>
        <v>#REF!</v>
      </c>
      <c r="Q176" s="39"/>
      <c r="R176" s="40">
        <f>IF(N176&gt;=0,0,(IF(-N176&lt;=60,O176,0)))</f>
        <v>0</v>
      </c>
      <c r="S176" s="40">
        <f>IF(N176&gt;=0,0,(IF(N176&gt;=-60,0,IF(-60&gt;=N176,IF(N176&gt;=-120,O176,0)))))</f>
        <v>0</v>
      </c>
      <c r="T176" s="40">
        <f>IF(N176&gt;=0,0,(IF(N176&gt;-60,0,IF(-60&gt;=N176,IF(N176&gt;=-120,0,IF(N176&gt;=-180,O176,0))))))</f>
        <v>0</v>
      </c>
      <c r="U176" s="40">
        <f>IF(N176&gt;=0,0,(IF(N176&gt;-60,0,IF(-60&gt;=N176,IF(N176&gt;-120,0,IF(N176&gt;=-180,0,IF(N176&gt;=-365,O176,0)))))))</f>
        <v>0</v>
      </c>
      <c r="V176" s="40">
        <f>IF(N176&gt;=0,0,IF(365&lt;-N176,O176,0))</f>
        <v>0</v>
      </c>
    </row>
    <row r="177" spans="1:22" ht="19.5" customHeight="1">
      <c r="A177" s="41" t="s">
        <v>70</v>
      </c>
      <c r="B177" s="41"/>
      <c r="C177" s="43">
        <v>40968</v>
      </c>
      <c r="D177" s="44"/>
      <c r="E177" s="36">
        <v>57423.26666666667</v>
      </c>
      <c r="F177" s="36">
        <f>-E177*$F$10</f>
        <v>0</v>
      </c>
      <c r="G177" s="36">
        <f>E177*$G$10</f>
        <v>0</v>
      </c>
      <c r="H177" s="36"/>
      <c r="I177" s="36">
        <f>+E177+F177-G177-H177</f>
        <v>57423.26666666667</v>
      </c>
      <c r="J177" s="36">
        <f>+I177+(I177*$I$4)</f>
        <v>68907.920000000013</v>
      </c>
      <c r="K177" s="36">
        <v>68907.920000000013</v>
      </c>
      <c r="L177" s="37">
        <v>41070</v>
      </c>
      <c r="M177" s="37">
        <v>41409</v>
      </c>
      <c r="N177" s="92">
        <f>-IF(L177=0,,IF(M177=0,($C$10-L177),M177-L177))</f>
        <v>-339</v>
      </c>
      <c r="O177" s="36">
        <f>+J177-K177</f>
        <v>0</v>
      </c>
      <c r="P177" s="36" t="e">
        <f>+IF($C$10&lt;L177,0,O177)</f>
        <v>#REF!</v>
      </c>
      <c r="Q177" s="39"/>
      <c r="R177" s="40">
        <f>IF(N177&gt;=0,0,(IF(-N177&lt;=60,O177,0)))</f>
        <v>0</v>
      </c>
      <c r="S177" s="40">
        <f>IF(N177&gt;=0,0,(IF(N177&gt;=-60,0,IF(-60&gt;=N177,IF(N177&gt;=-120,O177,0)))))</f>
        <v>0</v>
      </c>
      <c r="T177" s="40">
        <f>IF(N177&gt;=0,0,(IF(N177&gt;-60,0,IF(-60&gt;=N177,IF(N177&gt;=-120,0,IF(N177&gt;=-180,O177,0))))))</f>
        <v>0</v>
      </c>
      <c r="U177" s="40">
        <f>IF(N177&gt;=0,0,(IF(N177&gt;-60,0,IF(-60&gt;=N177,IF(N177&gt;-120,0,IF(N177&gt;=-180,0,IF(N177&gt;=-365,O177,0)))))))</f>
        <v>0</v>
      </c>
      <c r="V177" s="40">
        <f>IF(N177&gt;=0,0,IF(365&lt;-N177,O177,0))</f>
        <v>0</v>
      </c>
    </row>
    <row r="178" spans="1:22" ht="19.5" customHeight="1">
      <c r="A178" s="41" t="s">
        <v>70</v>
      </c>
      <c r="B178" s="41"/>
      <c r="C178" s="43">
        <v>40999</v>
      </c>
      <c r="D178" s="44"/>
      <c r="E178" s="36">
        <v>104757.80833333333</v>
      </c>
      <c r="F178" s="36">
        <f>-E178*$F$10</f>
        <v>0</v>
      </c>
      <c r="G178" s="36">
        <f>E178*$G$10</f>
        <v>0</v>
      </c>
      <c r="H178" s="36"/>
      <c r="I178" s="36">
        <f>+E178+F178-G178-H178</f>
        <v>104757.80833333333</v>
      </c>
      <c r="J178" s="36">
        <f>+I178+(I178*$I$4)</f>
        <v>125709.37</v>
      </c>
      <c r="K178" s="36">
        <v>125709.37</v>
      </c>
      <c r="L178" s="37">
        <v>41100</v>
      </c>
      <c r="M178" s="37">
        <v>41409</v>
      </c>
      <c r="N178" s="92">
        <f>-IF(L178=0,,IF(M178=0,($C$10-L178),M178-L178))</f>
        <v>-309</v>
      </c>
      <c r="O178" s="36">
        <f>+J178-K178</f>
        <v>0</v>
      </c>
      <c r="P178" s="36" t="e">
        <f>+IF($C$10&lt;L178,0,O178)</f>
        <v>#REF!</v>
      </c>
      <c r="Q178" s="39"/>
      <c r="R178" s="40">
        <f>IF(N178&gt;=0,0,(IF(-N178&lt;=60,O178,0)))</f>
        <v>0</v>
      </c>
      <c r="S178" s="40">
        <f>IF(N178&gt;=0,0,(IF(N178&gt;=-60,0,IF(-60&gt;=N178,IF(N178&gt;=-120,O178,0)))))</f>
        <v>0</v>
      </c>
      <c r="T178" s="40">
        <f>IF(N178&gt;=0,0,(IF(N178&gt;-60,0,IF(-60&gt;=N178,IF(N178&gt;=-120,0,IF(N178&gt;=-180,O178,0))))))</f>
        <v>0</v>
      </c>
      <c r="U178" s="40">
        <f>IF(N178&gt;=0,0,(IF(N178&gt;-60,0,IF(-60&gt;=N178,IF(N178&gt;-120,0,IF(N178&gt;=-180,0,IF(N178&gt;=-365,O178,0)))))))</f>
        <v>0</v>
      </c>
      <c r="V178" s="40">
        <f>IF(N178&gt;=0,0,IF(365&lt;-N178,O178,0))</f>
        <v>0</v>
      </c>
    </row>
    <row r="179" spans="1:22" s="99" customFormat="1" ht="13.5" customHeight="1">
      <c r="A179" s="104"/>
      <c r="B179" s="105"/>
      <c r="C179" s="106"/>
      <c r="D179" s="107"/>
      <c r="E179" s="108">
        <f>SUM(E176:E178)</f>
        <v>170187.61666666667</v>
      </c>
      <c r="F179" s="108">
        <f t="shared" ref="F179:K179" si="125">SUM(F176:F178)</f>
        <v>0</v>
      </c>
      <c r="G179" s="108">
        <f t="shared" si="125"/>
        <v>0</v>
      </c>
      <c r="H179" s="108">
        <f t="shared" si="125"/>
        <v>0</v>
      </c>
      <c r="I179" s="108">
        <f t="shared" si="125"/>
        <v>170187.61666666667</v>
      </c>
      <c r="J179" s="113">
        <f t="shared" si="125"/>
        <v>204225.14</v>
      </c>
      <c r="K179" s="113">
        <f t="shared" si="125"/>
        <v>204225.14</v>
      </c>
      <c r="L179" s="109"/>
      <c r="M179" s="109"/>
      <c r="N179" s="110"/>
      <c r="O179" s="108">
        <f>SUM(O176:O178)</f>
        <v>0</v>
      </c>
      <c r="P179" s="108" t="e">
        <f>SUM(P176:P178)</f>
        <v>#REF!</v>
      </c>
      <c r="Q179" s="111"/>
      <c r="R179" s="112">
        <f>SUM(R176:R178)</f>
        <v>0</v>
      </c>
      <c r="S179" s="112">
        <f>SUM(S176:S178)</f>
        <v>0</v>
      </c>
      <c r="T179" s="112">
        <f>SUM(T176:T178)</f>
        <v>0</v>
      </c>
      <c r="U179" s="112">
        <f>SUM(U176:U178)</f>
        <v>0</v>
      </c>
      <c r="V179" s="112">
        <f>SUM(V176:V178)</f>
        <v>0</v>
      </c>
    </row>
    <row r="180" spans="1:22" ht="19.5" customHeight="1">
      <c r="A180" s="41" t="s">
        <v>85</v>
      </c>
      <c r="B180" s="41"/>
      <c r="C180" s="43">
        <v>40939</v>
      </c>
      <c r="D180" s="44"/>
      <c r="E180" s="36">
        <v>38721.200000000004</v>
      </c>
      <c r="F180" s="36">
        <f>-E180*$F$10</f>
        <v>0</v>
      </c>
      <c r="G180" s="36">
        <f>E180*$G$10</f>
        <v>0</v>
      </c>
      <c r="H180" s="36"/>
      <c r="I180" s="36">
        <f>+E180+F180-G180-H180</f>
        <v>38721.200000000004</v>
      </c>
      <c r="J180" s="36">
        <f>+I180+(I180*$I$4)</f>
        <v>46465.440000000002</v>
      </c>
      <c r="K180" s="36">
        <v>46465.440000000002</v>
      </c>
      <c r="L180" s="37">
        <v>41039</v>
      </c>
      <c r="M180" s="37">
        <v>41060</v>
      </c>
      <c r="N180" s="92">
        <f>-IF(L180=0,,IF(M180=0,($C$10-L180),M180-L180))</f>
        <v>-21</v>
      </c>
      <c r="O180" s="36">
        <f>+J180-K180</f>
        <v>0</v>
      </c>
      <c r="P180" s="36" t="e">
        <f>+IF($C$10&lt;L180,0,O180)</f>
        <v>#REF!</v>
      </c>
      <c r="Q180" s="39"/>
      <c r="R180" s="40">
        <f>IF(N180&gt;=0,0,(IF(-N180&lt;=60,O180,0)))</f>
        <v>0</v>
      </c>
      <c r="S180" s="40">
        <f>IF(N180&gt;=0,0,(IF(N180&gt;=-60,0,IF(-60&gt;=N180,IF(N180&gt;=-120,O180,0)))))</f>
        <v>0</v>
      </c>
      <c r="T180" s="40">
        <f>IF(N180&gt;=0,0,(IF(N180&gt;-60,0,IF(-60&gt;=N180,IF(N180&gt;=-120,0,IF(N180&gt;=-180,O180,0))))))</f>
        <v>0</v>
      </c>
      <c r="U180" s="40">
        <f>IF(N180&gt;=0,0,(IF(N180&gt;-60,0,IF(-60&gt;=N180,IF(N180&gt;-120,0,IF(N180&gt;=-180,0,IF(N180&gt;=-365,O180,0)))))))</f>
        <v>0</v>
      </c>
      <c r="V180" s="40">
        <f>IF(N180&gt;=0,0,IF(365&lt;-N180,O180,0))</f>
        <v>0</v>
      </c>
    </row>
    <row r="181" spans="1:22" ht="19.5" customHeight="1">
      <c r="A181" s="41" t="s">
        <v>85</v>
      </c>
      <c r="B181" s="41"/>
      <c r="C181" s="43">
        <v>40999</v>
      </c>
      <c r="D181" s="44"/>
      <c r="E181" s="36">
        <v>5583.0000000000009</v>
      </c>
      <c r="F181" s="36">
        <f>-E181*$F$10</f>
        <v>0</v>
      </c>
      <c r="G181" s="36">
        <f>E181*$G$10</f>
        <v>0</v>
      </c>
      <c r="H181" s="36"/>
      <c r="I181" s="36">
        <f>+E181+F181-G181-H181</f>
        <v>5583.0000000000009</v>
      </c>
      <c r="J181" s="36">
        <f>+I181+(I181*$I$4)</f>
        <v>6699.6000000000013</v>
      </c>
      <c r="K181" s="36">
        <v>6699.6000000000013</v>
      </c>
      <c r="L181" s="37">
        <v>41100</v>
      </c>
      <c r="M181" s="37">
        <v>41191</v>
      </c>
      <c r="N181" s="92">
        <f>-IF(L181=0,,IF(M181=0,($C$10-L181),M181-L181))</f>
        <v>-91</v>
      </c>
      <c r="O181" s="36">
        <f>+J181-K181</f>
        <v>0</v>
      </c>
      <c r="P181" s="36" t="e">
        <f>+IF($C$10&lt;L181,0,O181)</f>
        <v>#REF!</v>
      </c>
      <c r="Q181" s="39"/>
      <c r="R181" s="40">
        <f>IF(N181&gt;=0,0,(IF(-N181&lt;=60,O181,0)))</f>
        <v>0</v>
      </c>
      <c r="S181" s="40">
        <f>IF(N181&gt;=0,0,(IF(N181&gt;=-60,0,IF(-60&gt;=N181,IF(N181&gt;=-120,O181,0)))))</f>
        <v>0</v>
      </c>
      <c r="T181" s="40">
        <f>IF(N181&gt;=0,0,(IF(N181&gt;-60,0,IF(-60&gt;=N181,IF(N181&gt;=-120,0,IF(N181&gt;=-180,O181,0))))))</f>
        <v>0</v>
      </c>
      <c r="U181" s="40">
        <f>IF(N181&gt;=0,0,(IF(N181&gt;-60,0,IF(-60&gt;=N181,IF(N181&gt;-120,0,IF(N181&gt;=-180,0,IF(N181&gt;=-365,O181,0)))))))</f>
        <v>0</v>
      </c>
      <c r="V181" s="40">
        <f>IF(N181&gt;=0,0,IF(365&lt;-N181,O181,0))</f>
        <v>0</v>
      </c>
    </row>
    <row r="182" spans="1:22" s="99" customFormat="1" ht="13.5" customHeight="1">
      <c r="A182" s="104"/>
      <c r="B182" s="105"/>
      <c r="C182" s="106"/>
      <c r="D182" s="107"/>
      <c r="E182" s="108">
        <f t="shared" ref="E182:K182" si="126">SUM(E180:E181)</f>
        <v>44304.200000000004</v>
      </c>
      <c r="F182" s="108">
        <f t="shared" si="126"/>
        <v>0</v>
      </c>
      <c r="G182" s="108">
        <f t="shared" si="126"/>
        <v>0</v>
      </c>
      <c r="H182" s="108">
        <f t="shared" si="126"/>
        <v>0</v>
      </c>
      <c r="I182" s="108">
        <f t="shared" si="126"/>
        <v>44304.200000000004</v>
      </c>
      <c r="J182" s="113">
        <f t="shared" si="126"/>
        <v>53165.04</v>
      </c>
      <c r="K182" s="113">
        <f t="shared" si="126"/>
        <v>53165.04</v>
      </c>
      <c r="L182" s="109"/>
      <c r="M182" s="109"/>
      <c r="N182" s="110"/>
      <c r="O182" s="108">
        <f>SUM(O180:O181)</f>
        <v>0</v>
      </c>
      <c r="P182" s="108" t="e">
        <f>SUM(P180:P181)</f>
        <v>#REF!</v>
      </c>
      <c r="Q182" s="111"/>
      <c r="R182" s="112">
        <f>SUM(R180:R181)</f>
        <v>0</v>
      </c>
      <c r="S182" s="112">
        <f>SUM(S180:S181)</f>
        <v>0</v>
      </c>
      <c r="T182" s="112">
        <f>SUM(T180:T181)</f>
        <v>0</v>
      </c>
      <c r="U182" s="112">
        <f>SUM(U180:U181)</f>
        <v>0</v>
      </c>
      <c r="V182" s="112">
        <f>SUM(V180:V181)</f>
        <v>0</v>
      </c>
    </row>
    <row r="183" spans="1:22" ht="19.5" customHeight="1">
      <c r="A183" s="41" t="s">
        <v>71</v>
      </c>
      <c r="B183" s="41"/>
      <c r="C183" s="43">
        <v>40999</v>
      </c>
      <c r="D183" s="44"/>
      <c r="E183" s="36">
        <v>850</v>
      </c>
      <c r="F183" s="36">
        <f>-E183*$F$10</f>
        <v>0</v>
      </c>
      <c r="G183" s="36">
        <f>E183*$G$10</f>
        <v>0</v>
      </c>
      <c r="H183" s="36"/>
      <c r="I183" s="36">
        <f>+E183+F183-G183-H183</f>
        <v>850</v>
      </c>
      <c r="J183" s="36">
        <f>+I183+(I183*$I$4)</f>
        <v>1020</v>
      </c>
      <c r="K183" s="36">
        <v>1020</v>
      </c>
      <c r="L183" s="37">
        <v>40999</v>
      </c>
      <c r="M183" s="37">
        <v>40999</v>
      </c>
      <c r="N183" s="92">
        <f>-IF(L183=0,,IF(M183=0,($C$10-L183),M183-L183))</f>
        <v>0</v>
      </c>
      <c r="O183" s="36">
        <f>+J183-K183</f>
        <v>0</v>
      </c>
      <c r="P183" s="36" t="e">
        <f>+IF($C$10&lt;L183,0,O183)</f>
        <v>#REF!</v>
      </c>
      <c r="Q183" s="39"/>
      <c r="R183" s="40">
        <f>IF(N183&gt;=0,0,(IF(-N183&lt;=60,O183,0)))</f>
        <v>0</v>
      </c>
      <c r="S183" s="40">
        <f>IF(N183&gt;=0,0,(IF(N183&gt;=-60,0,IF(-60&gt;=N183,IF(N183&gt;=-120,O183,0)))))</f>
        <v>0</v>
      </c>
      <c r="T183" s="40">
        <f>IF(N183&gt;=0,0,(IF(N183&gt;-60,0,IF(-60&gt;=N183,IF(N183&gt;=-120,0,IF(N183&gt;=-180,O183,0))))))</f>
        <v>0</v>
      </c>
      <c r="U183" s="40">
        <f>IF(N183&gt;=0,0,(IF(N183&gt;-60,0,IF(-60&gt;=N183,IF(N183&gt;-120,0,IF(N183&gt;=-180,0,IF(N183&gt;=-365,O183,0)))))))</f>
        <v>0</v>
      </c>
      <c r="V183" s="40">
        <f>IF(N183&gt;=0,0,IF(365&lt;-N183,O183,0))</f>
        <v>0</v>
      </c>
    </row>
    <row r="184" spans="1:22" ht="19.5" customHeight="1">
      <c r="A184" s="41" t="s">
        <v>71</v>
      </c>
      <c r="B184" s="41"/>
      <c r="C184" s="43">
        <v>41060</v>
      </c>
      <c r="D184" s="44"/>
      <c r="E184" s="36">
        <v>20794</v>
      </c>
      <c r="F184" s="36">
        <f>-E184*$F$10</f>
        <v>0</v>
      </c>
      <c r="G184" s="36">
        <f>E184*$G$10</f>
        <v>0</v>
      </c>
      <c r="H184" s="36"/>
      <c r="I184" s="36">
        <f>+E184+F184-G184-H184</f>
        <v>20794</v>
      </c>
      <c r="J184" s="36">
        <f>+I184+(I184*$I$4)</f>
        <v>24952.799999999999</v>
      </c>
      <c r="K184" s="36">
        <v>25200</v>
      </c>
      <c r="L184" s="37">
        <v>41060</v>
      </c>
      <c r="M184" s="37">
        <v>41033</v>
      </c>
      <c r="N184" s="92">
        <f>-IF(L184=0,,IF(M184=0,($C$10-L184),M184-L184))</f>
        <v>27</v>
      </c>
      <c r="O184" s="36">
        <f>+J184-K184</f>
        <v>-247.20000000000073</v>
      </c>
      <c r="P184" s="36" t="e">
        <f>+IF($C$10&lt;L184,0,O184)</f>
        <v>#REF!</v>
      </c>
      <c r="Q184" s="39"/>
      <c r="R184" s="40">
        <f>IF(N184&gt;=0,0,(IF(-N184&lt;=60,O184,0)))</f>
        <v>0</v>
      </c>
      <c r="S184" s="40">
        <f>IF(N184&gt;=0,0,(IF(N184&gt;=-60,0,IF(-60&gt;=N184,IF(N184&gt;=-120,O184,0)))))</f>
        <v>0</v>
      </c>
      <c r="T184" s="40">
        <f>IF(N184&gt;=0,0,(IF(N184&gt;-60,0,IF(-60&gt;=N184,IF(N184&gt;=-120,0,IF(N184&gt;=-180,O184,0))))))</f>
        <v>0</v>
      </c>
      <c r="U184" s="40">
        <f>IF(N184&gt;=0,0,(IF(N184&gt;-60,0,IF(-60&gt;=N184,IF(N184&gt;-120,0,IF(N184&gt;=-180,0,IF(N184&gt;=-365,O184,0)))))))</f>
        <v>0</v>
      </c>
      <c r="V184" s="40">
        <f>IF(N184&gt;=0,0,IF(365&lt;-N184,O184,0))</f>
        <v>0</v>
      </c>
    </row>
    <row r="185" spans="1:22" ht="19.5" customHeight="1">
      <c r="A185" s="41" t="s">
        <v>71</v>
      </c>
      <c r="B185" s="41"/>
      <c r="C185" s="43">
        <v>41090</v>
      </c>
      <c r="D185" s="44"/>
      <c r="E185" s="36">
        <v>8545</v>
      </c>
      <c r="F185" s="36">
        <f>-E185*$F$10</f>
        <v>0</v>
      </c>
      <c r="G185" s="36">
        <f>E185*$G$10</f>
        <v>0</v>
      </c>
      <c r="H185" s="36"/>
      <c r="I185" s="36">
        <f>+E185+F185-G185-H185</f>
        <v>8545</v>
      </c>
      <c r="J185" s="36">
        <f>+I185+(I185*$I$4)</f>
        <v>10254</v>
      </c>
      <c r="K185" s="36">
        <f>9600+407</f>
        <v>10007</v>
      </c>
      <c r="L185" s="37">
        <v>41090</v>
      </c>
      <c r="M185" s="37">
        <v>41061</v>
      </c>
      <c r="N185" s="92">
        <f>-IF(L185=0,,IF(M185=0,($C$10-L185),M185-L185))</f>
        <v>29</v>
      </c>
      <c r="O185" s="36">
        <f>+J185-K185</f>
        <v>247</v>
      </c>
      <c r="P185" s="36" t="e">
        <f>+IF($C$10&lt;L185,0,O185)</f>
        <v>#REF!</v>
      </c>
      <c r="Q185" s="39"/>
      <c r="R185" s="40">
        <f>IF(N185&gt;=0,0,(IF(-N185&lt;=60,O185,0)))</f>
        <v>0</v>
      </c>
      <c r="S185" s="40">
        <f>IF(N185&gt;=0,0,(IF(N185&gt;=-60,0,IF(-60&gt;=N185,IF(N185&gt;=-120,O185,0)))))</f>
        <v>0</v>
      </c>
      <c r="T185" s="40">
        <f>IF(N185&gt;=0,0,(IF(N185&gt;-60,0,IF(-60&gt;=N185,IF(N185&gt;=-120,0,IF(N185&gt;=-180,O185,0))))))</f>
        <v>0</v>
      </c>
      <c r="U185" s="40">
        <f>IF(N185&gt;=0,0,(IF(N185&gt;-60,0,IF(-60&gt;=N185,IF(N185&gt;-120,0,IF(N185&gt;=-180,0,IF(N185&gt;=-365,O185,0)))))))</f>
        <v>0</v>
      </c>
      <c r="V185" s="40">
        <f>IF(N185&gt;=0,0,IF(365&lt;-N185,O185,0))</f>
        <v>0</v>
      </c>
    </row>
    <row r="186" spans="1:22" s="99" customFormat="1" ht="12.75" customHeight="1">
      <c r="A186" s="104"/>
      <c r="B186" s="104"/>
      <c r="C186" s="106"/>
      <c r="D186" s="107"/>
      <c r="E186" s="108">
        <f t="shared" ref="E186:K186" si="127">SUM(E183:E185)</f>
        <v>30189</v>
      </c>
      <c r="F186" s="108">
        <f t="shared" si="127"/>
        <v>0</v>
      </c>
      <c r="G186" s="108">
        <f t="shared" si="127"/>
        <v>0</v>
      </c>
      <c r="H186" s="108">
        <f t="shared" si="127"/>
        <v>0</v>
      </c>
      <c r="I186" s="108">
        <f t="shared" si="127"/>
        <v>30189</v>
      </c>
      <c r="J186" s="113">
        <f t="shared" si="127"/>
        <v>36226.800000000003</v>
      </c>
      <c r="K186" s="113">
        <f t="shared" si="127"/>
        <v>36227</v>
      </c>
      <c r="L186" s="109"/>
      <c r="M186" s="109"/>
      <c r="N186" s="110"/>
      <c r="O186" s="108">
        <f>SUM(O183:O185)</f>
        <v>-0.2000000000007276</v>
      </c>
      <c r="P186" s="108" t="e">
        <f>SUM(P183:P185)</f>
        <v>#REF!</v>
      </c>
      <c r="Q186" s="111"/>
      <c r="R186" s="112">
        <f>SUM(R183:R185)</f>
        <v>0</v>
      </c>
      <c r="S186" s="112">
        <f>SUM(S183:S185)</f>
        <v>0</v>
      </c>
      <c r="T186" s="112">
        <f>SUM(T183:T185)</f>
        <v>0</v>
      </c>
      <c r="U186" s="112">
        <f>SUM(U183:U185)</f>
        <v>0</v>
      </c>
      <c r="V186" s="112">
        <f>SUM(V183:V185)</f>
        <v>0</v>
      </c>
    </row>
    <row r="187" spans="1:22" ht="19.5" customHeight="1">
      <c r="A187" s="41" t="s">
        <v>86</v>
      </c>
      <c r="B187" s="41"/>
      <c r="C187" s="43">
        <v>41213</v>
      </c>
      <c r="D187" s="44"/>
      <c r="E187" s="36">
        <v>3507.916666666667</v>
      </c>
      <c r="F187" s="36">
        <f>-E187*$F$10</f>
        <v>0</v>
      </c>
      <c r="G187" s="36">
        <f>E187*$G$10</f>
        <v>0</v>
      </c>
      <c r="H187" s="36"/>
      <c r="I187" s="36">
        <f>+E187+F187-G187-H187</f>
        <v>3507.916666666667</v>
      </c>
      <c r="J187" s="36">
        <f>+I187+(I187*$I$4)</f>
        <v>4209.5</v>
      </c>
      <c r="K187" s="36">
        <v>4209.5</v>
      </c>
      <c r="L187" s="37">
        <v>41305</v>
      </c>
      <c r="M187" s="37">
        <v>41355</v>
      </c>
      <c r="N187" s="92">
        <f>-IF(L187=0,,IF(M187=0,($C$10-L187),M187-L187))</f>
        <v>-50</v>
      </c>
      <c r="O187" s="36">
        <f>+J187-K187</f>
        <v>0</v>
      </c>
      <c r="P187" s="36" t="e">
        <f>+IF($C$10&lt;L187,0,O187)</f>
        <v>#REF!</v>
      </c>
      <c r="Q187" s="39"/>
      <c r="R187" s="40">
        <f>IF(N187&gt;=0,0,(IF(-N187&lt;=60,O187,0)))</f>
        <v>0</v>
      </c>
      <c r="S187" s="40">
        <f>IF(N187&gt;=0,0,(IF(N187&gt;=-60,0,IF(-60&gt;=N187,IF(N187&gt;=-120,O187,0)))))</f>
        <v>0</v>
      </c>
      <c r="T187" s="40">
        <f>IF(N187&gt;=0,0,(IF(N187&gt;-60,0,IF(-60&gt;=N187,IF(N187&gt;=-120,0,IF(N187&gt;=-180,O187,0))))))</f>
        <v>0</v>
      </c>
      <c r="U187" s="40">
        <f>IF(N187&gt;=0,0,(IF(N187&gt;-60,0,IF(-60&gt;=N187,IF(N187&gt;-120,0,IF(N187&gt;=-180,0,IF(N187&gt;=-365,O187,0)))))))</f>
        <v>0</v>
      </c>
      <c r="V187" s="40">
        <f>IF(N187&gt;=0,0,IF(365&lt;-N187,O187,0))</f>
        <v>0</v>
      </c>
    </row>
    <row r="188" spans="1:22" s="99" customFormat="1" ht="13.5" customHeight="1">
      <c r="A188" s="104"/>
      <c r="B188" s="105"/>
      <c r="C188" s="106"/>
      <c r="D188" s="107"/>
      <c r="E188" s="108">
        <f t="shared" ref="E188:K188" si="128">SUM(E187:E187)</f>
        <v>3507.916666666667</v>
      </c>
      <c r="F188" s="108">
        <f t="shared" si="128"/>
        <v>0</v>
      </c>
      <c r="G188" s="108">
        <f t="shared" si="128"/>
        <v>0</v>
      </c>
      <c r="H188" s="108">
        <f t="shared" si="128"/>
        <v>0</v>
      </c>
      <c r="I188" s="108">
        <f t="shared" si="128"/>
        <v>3507.916666666667</v>
      </c>
      <c r="J188" s="113">
        <f t="shared" si="128"/>
        <v>4209.5</v>
      </c>
      <c r="K188" s="113">
        <f t="shared" si="128"/>
        <v>4209.5</v>
      </c>
      <c r="L188" s="109"/>
      <c r="M188" s="109"/>
      <c r="N188" s="110"/>
      <c r="O188" s="108">
        <f>SUM(O187:O187)</f>
        <v>0</v>
      </c>
      <c r="P188" s="108" t="e">
        <f>SUM(P187:P187)</f>
        <v>#REF!</v>
      </c>
      <c r="Q188" s="111"/>
      <c r="R188" s="112">
        <f>SUM(R187:R187)</f>
        <v>0</v>
      </c>
      <c r="S188" s="112">
        <f>SUM(S187:S187)</f>
        <v>0</v>
      </c>
      <c r="T188" s="112">
        <f>SUM(T187:T187)</f>
        <v>0</v>
      </c>
      <c r="U188" s="112">
        <f>SUM(U187:U187)</f>
        <v>0</v>
      </c>
      <c r="V188" s="112">
        <f>SUM(V187:V187)</f>
        <v>0</v>
      </c>
    </row>
    <row r="189" spans="1:22" ht="19.5" customHeight="1" thickBot="1">
      <c r="A189" s="41"/>
      <c r="B189" s="42"/>
      <c r="C189" s="43"/>
      <c r="D189" s="44"/>
      <c r="E189" s="36"/>
      <c r="F189" s="36"/>
      <c r="G189" s="36"/>
      <c r="H189" s="36"/>
      <c r="I189" s="36"/>
      <c r="J189" s="36"/>
      <c r="K189" s="36"/>
      <c r="L189" s="37"/>
      <c r="M189" s="37"/>
      <c r="N189" s="38"/>
      <c r="O189" s="36"/>
      <c r="P189" s="42" t="e">
        <f>+IF($C$10&lt;L189,0,O189)</f>
        <v>#REF!</v>
      </c>
      <c r="Q189" s="39"/>
      <c r="R189" s="97"/>
      <c r="S189" s="97"/>
      <c r="T189" s="97"/>
      <c r="U189" s="97"/>
      <c r="V189" s="97"/>
    </row>
    <row r="190" spans="1:22" s="111" customFormat="1" ht="28.5" customHeight="1" thickBot="1">
      <c r="A190" s="120"/>
      <c r="B190" s="121" t="s">
        <v>43</v>
      </c>
      <c r="C190" s="121"/>
      <c r="D190" s="121"/>
      <c r="E190" s="122">
        <f>SUM(E12:E189)/2</f>
        <v>23848795.051066663</v>
      </c>
      <c r="F190" s="122">
        <f t="shared" ref="F190:K190" si="129">SUM(F12:F189)/2</f>
        <v>0</v>
      </c>
      <c r="G190" s="122">
        <f t="shared" si="129"/>
        <v>0</v>
      </c>
      <c r="H190" s="122">
        <f t="shared" si="129"/>
        <v>0</v>
      </c>
      <c r="I190" s="122">
        <f t="shared" si="129"/>
        <v>23848795.051066663</v>
      </c>
      <c r="J190" s="122">
        <f t="shared" si="129"/>
        <v>28618554.06127999</v>
      </c>
      <c r="K190" s="122">
        <f t="shared" si="129"/>
        <v>28618554.261279993</v>
      </c>
      <c r="L190" s="123"/>
      <c r="M190" s="123"/>
      <c r="N190" s="123"/>
      <c r="O190" s="122">
        <f>SUM(O12:O189)/2</f>
        <v>-0.2000000000007276</v>
      </c>
      <c r="P190" s="122" t="e">
        <f>SUM(P12:P189)/2</f>
        <v>#REF!</v>
      </c>
      <c r="R190" s="124" t="e">
        <f>SUM(R12:R189)/2</f>
        <v>#REF!</v>
      </c>
      <c r="S190" s="124" t="e">
        <f>SUM(S12:S189)/2</f>
        <v>#REF!</v>
      </c>
      <c r="T190" s="124" t="e">
        <f>SUM(T12:T189)/2</f>
        <v>#REF!</v>
      </c>
      <c r="U190" s="124" t="e">
        <f>SUM(U12:U189)/2</f>
        <v>#REF!</v>
      </c>
      <c r="V190" s="124" t="e">
        <f>SUM(V12:V189)/2</f>
        <v>#REF!</v>
      </c>
    </row>
    <row r="191" spans="1:22" ht="21" customHeight="1">
      <c r="A191" s="45"/>
      <c r="B191" s="46"/>
      <c r="C191" s="46"/>
      <c r="D191" s="47" t="s">
        <v>44</v>
      </c>
      <c r="E191" s="48">
        <f>+E190/$M$7</f>
        <v>0.99999654369756374</v>
      </c>
      <c r="F191" s="46"/>
      <c r="G191" s="46"/>
      <c r="H191" s="46"/>
      <c r="I191" s="46"/>
      <c r="J191" s="47" t="s">
        <v>45</v>
      </c>
      <c r="K191" s="48">
        <f>+K190/J190</f>
        <v>1.0000000069884734</v>
      </c>
      <c r="L191" s="46"/>
      <c r="M191" s="46"/>
      <c r="N191" s="46"/>
      <c r="O191" s="46"/>
      <c r="P191" s="49"/>
      <c r="Q191" s="39"/>
      <c r="R191" s="39"/>
      <c r="S191" s="39"/>
      <c r="T191" s="39"/>
      <c r="U191" s="39"/>
      <c r="V191" s="39"/>
    </row>
    <row r="192" spans="1:22" ht="21" customHeight="1" thickBot="1">
      <c r="A192" s="50"/>
      <c r="B192" s="51"/>
      <c r="C192" s="51"/>
      <c r="D192" s="52" t="s">
        <v>46</v>
      </c>
      <c r="E192" s="53">
        <f>+$M$7-$E$190</f>
        <v>82.428933337330818</v>
      </c>
      <c r="F192" s="54">
        <f>+E192/M7</f>
        <v>3.4563024363078247E-6</v>
      </c>
      <c r="G192" s="51"/>
      <c r="H192" s="51"/>
      <c r="I192" s="51"/>
      <c r="J192" s="117"/>
      <c r="K192" s="51"/>
      <c r="L192" s="51"/>
      <c r="M192" s="51"/>
      <c r="N192" s="51"/>
      <c r="O192" s="51"/>
      <c r="P192" s="55"/>
      <c r="Q192" s="39"/>
      <c r="R192" s="39"/>
      <c r="S192" s="39"/>
      <c r="T192" s="39"/>
      <c r="U192" s="39"/>
      <c r="V192" s="39"/>
    </row>
    <row r="193" spans="1:22">
      <c r="A193" s="39"/>
      <c r="B193" s="45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9"/>
      <c r="O193" s="39"/>
      <c r="P193" s="39"/>
      <c r="Q193" s="39"/>
      <c r="R193" s="39"/>
      <c r="S193" s="39"/>
      <c r="T193" s="39"/>
      <c r="U193" s="39"/>
      <c r="V193" s="39"/>
    </row>
    <row r="194" spans="1:22" ht="21">
      <c r="A194" s="39"/>
      <c r="B194" s="56"/>
      <c r="C194" s="91" t="s">
        <v>47</v>
      </c>
      <c r="D194" s="91"/>
      <c r="E194" s="91"/>
      <c r="F194" s="91"/>
      <c r="G194" s="91"/>
      <c r="H194" s="91" t="s">
        <v>87</v>
      </c>
      <c r="I194" s="57"/>
      <c r="J194" s="57"/>
      <c r="K194" s="57"/>
      <c r="L194" s="57"/>
      <c r="M194" s="57"/>
      <c r="N194" s="58"/>
      <c r="O194" s="39"/>
      <c r="P194" s="39"/>
      <c r="Q194" s="39"/>
      <c r="R194" s="39"/>
      <c r="S194" s="39"/>
      <c r="T194" s="39"/>
      <c r="U194" s="39"/>
      <c r="V194" s="39"/>
    </row>
    <row r="195" spans="1:22" ht="17.25" thickBot="1">
      <c r="A195" s="39"/>
      <c r="B195" s="56"/>
      <c r="C195" s="57"/>
      <c r="D195" s="57"/>
      <c r="E195" s="57"/>
      <c r="F195" s="57"/>
      <c r="G195" s="59"/>
      <c r="H195" s="57"/>
      <c r="I195" s="57"/>
      <c r="J195" s="57"/>
      <c r="K195" s="57"/>
      <c r="L195" s="57"/>
      <c r="M195" s="57"/>
      <c r="N195" s="58"/>
      <c r="O195" s="39"/>
      <c r="P195" s="39"/>
      <c r="Q195" s="39"/>
      <c r="R195" s="39"/>
      <c r="S195" s="39"/>
      <c r="T195" s="39"/>
      <c r="U195" s="39"/>
      <c r="V195" s="39"/>
    </row>
    <row r="196" spans="1:22" ht="18" customHeight="1" thickBot="1">
      <c r="A196" s="39"/>
      <c r="B196" s="56"/>
      <c r="C196" s="158" t="s">
        <v>48</v>
      </c>
      <c r="D196" s="159"/>
      <c r="E196" s="160"/>
      <c r="F196" s="79" t="s">
        <v>57</v>
      </c>
      <c r="G196" s="61">
        <f>+M7</f>
        <v>23848877.48</v>
      </c>
      <c r="H196" s="60"/>
      <c r="I196" s="62"/>
      <c r="J196" s="60"/>
      <c r="K196" s="60"/>
      <c r="L196" s="60"/>
      <c r="M196" s="60"/>
      <c r="N196" s="63"/>
      <c r="O196" s="39"/>
      <c r="P196" s="39"/>
      <c r="Q196" s="39"/>
      <c r="R196" s="39"/>
      <c r="S196" s="39"/>
      <c r="T196" s="39"/>
      <c r="U196" s="39"/>
      <c r="V196" s="39"/>
    </row>
    <row r="197" spans="1:22" ht="17.25" thickBot="1">
      <c r="A197" s="39"/>
      <c r="B197" s="56"/>
      <c r="C197" s="79"/>
      <c r="D197" s="79"/>
      <c r="E197" s="79"/>
      <c r="F197" s="79"/>
      <c r="G197" s="60"/>
      <c r="H197" s="60"/>
      <c r="I197" s="60"/>
      <c r="J197" s="60"/>
      <c r="K197" s="60"/>
      <c r="L197" s="60"/>
      <c r="M197" s="60"/>
      <c r="N197" s="63"/>
      <c r="O197" s="39"/>
      <c r="P197" s="39"/>
      <c r="Q197" s="39"/>
      <c r="R197" s="39"/>
      <c r="S197" s="39"/>
      <c r="T197" s="39"/>
      <c r="U197" s="39"/>
      <c r="V197" s="39"/>
    </row>
    <row r="198" spans="1:22" ht="18" customHeight="1" thickBot="1">
      <c r="A198" s="39"/>
      <c r="B198" s="56"/>
      <c r="C198" s="149" t="s">
        <v>49</v>
      </c>
      <c r="D198" s="150"/>
      <c r="E198" s="151"/>
      <c r="F198" s="79" t="s">
        <v>57</v>
      </c>
      <c r="G198" s="64">
        <f>+E190</f>
        <v>23848795.051066663</v>
      </c>
      <c r="H198" s="60"/>
      <c r="I198" s="60"/>
      <c r="J198" s="65">
        <f>G198/G196</f>
        <v>0.99999654369756374</v>
      </c>
      <c r="K198" s="100" t="s">
        <v>50</v>
      </c>
      <c r="L198" s="66"/>
      <c r="M198" s="66"/>
      <c r="N198" s="63"/>
      <c r="O198" s="39"/>
      <c r="P198" s="39"/>
      <c r="Q198" s="39"/>
      <c r="R198" s="39"/>
      <c r="S198" s="39"/>
      <c r="T198" s="39"/>
      <c r="U198" s="39"/>
      <c r="V198" s="39"/>
    </row>
    <row r="199" spans="1:22" ht="17.25" thickBot="1">
      <c r="B199" s="67"/>
      <c r="C199" s="79"/>
      <c r="D199" s="79"/>
      <c r="E199" s="79"/>
      <c r="F199" s="79"/>
      <c r="G199" s="60"/>
      <c r="H199" s="60"/>
      <c r="I199" s="60"/>
      <c r="J199" s="60"/>
      <c r="K199" s="101"/>
      <c r="L199" s="60"/>
      <c r="M199" s="60"/>
      <c r="N199" s="63"/>
    </row>
    <row r="200" spans="1:22" ht="18" customHeight="1" thickBot="1">
      <c r="B200" s="67"/>
      <c r="C200" s="152" t="s">
        <v>58</v>
      </c>
      <c r="D200" s="153"/>
      <c r="E200" s="154"/>
      <c r="F200" s="79" t="s">
        <v>56</v>
      </c>
      <c r="G200" s="68">
        <f>+K190</f>
        <v>28618554.261279993</v>
      </c>
      <c r="H200" s="60"/>
      <c r="I200" s="60"/>
      <c r="J200" s="69">
        <f>+G200/J190</f>
        <v>1.0000000069884734</v>
      </c>
      <c r="K200" s="102" t="s">
        <v>51</v>
      </c>
      <c r="L200" s="70"/>
      <c r="M200" s="70"/>
      <c r="N200" s="63"/>
    </row>
    <row r="201" spans="1:22" ht="17.25" thickBot="1">
      <c r="B201" s="67"/>
      <c r="C201" s="79"/>
      <c r="D201" s="79"/>
      <c r="E201" s="79"/>
      <c r="F201" s="79"/>
      <c r="G201" s="60"/>
      <c r="H201" s="60"/>
      <c r="I201" s="60"/>
      <c r="J201" s="60"/>
      <c r="K201" s="101"/>
      <c r="L201" s="60"/>
      <c r="M201" s="60"/>
      <c r="N201" s="63"/>
    </row>
    <row r="202" spans="1:22" ht="18" customHeight="1" thickBot="1">
      <c r="B202" s="67"/>
      <c r="C202" s="152" t="s">
        <v>52</v>
      </c>
      <c r="D202" s="153"/>
      <c r="E202" s="154"/>
      <c r="F202" s="79" t="s">
        <v>56</v>
      </c>
      <c r="G202" s="71">
        <f>+O190</f>
        <v>-0.2000000000007276</v>
      </c>
      <c r="H202" s="60"/>
      <c r="I202" s="60"/>
      <c r="J202" s="72">
        <f>+G202/J190</f>
        <v>-6.9884732671145445E-9</v>
      </c>
      <c r="K202" s="102" t="s">
        <v>51</v>
      </c>
      <c r="L202" s="73"/>
      <c r="M202" s="73"/>
      <c r="N202" s="63"/>
    </row>
    <row r="203" spans="1:22" ht="17.25" thickBot="1">
      <c r="B203" s="67"/>
      <c r="C203" s="79"/>
      <c r="D203" s="79"/>
      <c r="E203" s="79"/>
      <c r="F203" s="79"/>
      <c r="G203" s="60"/>
      <c r="H203" s="60"/>
      <c r="I203" s="60"/>
      <c r="J203" s="60"/>
      <c r="K203" s="101"/>
      <c r="L203" s="60"/>
      <c r="M203" s="60"/>
      <c r="N203" s="63"/>
    </row>
    <row r="204" spans="1:22" ht="18" customHeight="1" thickBot="1">
      <c r="B204" s="67"/>
      <c r="C204" s="152" t="s">
        <v>54</v>
      </c>
      <c r="D204" s="153"/>
      <c r="E204" s="154"/>
      <c r="F204" s="79" t="s">
        <v>56</v>
      </c>
      <c r="G204" s="74" t="e">
        <f>+P190</f>
        <v>#REF!</v>
      </c>
      <c r="H204" s="60"/>
      <c r="I204" s="60"/>
      <c r="J204" s="75" t="e">
        <f>+G204/J190</f>
        <v>#REF!</v>
      </c>
      <c r="K204" s="102" t="s">
        <v>51</v>
      </c>
      <c r="L204" s="70"/>
      <c r="M204" s="70"/>
      <c r="N204" s="63"/>
    </row>
    <row r="205" spans="1:22" ht="5.25" customHeight="1" thickBot="1">
      <c r="B205" s="76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8"/>
    </row>
  </sheetData>
  <mergeCells count="18">
    <mergeCell ref="C198:E198"/>
    <mergeCell ref="C200:E200"/>
    <mergeCell ref="C202:E202"/>
    <mergeCell ref="C204:E204"/>
    <mergeCell ref="M5:N5"/>
    <mergeCell ref="M6:N6"/>
    <mergeCell ref="M7:N7"/>
    <mergeCell ref="M8:N8"/>
    <mergeCell ref="O10:P10"/>
    <mergeCell ref="C196:E196"/>
    <mergeCell ref="C1:E2"/>
    <mergeCell ref="F1:F2"/>
    <mergeCell ref="G1:J1"/>
    <mergeCell ref="M1:N1"/>
    <mergeCell ref="M2:N2"/>
    <mergeCell ref="C3:E4"/>
    <mergeCell ref="M3:N3"/>
    <mergeCell ref="M4:N4"/>
  </mergeCells>
  <pageMargins left="0.19685039370078741" right="0.19685039370078741" top="0.19685039370078741" bottom="0.19685039370078741" header="0" footer="0"/>
  <pageSetup paperSize="9" scale="55" fitToHeight="4" orientation="landscape" r:id="rId1"/>
  <rowBreaks count="1" manualBreakCount="1">
    <brk id="192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7000-003</vt:lpstr>
      <vt:lpstr>7005</vt:lpstr>
      <vt:lpstr>7006</vt:lpstr>
      <vt:lpstr>7007</vt:lpstr>
      <vt:lpstr>7008</vt:lpstr>
      <vt:lpstr>7009</vt:lpstr>
      <vt:lpstr>7010</vt:lpstr>
      <vt:lpstr>7011</vt:lpstr>
      <vt:lpstr>7012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cp:lastPrinted>2017-12-25T13:21:34Z</cp:lastPrinted>
  <dcterms:created xsi:type="dcterms:W3CDTF">2015-04-07T08:49:42Z</dcterms:created>
  <dcterms:modified xsi:type="dcterms:W3CDTF">2018-01-04T16:52:19Z</dcterms:modified>
</cp:coreProperties>
</file>